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comments2.xml" ContentType="application/vnd.openxmlformats-officedocument.spreadsheetml.comments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drawings/drawing12.xml" ContentType="application/vnd.openxmlformats-officedocument.drawing+xml"/>
  <Override PartName="/xl/comments4.xml" ContentType="application/vnd.openxmlformats-officedocument.spreadsheetml.comments+xml"/>
  <Override PartName="/xl/drawings/drawing13.xml" ContentType="application/vnd.openxmlformats-officedocument.drawing+xml"/>
  <Override PartName="/xl/comments5.xml" ContentType="application/vnd.openxmlformats-officedocument.spreadsheetml.comments+xml"/>
  <Override PartName="/xl/drawings/drawing14.xml" ContentType="application/vnd.openxmlformats-officedocument.drawing+xml"/>
  <Override PartName="/xl/comments6.xml" ContentType="application/vnd.openxmlformats-officedocument.spreadsheetml.comments+xml"/>
  <Override PartName="/xl/drawings/drawing15.xml" ContentType="application/vnd.openxmlformats-officedocument.drawing+xml"/>
  <Override PartName="/xl/comments7.xml" ContentType="application/vnd.openxmlformats-officedocument.spreadsheetml.comments+xml"/>
  <Override PartName="/xl/drawings/drawing16.xml" ContentType="application/vnd.openxmlformats-officedocument.drawing+xml"/>
  <Override PartName="/xl/comments8.xml" ContentType="application/vnd.openxmlformats-officedocument.spreadsheetml.comments+xml"/>
  <Override PartName="/xl/drawings/drawing17.xml" ContentType="application/vnd.openxmlformats-officedocument.drawing+xml"/>
  <Override PartName="/xl/comments9.xml" ContentType="application/vnd.openxmlformats-officedocument.spreadsheetml.comments+xml"/>
  <Override PartName="/xl/drawings/drawing18.xml" ContentType="application/vnd.openxmlformats-officedocument.drawing+xml"/>
  <Override PartName="/xl/comments10.xml" ContentType="application/vnd.openxmlformats-officedocument.spreadsheetml.comments+xml"/>
  <Override PartName="/xl/drawings/drawing19.xml" ContentType="application/vnd.openxmlformats-officedocument.drawing+xml"/>
  <Override PartName="/xl/comments11.xml" ContentType="application/vnd.openxmlformats-officedocument.spreadsheetml.comments+xml"/>
  <Override PartName="/xl/drawings/drawing20.xml" ContentType="application/vnd.openxmlformats-officedocument.drawing+xml"/>
  <Override PartName="/xl/comments12.xml" ContentType="application/vnd.openxmlformats-officedocument.spreadsheetml.comments+xml"/>
  <Override PartName="/xl/drawings/drawing21.xml" ContentType="application/vnd.openxmlformats-officedocument.drawing+xml"/>
  <Override PartName="/xl/comments13.xml" ContentType="application/vnd.openxmlformats-officedocument.spreadsheetml.comments+xml"/>
  <Override PartName="/xl/drawings/drawing22.xml" ContentType="application/vnd.openxmlformats-officedocument.drawing+xml"/>
  <Override PartName="/xl/comments14.xml" ContentType="application/vnd.openxmlformats-officedocument.spreadsheetml.comments+xml"/>
  <Override PartName="/xl/drawings/drawing23.xml" ContentType="application/vnd.openxmlformats-officedocument.drawing+xml"/>
  <Override PartName="/xl/comments15.xml" ContentType="application/vnd.openxmlformats-officedocument.spreadsheetml.comments+xml"/>
  <Override PartName="/xl/drawings/drawing24.xml" ContentType="application/vnd.openxmlformats-officedocument.drawing+xml"/>
  <Override PartName="/xl/comments16.xml" ContentType="application/vnd.openxmlformats-officedocument.spreadsheetml.comments+xml"/>
  <Override PartName="/xl/drawings/drawing25.xml" ContentType="application/vnd.openxmlformats-officedocument.drawing+xml"/>
  <Override PartName="/xl/comments17.xml" ContentType="application/vnd.openxmlformats-officedocument.spreadsheetml.comments+xml"/>
  <Override PartName="/xl/drawings/drawing26.xml" ContentType="application/vnd.openxmlformats-officedocument.drawing+xml"/>
  <Override PartName="/xl/comments18.xml" ContentType="application/vnd.openxmlformats-officedocument.spreadsheetml.comments+xml"/>
  <Override PartName="/xl/drawings/drawing27.xml" ContentType="application/vnd.openxmlformats-officedocument.drawing+xml"/>
  <Override PartName="/xl/comments19.xml" ContentType="application/vnd.openxmlformats-officedocument.spreadsheetml.comments+xml"/>
  <Override PartName="/xl/drawings/drawing28.xml" ContentType="application/vnd.openxmlformats-officedocument.drawing+xml"/>
  <Override PartName="/xl/comments20.xml" ContentType="application/vnd.openxmlformats-officedocument.spreadsheetml.comments+xml"/>
  <Override PartName="/xl/drawings/drawing29.xml" ContentType="application/vnd.openxmlformats-officedocument.drawing+xml"/>
  <Override PartName="/xl/comments21.xml" ContentType="application/vnd.openxmlformats-officedocument.spreadsheetml.comments+xml"/>
  <Override PartName="/xl/drawings/drawing30.xml" ContentType="application/vnd.openxmlformats-officedocument.drawing+xml"/>
  <Override PartName="/xl/comments22.xml" ContentType="application/vnd.openxmlformats-officedocument.spreadsheetml.comments+xml"/>
  <Override PartName="/xl/drawings/drawing31.xml" ContentType="application/vnd.openxmlformats-officedocument.drawing+xml"/>
  <Override PartName="/xl/comments23.xml" ContentType="application/vnd.openxmlformats-officedocument.spreadsheetml.comments+xml"/>
  <Override PartName="/xl/drawings/drawing32.xml" ContentType="application/vnd.openxmlformats-officedocument.drawing+xml"/>
  <Override PartName="/xl/comments24.xml" ContentType="application/vnd.openxmlformats-officedocument.spreadsheetml.comments+xml"/>
  <Override PartName="/xl/drawings/drawing33.xml" ContentType="application/vnd.openxmlformats-officedocument.drawing+xml"/>
  <Override PartName="/xl/comments25.xml" ContentType="application/vnd.openxmlformats-officedocument.spreadsheetml.comments+xml"/>
  <Override PartName="/xl/drawings/drawing34.xml" ContentType="application/vnd.openxmlformats-officedocument.drawing+xml"/>
  <Override PartName="/xl/comments26.xml" ContentType="application/vnd.openxmlformats-officedocument.spreadsheetml.comments+xml"/>
  <Override PartName="/xl/drawings/drawing35.xml" ContentType="application/vnd.openxmlformats-officedocument.drawing+xml"/>
  <Override PartName="/xl/comments27.xml" ContentType="application/vnd.openxmlformats-officedocument.spreadsheetml.comments+xml"/>
  <Override PartName="/xl/drawings/drawing36.xml" ContentType="application/vnd.openxmlformats-officedocument.drawing+xml"/>
  <Override PartName="/xl/comments28.xml" ContentType="application/vnd.openxmlformats-officedocument.spreadsheetml.comments+xml"/>
  <Override PartName="/xl/drawings/drawing37.xml" ContentType="application/vnd.openxmlformats-officedocument.drawing+xml"/>
  <Override PartName="/xl/comments29.xml" ContentType="application/vnd.openxmlformats-officedocument.spreadsheetml.comments+xml"/>
  <Override PartName="/xl/drawings/drawing38.xml" ContentType="application/vnd.openxmlformats-officedocument.drawing+xml"/>
  <Override PartName="/xl/comments30.xml" ContentType="application/vnd.openxmlformats-officedocument.spreadsheetml.comments+xml"/>
  <Override PartName="/xl/drawings/drawing39.xml" ContentType="application/vnd.openxmlformats-officedocument.drawing+xml"/>
  <Override PartName="/xl/comments3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RIS\"/>
    </mc:Choice>
  </mc:AlternateContent>
  <bookViews>
    <workbookView xWindow="0" yWindow="0" windowWidth="15525" windowHeight="12795" tabRatio="599" firstSheet="16" activeTab="16"/>
  </bookViews>
  <sheets>
    <sheet name="RESUMEN GENERAL DE VENTAS" sheetId="77" r:id="rId1"/>
    <sheet name="PROVINCIAL" sheetId="34" r:id="rId2"/>
    <sheet name="BANESCO" sheetId="140" r:id="rId3"/>
    <sheet name="VENEZUELA" sheetId="141" r:id="rId4"/>
    <sheet name="PLAZA" sheetId="142" r:id="rId5"/>
    <sheet name="TESORO" sheetId="143" r:id="rId6"/>
    <sheet name="VENTAS A CREDITO" sheetId="75" r:id="rId7"/>
    <sheet name="DIVISAS Y TRANSFERENCIAS" sheetId="109" r:id="rId8"/>
    <sheet name="DIA 1" sheetId="40" r:id="rId9"/>
    <sheet name="DIA 2" sheetId="110" r:id="rId10"/>
    <sheet name="DIA 3" sheetId="111" r:id="rId11"/>
    <sheet name="DIA 4" sheetId="112" r:id="rId12"/>
    <sheet name="DIA 5" sheetId="113" r:id="rId13"/>
    <sheet name="DIA 6" sheetId="114" r:id="rId14"/>
    <sheet name="DIA 7" sheetId="115" r:id="rId15"/>
    <sheet name="DIA 8" sheetId="116" r:id="rId16"/>
    <sheet name="DIA 9" sheetId="117" r:id="rId17"/>
    <sheet name="DIA 10" sheetId="118" r:id="rId18"/>
    <sheet name="DIA 11" sheetId="119" r:id="rId19"/>
    <sheet name="DIA 12" sheetId="120" r:id="rId20"/>
    <sheet name="DIA 13" sheetId="121" r:id="rId21"/>
    <sheet name="DIA 14" sheetId="122" r:id="rId22"/>
    <sheet name="DIA 15" sheetId="123" r:id="rId23"/>
    <sheet name="DIA 16" sheetId="124" r:id="rId24"/>
    <sheet name="DIA 17" sheetId="125" r:id="rId25"/>
    <sheet name="DIA 18" sheetId="126" r:id="rId26"/>
    <sheet name="DIA 19" sheetId="127" r:id="rId27"/>
    <sheet name="DIA 20" sheetId="128" r:id="rId28"/>
    <sheet name="DIA 21" sheetId="129" r:id="rId29"/>
    <sheet name="DIA 22" sheetId="130" r:id="rId30"/>
    <sheet name="DIA 23" sheetId="131" r:id="rId31"/>
    <sheet name="DIA 24" sheetId="132" r:id="rId32"/>
    <sheet name="DIA 25" sheetId="133" r:id="rId33"/>
    <sheet name="DIA 26" sheetId="134" r:id="rId34"/>
    <sheet name="DIA 27" sheetId="135" r:id="rId35"/>
    <sheet name="DIA 28" sheetId="136" r:id="rId36"/>
    <sheet name="DIA 29" sheetId="137" r:id="rId37"/>
    <sheet name="DIA 30" sheetId="138" r:id="rId38"/>
    <sheet name="DIA 31" sheetId="139" r:id="rId39"/>
  </sheets>
  <definedNames>
    <definedName name="_xlnm.Print_Area" localSheetId="8">'DIA 1'!$A$1:$H$71</definedName>
    <definedName name="_xlnm.Print_Area" localSheetId="17">'DIA 10'!$A$1:$H$71</definedName>
    <definedName name="_xlnm.Print_Area" localSheetId="18">'DIA 11'!$A$1:$H$71</definedName>
    <definedName name="_xlnm.Print_Area" localSheetId="19">'DIA 12'!$A$1:$H$71</definedName>
    <definedName name="_xlnm.Print_Area" localSheetId="20">'DIA 13'!$A$1:$H$71</definedName>
    <definedName name="_xlnm.Print_Area" localSheetId="21">'DIA 14'!$A$1:$H$71</definedName>
    <definedName name="_xlnm.Print_Area" localSheetId="22">'DIA 15'!$A$1:$H$71</definedName>
    <definedName name="_xlnm.Print_Area" localSheetId="23">'DIA 16'!$A$1:$H$71</definedName>
    <definedName name="_xlnm.Print_Area" localSheetId="24">'DIA 17'!$A$1:$H$71</definedName>
    <definedName name="_xlnm.Print_Area" localSheetId="25">'DIA 18'!$A$1:$H$71</definedName>
    <definedName name="_xlnm.Print_Area" localSheetId="26">'DIA 19'!$A$1:$H$71</definedName>
    <definedName name="_xlnm.Print_Area" localSheetId="9">'DIA 2'!$A$1:$H$71</definedName>
    <definedName name="_xlnm.Print_Area" localSheetId="27">'DIA 20'!$A$1:$H$71</definedName>
    <definedName name="_xlnm.Print_Area" localSheetId="28">'DIA 21'!$A$1:$H$71</definedName>
    <definedName name="_xlnm.Print_Area" localSheetId="29">'DIA 22'!$A$1:$H$71</definedName>
    <definedName name="_xlnm.Print_Area" localSheetId="30">'DIA 23'!$A$1:$H$71</definedName>
    <definedName name="_xlnm.Print_Area" localSheetId="31">'DIA 24'!$A$1:$H$71</definedName>
    <definedName name="_xlnm.Print_Area" localSheetId="32">'DIA 25'!$A$1:$H$71</definedName>
    <definedName name="_xlnm.Print_Area" localSheetId="33">'DIA 26'!$A$1:$H$71</definedName>
    <definedName name="_xlnm.Print_Area" localSheetId="34">'DIA 27'!$A$1:$H$71</definedName>
    <definedName name="_xlnm.Print_Area" localSheetId="35">'DIA 28'!$A$1:$H$71</definedName>
    <definedName name="_xlnm.Print_Area" localSheetId="36">'DIA 29'!$A$1:$H$71</definedName>
    <definedName name="_xlnm.Print_Area" localSheetId="10">'DIA 3'!$A$1:$H$71</definedName>
    <definedName name="_xlnm.Print_Area" localSheetId="37">'DIA 30'!$A$1:$H$71</definedName>
    <definedName name="_xlnm.Print_Area" localSheetId="38">'DIA 31'!$A$1:$H$71</definedName>
    <definedName name="_xlnm.Print_Area" localSheetId="11">'DIA 4'!$A$1:$H$71</definedName>
    <definedName name="_xlnm.Print_Area" localSheetId="12">'DIA 5'!$A$1:$H$71</definedName>
    <definedName name="_xlnm.Print_Area" localSheetId="13">'DIA 6'!$A$1:$H$71</definedName>
    <definedName name="_xlnm.Print_Area" localSheetId="14">'DIA 7'!$A$1:$H$71</definedName>
    <definedName name="_xlnm.Print_Area" localSheetId="15">'DIA 8'!$A$1:$H$71</definedName>
    <definedName name="_xlnm.Print_Area" localSheetId="16">'DIA 9'!$A$1:$H$71</definedName>
  </definedNames>
  <calcPr calcId="162913"/>
  <fileRecoveryPr repairLoad="1"/>
</workbook>
</file>

<file path=xl/calcChain.xml><?xml version="1.0" encoding="utf-8"?>
<calcChain xmlns="http://schemas.openxmlformats.org/spreadsheetml/2006/main">
  <c r="Y42" i="111" l="1"/>
  <c r="U80" i="117" l="1"/>
  <c r="Q80" i="117"/>
  <c r="U79" i="117"/>
  <c r="Q79" i="117"/>
  <c r="U78" i="117"/>
  <c r="Q78" i="117"/>
  <c r="U80" i="116" l="1"/>
  <c r="Q80" i="116"/>
  <c r="U79" i="116"/>
  <c r="Q79" i="116"/>
  <c r="U78" i="116"/>
  <c r="Q78" i="116"/>
  <c r="U80" i="115" l="1"/>
  <c r="Q80" i="115"/>
  <c r="R71" i="115"/>
  <c r="U79" i="115"/>
  <c r="Q79" i="115"/>
  <c r="U78" i="115"/>
  <c r="Q78" i="115"/>
  <c r="R72" i="114" l="1"/>
  <c r="Q108" i="114"/>
  <c r="Q103" i="111"/>
  <c r="R70" i="112"/>
  <c r="B16" i="112"/>
  <c r="Q107" i="113"/>
  <c r="Q106" i="113"/>
  <c r="Q104" i="113"/>
  <c r="Q105" i="113"/>
  <c r="Q103" i="113"/>
  <c r="R70" i="113"/>
  <c r="R72" i="139" l="1"/>
  <c r="R72" i="138"/>
  <c r="P72" i="138"/>
  <c r="R72" i="137"/>
  <c r="R72" i="135"/>
  <c r="R71" i="134"/>
  <c r="R72" i="134"/>
  <c r="R72" i="133"/>
  <c r="R71" i="131"/>
  <c r="R72" i="131"/>
  <c r="R70" i="130"/>
  <c r="R72" i="132" l="1"/>
  <c r="R72" i="124" l="1"/>
  <c r="R72" i="123" l="1"/>
  <c r="R71" i="123"/>
  <c r="R70" i="119" l="1"/>
  <c r="R71" i="118"/>
  <c r="P105" i="118"/>
  <c r="P103" i="118"/>
  <c r="P102" i="40" l="1"/>
  <c r="P103" i="40"/>
  <c r="Q108" i="117" l="1"/>
  <c r="Q109" i="117"/>
  <c r="Q107" i="117"/>
  <c r="Q106" i="117" l="1"/>
  <c r="L29" i="115" l="1"/>
  <c r="Q102" i="115" l="1"/>
  <c r="P104" i="112" l="1"/>
  <c r="P103" i="112"/>
  <c r="P100" i="112"/>
  <c r="Q102" i="110" l="1"/>
  <c r="P102" i="136" l="1"/>
  <c r="Q98" i="138"/>
  <c r="P104" i="138" l="1"/>
  <c r="P103" i="138"/>
  <c r="P102" i="138"/>
  <c r="P101" i="138"/>
  <c r="Q103" i="137" l="1"/>
  <c r="P104" i="136" l="1"/>
  <c r="P103" i="136"/>
  <c r="P101" i="136"/>
  <c r="P104" i="133" l="1"/>
  <c r="P102" i="133"/>
  <c r="P106" i="131" l="1"/>
  <c r="P105" i="131"/>
  <c r="P104" i="131"/>
  <c r="Q100" i="132" l="1"/>
  <c r="P101" i="128" l="1"/>
  <c r="P105" i="128"/>
  <c r="P104" i="128"/>
  <c r="P103" i="128"/>
  <c r="P102" i="128"/>
  <c r="P102" i="126" l="1"/>
  <c r="Q100" i="125" l="1"/>
  <c r="R102" i="123" l="1"/>
  <c r="Q98" i="124" l="1"/>
  <c r="Q104" i="122" l="1"/>
  <c r="P104" i="121"/>
  <c r="P103" i="121"/>
  <c r="Q98" i="119" l="1"/>
  <c r="Q108" i="119"/>
  <c r="Q107" i="119"/>
  <c r="Q106" i="119"/>
  <c r="Q105" i="119"/>
  <c r="Q104" i="119"/>
  <c r="Q98" i="118"/>
  <c r="P102" i="121" l="1"/>
  <c r="P106" i="118" l="1"/>
  <c r="Q102" i="119"/>
  <c r="Q105" i="117" l="1"/>
  <c r="Q104" i="117" l="1"/>
  <c r="P102" i="112" l="1"/>
  <c r="P101" i="112" l="1"/>
  <c r="Q98" i="111" l="1"/>
  <c r="Q102" i="111"/>
  <c r="Q101" i="111"/>
  <c r="Q100" i="111"/>
  <c r="Q101" i="110" l="1"/>
  <c r="Q98" i="40"/>
  <c r="P101" i="40" l="1"/>
  <c r="P100" i="40"/>
  <c r="P103" i="135" l="1"/>
  <c r="P102" i="135"/>
  <c r="P103" i="131" l="1"/>
  <c r="P102" i="131"/>
  <c r="P101" i="131"/>
  <c r="Q102" i="129" l="1"/>
  <c r="B22" i="119"/>
  <c r="Q101" i="134" l="1"/>
  <c r="Q103" i="134"/>
  <c r="Q106" i="134"/>
  <c r="Q105" i="134"/>
  <c r="Q104" i="134"/>
  <c r="Q102" i="134"/>
  <c r="Q100" i="134"/>
  <c r="Q98" i="134"/>
  <c r="P103" i="133" l="1"/>
  <c r="P101" i="133"/>
  <c r="P100" i="133"/>
  <c r="P106" i="133"/>
  <c r="Q104" i="132" l="1"/>
  <c r="Q103" i="132"/>
  <c r="Q102" i="132"/>
  <c r="Q101" i="132"/>
  <c r="Q104" i="129" l="1"/>
  <c r="P103" i="130" l="1"/>
  <c r="P108" i="130"/>
  <c r="P100" i="130"/>
  <c r="Q107" i="129" l="1"/>
  <c r="P105" i="126" l="1"/>
  <c r="P104" i="126"/>
  <c r="P106" i="126"/>
  <c r="P101" i="126"/>
  <c r="P103" i="126"/>
  <c r="Q98" i="126" l="1"/>
  <c r="R106" i="123" l="1"/>
  <c r="R104" i="123"/>
  <c r="R107" i="123"/>
  <c r="R105" i="123"/>
  <c r="R103" i="123"/>
  <c r="R101" i="123"/>
  <c r="Q102" i="122" l="1"/>
  <c r="Q98" i="121" l="1"/>
  <c r="Q106" i="115" l="1"/>
  <c r="Q105" i="115"/>
  <c r="Q104" i="115"/>
  <c r="Q103" i="115"/>
  <c r="Q101" i="115"/>
  <c r="Q102" i="113" l="1"/>
  <c r="Q106" i="110" l="1"/>
  <c r="Q105" i="110"/>
  <c r="Q104" i="110"/>
  <c r="Q103" i="110"/>
  <c r="P105" i="139" l="1"/>
  <c r="P104" i="139"/>
  <c r="P103" i="139"/>
  <c r="P102" i="139"/>
  <c r="P101" i="139"/>
  <c r="Q98" i="139" l="1"/>
  <c r="Q106" i="137" l="1"/>
  <c r="Q105" i="137"/>
  <c r="Q104" i="137"/>
  <c r="Q102" i="137"/>
  <c r="Q101" i="137"/>
  <c r="Q98" i="137"/>
  <c r="Q98" i="136" l="1"/>
  <c r="P105" i="135" l="1"/>
  <c r="P104" i="135"/>
  <c r="P101" i="135" l="1"/>
  <c r="Q98" i="135" l="1"/>
  <c r="P105" i="133" l="1"/>
  <c r="Q98" i="133"/>
  <c r="Q98" i="132" l="1"/>
  <c r="Q98" i="131" l="1"/>
  <c r="P105" i="130" l="1"/>
  <c r="P104" i="130"/>
  <c r="P102" i="130"/>
  <c r="P101" i="130"/>
  <c r="Q98" i="130"/>
  <c r="Q106" i="129" l="1"/>
  <c r="Q105" i="129"/>
  <c r="Q103" i="129"/>
  <c r="Q98" i="129"/>
  <c r="Q98" i="128" l="1"/>
  <c r="P106" i="127" l="1"/>
  <c r="P105" i="127"/>
  <c r="P104" i="127"/>
  <c r="P103" i="127"/>
  <c r="P102" i="127"/>
  <c r="P101" i="127"/>
  <c r="Q98" i="127"/>
  <c r="Q98" i="125" l="1"/>
  <c r="Q106" i="124" l="1"/>
  <c r="Q105" i="124"/>
  <c r="Q104" i="124"/>
  <c r="Q103" i="124"/>
  <c r="Q102" i="124"/>
  <c r="Q101" i="124"/>
  <c r="Q98" i="123" l="1"/>
  <c r="Q98" i="122" l="1"/>
  <c r="Q107" i="122"/>
  <c r="Q103" i="122"/>
  <c r="Q105" i="122"/>
  <c r="Q106" i="122"/>
  <c r="P106" i="121" l="1"/>
  <c r="P101" i="121"/>
  <c r="Q106" i="120" l="1"/>
  <c r="Q105" i="120"/>
  <c r="Q104" i="120"/>
  <c r="Q103" i="120"/>
  <c r="Q102" i="120"/>
  <c r="Q101" i="120"/>
  <c r="Q98" i="120" l="1"/>
  <c r="Q103" i="119" l="1"/>
  <c r="P108" i="118" l="1"/>
  <c r="P107" i="118"/>
  <c r="P104" i="118"/>
  <c r="Q98" i="117" l="1"/>
  <c r="P106" i="116" l="1"/>
  <c r="P105" i="116"/>
  <c r="P104" i="116"/>
  <c r="P103" i="116"/>
  <c r="P102" i="116"/>
  <c r="P101" i="116"/>
  <c r="Q98" i="116"/>
  <c r="Q98" i="115" l="1"/>
  <c r="Q107" i="114" l="1"/>
  <c r="Q106" i="114"/>
  <c r="Q105" i="114"/>
  <c r="Q104" i="114"/>
  <c r="Q103" i="114"/>
  <c r="Q98" i="114"/>
  <c r="Q98" i="113" l="1"/>
  <c r="Q98" i="112" l="1"/>
  <c r="Q106" i="111" l="1"/>
  <c r="Q105" i="111"/>
  <c r="Q104" i="111"/>
  <c r="Q98" i="110" l="1"/>
  <c r="A38" i="109" l="1"/>
  <c r="A37" i="109"/>
  <c r="A36" i="109"/>
  <c r="A35" i="109"/>
  <c r="A34" i="109"/>
  <c r="A33" i="109"/>
  <c r="A32" i="109"/>
  <c r="A31" i="109"/>
  <c r="A30" i="109"/>
  <c r="A29" i="109"/>
  <c r="A28" i="109"/>
  <c r="A27" i="109"/>
  <c r="A26" i="109"/>
  <c r="A25" i="109"/>
  <c r="A24" i="109"/>
  <c r="A23" i="109"/>
  <c r="A22" i="109"/>
  <c r="A21" i="109"/>
  <c r="A20" i="109"/>
  <c r="A19" i="109"/>
  <c r="A18" i="109"/>
  <c r="A17" i="109"/>
  <c r="A16" i="109"/>
  <c r="A15" i="109"/>
  <c r="A14" i="109"/>
  <c r="A13" i="109"/>
  <c r="A12" i="109"/>
  <c r="A11" i="109"/>
  <c r="A10" i="109"/>
  <c r="A9" i="109"/>
  <c r="A8" i="109"/>
  <c r="A38" i="75"/>
  <c r="A37" i="75"/>
  <c r="A36" i="75"/>
  <c r="A35" i="75"/>
  <c r="A34" i="75"/>
  <c r="A33" i="75"/>
  <c r="A32" i="75"/>
  <c r="A31" i="75"/>
  <c r="A30" i="75"/>
  <c r="A29" i="75"/>
  <c r="A28" i="75"/>
  <c r="A27" i="75"/>
  <c r="A26" i="75"/>
  <c r="A25" i="75"/>
  <c r="A24" i="75"/>
  <c r="A23" i="75"/>
  <c r="A22" i="75"/>
  <c r="A21" i="75"/>
  <c r="A20" i="75"/>
  <c r="A19" i="75"/>
  <c r="A18" i="75"/>
  <c r="A17" i="75"/>
  <c r="A16" i="75"/>
  <c r="A15" i="75"/>
  <c r="A14" i="75"/>
  <c r="A13" i="75"/>
  <c r="A12" i="75"/>
  <c r="A11" i="75"/>
  <c r="A10" i="75"/>
  <c r="A9" i="75"/>
  <c r="A8" i="75"/>
  <c r="A39" i="143"/>
  <c r="A38" i="143"/>
  <c r="A37" i="143"/>
  <c r="A36" i="143"/>
  <c r="A35" i="143"/>
  <c r="A34" i="143"/>
  <c r="A33" i="143"/>
  <c r="A32" i="143"/>
  <c r="A31" i="143"/>
  <c r="A30" i="143"/>
  <c r="A29" i="143"/>
  <c r="A28" i="143"/>
  <c r="A27" i="143"/>
  <c r="A26" i="143"/>
  <c r="A25" i="143"/>
  <c r="A24" i="143"/>
  <c r="A23" i="143"/>
  <c r="A22" i="143"/>
  <c r="A21" i="143"/>
  <c r="A20" i="143"/>
  <c r="A19" i="143"/>
  <c r="A18" i="143"/>
  <c r="A17" i="143"/>
  <c r="A16" i="143"/>
  <c r="A15" i="143"/>
  <c r="A14" i="143"/>
  <c r="A13" i="143"/>
  <c r="A12" i="143"/>
  <c r="A11" i="143"/>
  <c r="A10" i="143"/>
  <c r="A9" i="143"/>
  <c r="A39" i="142"/>
  <c r="A38" i="142"/>
  <c r="A37" i="142"/>
  <c r="A36" i="142"/>
  <c r="A35" i="142"/>
  <c r="A34" i="142"/>
  <c r="A33" i="142"/>
  <c r="A32" i="142"/>
  <c r="A31" i="142"/>
  <c r="A30" i="142"/>
  <c r="A29" i="142"/>
  <c r="A28" i="142"/>
  <c r="A27" i="142"/>
  <c r="A26" i="142"/>
  <c r="A25" i="142"/>
  <c r="A24" i="142"/>
  <c r="A23" i="142"/>
  <c r="A22" i="142"/>
  <c r="A21" i="142"/>
  <c r="A20" i="142"/>
  <c r="A19" i="142"/>
  <c r="A18" i="142"/>
  <c r="A17" i="142"/>
  <c r="A16" i="142"/>
  <c r="A15" i="142"/>
  <c r="A14" i="142"/>
  <c r="A13" i="142"/>
  <c r="A12" i="142"/>
  <c r="A11" i="142"/>
  <c r="A10" i="142"/>
  <c r="A9" i="142"/>
  <c r="A39" i="141"/>
  <c r="A38" i="141"/>
  <c r="A37" i="141"/>
  <c r="A36" i="141"/>
  <c r="A35" i="141"/>
  <c r="A34" i="141"/>
  <c r="A33" i="141"/>
  <c r="A32" i="141"/>
  <c r="A31" i="141"/>
  <c r="A30" i="141"/>
  <c r="A29" i="141"/>
  <c r="A28" i="141"/>
  <c r="A27" i="141"/>
  <c r="A26" i="141"/>
  <c r="A25" i="141"/>
  <c r="A24" i="141"/>
  <c r="A23" i="141"/>
  <c r="A22" i="141"/>
  <c r="A21" i="141"/>
  <c r="A20" i="141"/>
  <c r="A19" i="141"/>
  <c r="A18" i="141"/>
  <c r="A17" i="141"/>
  <c r="A16" i="141"/>
  <c r="A15" i="141"/>
  <c r="A14" i="141"/>
  <c r="A13" i="141"/>
  <c r="A12" i="141"/>
  <c r="A11" i="141"/>
  <c r="A10" i="141"/>
  <c r="A9" i="141"/>
  <c r="A39" i="140"/>
  <c r="A38" i="140"/>
  <c r="A37" i="140"/>
  <c r="A36" i="140"/>
  <c r="A35" i="140"/>
  <c r="A34" i="140"/>
  <c r="A33" i="140"/>
  <c r="A32" i="140"/>
  <c r="A31" i="140"/>
  <c r="A30" i="140"/>
  <c r="A29" i="140"/>
  <c r="A28" i="140"/>
  <c r="A27" i="140"/>
  <c r="A26" i="140"/>
  <c r="A25" i="140"/>
  <c r="A24" i="140"/>
  <c r="A23" i="140"/>
  <c r="A22" i="140"/>
  <c r="A21" i="140"/>
  <c r="A20" i="140"/>
  <c r="A19" i="140"/>
  <c r="A18" i="140"/>
  <c r="A17" i="140"/>
  <c r="A16" i="140"/>
  <c r="A15" i="140"/>
  <c r="A14" i="140"/>
  <c r="A13" i="140"/>
  <c r="A12" i="140"/>
  <c r="A11" i="140"/>
  <c r="A10" i="140"/>
  <c r="A9" i="140"/>
  <c r="A39" i="34"/>
  <c r="A38" i="34"/>
  <c r="A37" i="34"/>
  <c r="A36" i="34"/>
  <c r="A35" i="34"/>
  <c r="A34" i="34"/>
  <c r="A33" i="34"/>
  <c r="A32" i="34"/>
  <c r="A31" i="34"/>
  <c r="A30" i="34"/>
  <c r="A29" i="34"/>
  <c r="A28" i="34"/>
  <c r="A27" i="34"/>
  <c r="A26" i="34"/>
  <c r="A25" i="34"/>
  <c r="A24" i="34"/>
  <c r="A23" i="34"/>
  <c r="A22" i="34"/>
  <c r="A21" i="34"/>
  <c r="A20" i="34"/>
  <c r="A19" i="34"/>
  <c r="A18" i="34"/>
  <c r="A17" i="34"/>
  <c r="A16" i="34"/>
  <c r="A15" i="34"/>
  <c r="A14" i="34"/>
  <c r="A13" i="34"/>
  <c r="A12" i="34"/>
  <c r="A11" i="34"/>
  <c r="A10" i="34"/>
  <c r="A9" i="34"/>
  <c r="B38" i="75"/>
  <c r="B37" i="75"/>
  <c r="B36" i="75"/>
  <c r="B35" i="75"/>
  <c r="B34" i="75"/>
  <c r="B33" i="75"/>
  <c r="B32" i="75"/>
  <c r="B31" i="75"/>
  <c r="B30" i="75"/>
  <c r="B29" i="75"/>
  <c r="B28" i="75"/>
  <c r="B27" i="75"/>
  <c r="B26" i="75"/>
  <c r="B25" i="75"/>
  <c r="B24" i="75"/>
  <c r="B23" i="75"/>
  <c r="B22" i="75"/>
  <c r="B21" i="75"/>
  <c r="B20" i="75"/>
  <c r="B19" i="75"/>
  <c r="B18" i="75"/>
  <c r="B17" i="75"/>
  <c r="B16" i="75"/>
  <c r="B15" i="75"/>
  <c r="B14" i="75"/>
  <c r="B13" i="75"/>
  <c r="B12" i="75"/>
  <c r="B11" i="75"/>
  <c r="B10" i="75"/>
  <c r="B9" i="75"/>
  <c r="B8" i="75"/>
  <c r="E8" i="75" s="1"/>
  <c r="F39" i="143"/>
  <c r="F38" i="143"/>
  <c r="F37" i="143"/>
  <c r="F36" i="143"/>
  <c r="F35" i="143"/>
  <c r="F34" i="143"/>
  <c r="F33" i="143"/>
  <c r="F32" i="143"/>
  <c r="F31" i="143"/>
  <c r="F30" i="143"/>
  <c r="F29" i="143"/>
  <c r="F28" i="143"/>
  <c r="F27" i="143"/>
  <c r="F26" i="143"/>
  <c r="F25" i="143"/>
  <c r="F24" i="143"/>
  <c r="F23" i="143"/>
  <c r="F22" i="143"/>
  <c r="F21" i="143"/>
  <c r="F20" i="143"/>
  <c r="F19" i="143"/>
  <c r="F18" i="143"/>
  <c r="F17" i="143"/>
  <c r="F16" i="143"/>
  <c r="F15" i="143"/>
  <c r="F14" i="143"/>
  <c r="F13" i="143"/>
  <c r="F12" i="143"/>
  <c r="F11" i="143"/>
  <c r="F10" i="143"/>
  <c r="F9" i="143"/>
  <c r="E39" i="143"/>
  <c r="E38" i="143"/>
  <c r="E37" i="143"/>
  <c r="E36" i="143"/>
  <c r="E35" i="143"/>
  <c r="E34" i="143"/>
  <c r="E33" i="143"/>
  <c r="E32" i="143"/>
  <c r="E31" i="143"/>
  <c r="E30" i="143"/>
  <c r="E29" i="143"/>
  <c r="E28" i="143"/>
  <c r="E27" i="143"/>
  <c r="E26" i="143"/>
  <c r="E25" i="143"/>
  <c r="E24" i="143"/>
  <c r="E23" i="143"/>
  <c r="E22" i="143"/>
  <c r="E21" i="143"/>
  <c r="E20" i="143"/>
  <c r="E19" i="143"/>
  <c r="E18" i="143"/>
  <c r="E17" i="143"/>
  <c r="E16" i="143"/>
  <c r="E15" i="143"/>
  <c r="E14" i="143"/>
  <c r="E13" i="143"/>
  <c r="E12" i="143"/>
  <c r="E11" i="143"/>
  <c r="E10" i="143"/>
  <c r="E9" i="143"/>
  <c r="F39" i="142"/>
  <c r="F38" i="142"/>
  <c r="F37" i="142"/>
  <c r="F36" i="142"/>
  <c r="F35" i="142"/>
  <c r="F34" i="142"/>
  <c r="F33" i="142"/>
  <c r="F32" i="142"/>
  <c r="F31" i="142"/>
  <c r="F30" i="142"/>
  <c r="F29" i="142"/>
  <c r="F28" i="142"/>
  <c r="F27" i="142"/>
  <c r="F26" i="142"/>
  <c r="F25" i="142"/>
  <c r="F24" i="142"/>
  <c r="F23" i="142"/>
  <c r="F22" i="142"/>
  <c r="F21" i="142"/>
  <c r="F20" i="142"/>
  <c r="F19" i="142"/>
  <c r="F18" i="142"/>
  <c r="F17" i="142"/>
  <c r="F16" i="142"/>
  <c r="F15" i="142"/>
  <c r="F14" i="142"/>
  <c r="F13" i="142"/>
  <c r="F12" i="142"/>
  <c r="F11" i="142"/>
  <c r="F10" i="142"/>
  <c r="F9" i="142"/>
  <c r="E39" i="142"/>
  <c r="E38" i="142"/>
  <c r="E37" i="142"/>
  <c r="E36" i="142"/>
  <c r="E35" i="142"/>
  <c r="E34" i="142"/>
  <c r="E33" i="142"/>
  <c r="E32" i="142"/>
  <c r="E31" i="142"/>
  <c r="E30" i="142"/>
  <c r="E29" i="142"/>
  <c r="E28" i="142"/>
  <c r="E27" i="142"/>
  <c r="E26" i="142"/>
  <c r="E25" i="142"/>
  <c r="E24" i="142"/>
  <c r="E23" i="142"/>
  <c r="E22" i="142"/>
  <c r="E21" i="142"/>
  <c r="E20" i="142"/>
  <c r="E19" i="142"/>
  <c r="E18" i="142"/>
  <c r="E17" i="142"/>
  <c r="E16" i="142"/>
  <c r="E15" i="142"/>
  <c r="E14" i="142"/>
  <c r="E13" i="142"/>
  <c r="E12" i="142"/>
  <c r="E11" i="142"/>
  <c r="E10" i="142"/>
  <c r="E9" i="142"/>
  <c r="F9" i="34"/>
  <c r="E9" i="34"/>
  <c r="F9" i="140"/>
  <c r="E9" i="140"/>
  <c r="H9" i="141"/>
  <c r="H39" i="141"/>
  <c r="H38" i="141"/>
  <c r="H37" i="141"/>
  <c r="H36" i="141"/>
  <c r="H35" i="141"/>
  <c r="H34" i="141"/>
  <c r="H33" i="141"/>
  <c r="H32" i="141"/>
  <c r="H31" i="141"/>
  <c r="H30" i="141"/>
  <c r="H29" i="141"/>
  <c r="H28" i="141"/>
  <c r="H27" i="141"/>
  <c r="H26" i="141"/>
  <c r="H25" i="141"/>
  <c r="H24" i="141"/>
  <c r="H23" i="141"/>
  <c r="H22" i="141"/>
  <c r="H21" i="141"/>
  <c r="H20" i="141"/>
  <c r="H19" i="141"/>
  <c r="H18" i="141"/>
  <c r="H17" i="141"/>
  <c r="H16" i="141"/>
  <c r="H15" i="141"/>
  <c r="H14" i="141"/>
  <c r="H13" i="141"/>
  <c r="H12" i="141"/>
  <c r="H11" i="141"/>
  <c r="H10" i="141"/>
  <c r="G39" i="141"/>
  <c r="G38" i="141"/>
  <c r="G37" i="141"/>
  <c r="G36" i="141"/>
  <c r="G35" i="141"/>
  <c r="G34" i="141"/>
  <c r="G33" i="141"/>
  <c r="G32" i="141"/>
  <c r="G31" i="141"/>
  <c r="G30" i="141"/>
  <c r="G29" i="141"/>
  <c r="G28" i="141"/>
  <c r="G27" i="141"/>
  <c r="G26" i="141"/>
  <c r="G25" i="141"/>
  <c r="G24" i="141"/>
  <c r="G23" i="141"/>
  <c r="G22" i="141"/>
  <c r="G21" i="141"/>
  <c r="G20" i="141"/>
  <c r="G19" i="141"/>
  <c r="G18" i="141"/>
  <c r="G17" i="141"/>
  <c r="G16" i="141"/>
  <c r="G15" i="141"/>
  <c r="G14" i="141"/>
  <c r="G13" i="141"/>
  <c r="G12" i="141"/>
  <c r="G11" i="141"/>
  <c r="G10" i="141"/>
  <c r="G9" i="141"/>
  <c r="F9" i="141"/>
  <c r="F39" i="141"/>
  <c r="F38" i="141"/>
  <c r="F37" i="141"/>
  <c r="F36" i="141"/>
  <c r="F35" i="141"/>
  <c r="F34" i="141"/>
  <c r="F33" i="141"/>
  <c r="F32" i="141"/>
  <c r="F31" i="141"/>
  <c r="F30" i="141"/>
  <c r="F29" i="141"/>
  <c r="F28" i="141"/>
  <c r="F27" i="141"/>
  <c r="F26" i="141"/>
  <c r="F25" i="141"/>
  <c r="F24" i="141"/>
  <c r="F23" i="141"/>
  <c r="F22" i="141"/>
  <c r="F21" i="141"/>
  <c r="F20" i="141"/>
  <c r="F19" i="141"/>
  <c r="F18" i="141"/>
  <c r="F17" i="141"/>
  <c r="F16" i="141"/>
  <c r="F15" i="141"/>
  <c r="F14" i="141"/>
  <c r="F13" i="141"/>
  <c r="F12" i="141"/>
  <c r="F11" i="141"/>
  <c r="F10" i="141"/>
  <c r="F39" i="34"/>
  <c r="F38" i="34"/>
  <c r="F37" i="34"/>
  <c r="F36" i="34"/>
  <c r="F35" i="34"/>
  <c r="F34" i="34"/>
  <c r="F33" i="34"/>
  <c r="F32" i="34"/>
  <c r="F31" i="34"/>
  <c r="F30" i="34"/>
  <c r="F29" i="34"/>
  <c r="F28" i="34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E39" i="34"/>
  <c r="E38" i="34"/>
  <c r="E37" i="34"/>
  <c r="E36" i="34"/>
  <c r="E35" i="34"/>
  <c r="E34" i="34"/>
  <c r="E33" i="34"/>
  <c r="E32" i="34"/>
  <c r="E31" i="34"/>
  <c r="E30" i="34"/>
  <c r="E29" i="34"/>
  <c r="E28" i="34"/>
  <c r="E27" i="34"/>
  <c r="E26" i="34"/>
  <c r="E25" i="34"/>
  <c r="E24" i="34"/>
  <c r="E23" i="34"/>
  <c r="E22" i="34"/>
  <c r="E21" i="34"/>
  <c r="E20" i="34"/>
  <c r="E19" i="34"/>
  <c r="E18" i="34"/>
  <c r="E17" i="34"/>
  <c r="E16" i="34"/>
  <c r="E15" i="34"/>
  <c r="E14" i="34"/>
  <c r="E13" i="34"/>
  <c r="E12" i="34"/>
  <c r="E11" i="34"/>
  <c r="E10" i="34"/>
  <c r="F39" i="140"/>
  <c r="E39" i="140"/>
  <c r="F38" i="140"/>
  <c r="E38" i="140"/>
  <c r="F37" i="140"/>
  <c r="E37" i="140"/>
  <c r="F36" i="140"/>
  <c r="E36" i="140"/>
  <c r="F35" i="140"/>
  <c r="E35" i="140"/>
  <c r="F34" i="140"/>
  <c r="E34" i="140"/>
  <c r="F33" i="140"/>
  <c r="E33" i="140"/>
  <c r="F32" i="140"/>
  <c r="E32" i="140"/>
  <c r="F31" i="140"/>
  <c r="E31" i="140"/>
  <c r="F30" i="140"/>
  <c r="E30" i="140"/>
  <c r="F29" i="140"/>
  <c r="E29" i="140"/>
  <c r="F28" i="140"/>
  <c r="E28" i="140"/>
  <c r="F27" i="140"/>
  <c r="E27" i="140"/>
  <c r="F26" i="140"/>
  <c r="E26" i="140"/>
  <c r="F25" i="140"/>
  <c r="E25" i="140"/>
  <c r="F24" i="140"/>
  <c r="E24" i="140"/>
  <c r="F23" i="140"/>
  <c r="E23" i="140"/>
  <c r="F22" i="140"/>
  <c r="E22" i="140"/>
  <c r="F21" i="140"/>
  <c r="E21" i="140"/>
  <c r="F20" i="140"/>
  <c r="E20" i="140"/>
  <c r="F19" i="140"/>
  <c r="E19" i="140"/>
  <c r="F18" i="140"/>
  <c r="E18" i="140"/>
  <c r="F17" i="140"/>
  <c r="E17" i="140"/>
  <c r="F16" i="140"/>
  <c r="E16" i="140"/>
  <c r="F15" i="140"/>
  <c r="E15" i="140"/>
  <c r="F14" i="140"/>
  <c r="E14" i="140"/>
  <c r="F13" i="140"/>
  <c r="E13" i="140"/>
  <c r="F12" i="140"/>
  <c r="E12" i="140"/>
  <c r="F11" i="140"/>
  <c r="E11" i="140"/>
  <c r="F10" i="140"/>
  <c r="E10" i="140"/>
  <c r="C38" i="77"/>
  <c r="C37" i="77"/>
  <c r="C36" i="77"/>
  <c r="C35" i="77"/>
  <c r="C34" i="77"/>
  <c r="C33" i="77"/>
  <c r="C32" i="77"/>
  <c r="C31" i="77"/>
  <c r="C30" i="77"/>
  <c r="C29" i="77"/>
  <c r="C28" i="77"/>
  <c r="C27" i="77"/>
  <c r="C26" i="77"/>
  <c r="C25" i="77"/>
  <c r="C24" i="77"/>
  <c r="C23" i="77"/>
  <c r="C22" i="77"/>
  <c r="C21" i="77"/>
  <c r="C20" i="77"/>
  <c r="C19" i="77"/>
  <c r="C18" i="77"/>
  <c r="C17" i="77"/>
  <c r="C16" i="77"/>
  <c r="C15" i="77"/>
  <c r="C14" i="77"/>
  <c r="C13" i="77"/>
  <c r="C12" i="77"/>
  <c r="C11" i="77"/>
  <c r="C10" i="77"/>
  <c r="C9" i="77"/>
  <c r="B9" i="77"/>
  <c r="B38" i="77"/>
  <c r="B37" i="77"/>
  <c r="B36" i="77"/>
  <c r="B35" i="77"/>
  <c r="B34" i="77"/>
  <c r="B33" i="77"/>
  <c r="B32" i="77"/>
  <c r="B31" i="77"/>
  <c r="B30" i="77"/>
  <c r="B29" i="77"/>
  <c r="B28" i="77"/>
  <c r="B27" i="77"/>
  <c r="B26" i="77"/>
  <c r="B25" i="77"/>
  <c r="B24" i="77"/>
  <c r="B23" i="77"/>
  <c r="B22" i="77"/>
  <c r="B21" i="77"/>
  <c r="B20" i="77"/>
  <c r="B19" i="77"/>
  <c r="B18" i="77"/>
  <c r="B17" i="77"/>
  <c r="B16" i="77"/>
  <c r="B15" i="77"/>
  <c r="B14" i="77"/>
  <c r="B13" i="77"/>
  <c r="B12" i="77"/>
  <c r="B11" i="77"/>
  <c r="B10" i="77"/>
  <c r="A38" i="77"/>
  <c r="A37" i="77"/>
  <c r="A36" i="77"/>
  <c r="A35" i="77"/>
  <c r="A34" i="77"/>
  <c r="A33" i="77"/>
  <c r="A32" i="77"/>
  <c r="A31" i="77"/>
  <c r="A30" i="77"/>
  <c r="A29" i="77"/>
  <c r="A28" i="77"/>
  <c r="A27" i="77"/>
  <c r="A26" i="77"/>
  <c r="A25" i="77"/>
  <c r="A24" i="77"/>
  <c r="A23" i="77"/>
  <c r="A22" i="77"/>
  <c r="A21" i="77"/>
  <c r="A20" i="77"/>
  <c r="A19" i="77"/>
  <c r="A18" i="77"/>
  <c r="A17" i="77"/>
  <c r="A16" i="77"/>
  <c r="A15" i="77"/>
  <c r="A14" i="77"/>
  <c r="A13" i="77"/>
  <c r="A12" i="77"/>
  <c r="A11" i="77"/>
  <c r="A10" i="77"/>
  <c r="A9" i="77"/>
  <c r="A8" i="77"/>
  <c r="Z98" i="139"/>
  <c r="V98" i="139"/>
  <c r="U98" i="139"/>
  <c r="P98" i="139"/>
  <c r="X97" i="139"/>
  <c r="Y97" i="139" s="1"/>
  <c r="S97" i="139"/>
  <c r="T97" i="139" s="1"/>
  <c r="X96" i="139"/>
  <c r="Y96" i="139" s="1"/>
  <c r="S96" i="139"/>
  <c r="T96" i="139" s="1"/>
  <c r="X95" i="139"/>
  <c r="Y95" i="139" s="1"/>
  <c r="S95" i="139"/>
  <c r="T95" i="139" s="1"/>
  <c r="X94" i="139"/>
  <c r="Y94" i="139" s="1"/>
  <c r="S94" i="139"/>
  <c r="T94" i="139" s="1"/>
  <c r="X93" i="139"/>
  <c r="Y93" i="139" s="1"/>
  <c r="S93" i="139"/>
  <c r="T93" i="139" s="1"/>
  <c r="X92" i="139"/>
  <c r="Y92" i="139" s="1"/>
  <c r="S92" i="139"/>
  <c r="T92" i="139" s="1"/>
  <c r="X91" i="139"/>
  <c r="Y91" i="139" s="1"/>
  <c r="S91" i="139"/>
  <c r="T91" i="139" s="1"/>
  <c r="X90" i="139"/>
  <c r="Y90" i="139" s="1"/>
  <c r="S90" i="139"/>
  <c r="T90" i="139" s="1"/>
  <c r="X89" i="139"/>
  <c r="Y89" i="139" s="1"/>
  <c r="S89" i="139"/>
  <c r="T89" i="139" s="1"/>
  <c r="X88" i="139"/>
  <c r="Y88" i="139" s="1"/>
  <c r="S88" i="139"/>
  <c r="T88" i="139" s="1"/>
  <c r="X87" i="139"/>
  <c r="Y87" i="139" s="1"/>
  <c r="S87" i="139"/>
  <c r="T87" i="139" s="1"/>
  <c r="X86" i="139"/>
  <c r="Y86" i="139" s="1"/>
  <c r="S86" i="139"/>
  <c r="T86" i="139" s="1"/>
  <c r="X85" i="139"/>
  <c r="Y85" i="139" s="1"/>
  <c r="S85" i="139"/>
  <c r="T85" i="139" s="1"/>
  <c r="X84" i="139"/>
  <c r="Y84" i="139" s="1"/>
  <c r="S84" i="139"/>
  <c r="T84" i="139" s="1"/>
  <c r="X83" i="139"/>
  <c r="Y83" i="139" s="1"/>
  <c r="S83" i="139"/>
  <c r="T83" i="139" s="1"/>
  <c r="X82" i="139"/>
  <c r="Y82" i="139" s="1"/>
  <c r="S82" i="139"/>
  <c r="T82" i="139" s="1"/>
  <c r="X81" i="139"/>
  <c r="Y81" i="139" s="1"/>
  <c r="S81" i="139"/>
  <c r="T81" i="139" s="1"/>
  <c r="X80" i="139"/>
  <c r="Y80" i="139" s="1"/>
  <c r="S80" i="139"/>
  <c r="T80" i="139" s="1"/>
  <c r="X79" i="139"/>
  <c r="Y79" i="139" s="1"/>
  <c r="S79" i="139"/>
  <c r="T79" i="139" s="1"/>
  <c r="H79" i="139"/>
  <c r="X78" i="139"/>
  <c r="S78" i="139"/>
  <c r="T75" i="139"/>
  <c r="B56" i="139" s="1"/>
  <c r="J56" i="139" s="1"/>
  <c r="R75" i="139"/>
  <c r="B49" i="139" s="1"/>
  <c r="J49" i="139" s="1"/>
  <c r="B70" i="139"/>
  <c r="T69" i="139"/>
  <c r="R69" i="139"/>
  <c r="B48" i="139" s="1"/>
  <c r="J48" i="139" s="1"/>
  <c r="J69" i="139"/>
  <c r="J64" i="139"/>
  <c r="T63" i="139"/>
  <c r="S63" i="139"/>
  <c r="B58" i="139" s="1"/>
  <c r="J58" i="139" s="1"/>
  <c r="R63" i="139"/>
  <c r="B47" i="139" s="1"/>
  <c r="J47" i="139" s="1"/>
  <c r="L62" i="139"/>
  <c r="J62" i="139"/>
  <c r="H62" i="139"/>
  <c r="J61" i="139"/>
  <c r="H61" i="139"/>
  <c r="J60" i="139"/>
  <c r="H60" i="139"/>
  <c r="D60" i="139"/>
  <c r="J59" i="139"/>
  <c r="G59" i="139"/>
  <c r="L59" i="139" s="1"/>
  <c r="H58" i="139"/>
  <c r="H57" i="139"/>
  <c r="H56" i="139"/>
  <c r="H55" i="139"/>
  <c r="B55" i="139"/>
  <c r="J55" i="139" s="1"/>
  <c r="H54" i="139"/>
  <c r="B54" i="139"/>
  <c r="J54" i="139" s="1"/>
  <c r="H53" i="139"/>
  <c r="B53" i="139"/>
  <c r="J53" i="139" s="1"/>
  <c r="H52" i="139"/>
  <c r="H51" i="139"/>
  <c r="H50" i="139"/>
  <c r="H49" i="139"/>
  <c r="H48" i="139"/>
  <c r="H47" i="139"/>
  <c r="H46" i="139"/>
  <c r="L45" i="139"/>
  <c r="J45" i="139"/>
  <c r="L44" i="139"/>
  <c r="L43" i="139"/>
  <c r="B43" i="139"/>
  <c r="T42" i="139"/>
  <c r="B52" i="139" s="1"/>
  <c r="S42" i="139"/>
  <c r="B57" i="139" s="1"/>
  <c r="R42" i="139"/>
  <c r="B46" i="139" s="1"/>
  <c r="L42" i="139"/>
  <c r="B42" i="139"/>
  <c r="J42" i="139" s="1"/>
  <c r="L41" i="139"/>
  <c r="J41" i="139"/>
  <c r="L40" i="139"/>
  <c r="B40" i="139"/>
  <c r="J40" i="139" s="1"/>
  <c r="L39" i="139"/>
  <c r="J39" i="139"/>
  <c r="L38" i="139"/>
  <c r="B38" i="139"/>
  <c r="B44" i="139" s="1"/>
  <c r="L37" i="139"/>
  <c r="J37" i="139"/>
  <c r="L36" i="139"/>
  <c r="L35" i="139"/>
  <c r="B35" i="139"/>
  <c r="L34" i="139"/>
  <c r="B34" i="139"/>
  <c r="J34" i="139" s="1"/>
  <c r="L33" i="139"/>
  <c r="J33" i="139"/>
  <c r="L32" i="139"/>
  <c r="B32" i="139"/>
  <c r="J32" i="139" s="1"/>
  <c r="L31" i="139"/>
  <c r="J31" i="139"/>
  <c r="L30" i="139"/>
  <c r="B30" i="139"/>
  <c r="B36" i="139" s="1"/>
  <c r="L29" i="139"/>
  <c r="J29" i="139"/>
  <c r="L28" i="139"/>
  <c r="L27" i="139"/>
  <c r="B27" i="139"/>
  <c r="L26" i="139"/>
  <c r="B26" i="139"/>
  <c r="J26" i="139" s="1"/>
  <c r="L25" i="139"/>
  <c r="J25" i="139"/>
  <c r="L24" i="139"/>
  <c r="B24" i="139"/>
  <c r="J24" i="139" s="1"/>
  <c r="L23" i="139"/>
  <c r="J23" i="139"/>
  <c r="L22" i="139"/>
  <c r="B22" i="139"/>
  <c r="B28" i="139" s="1"/>
  <c r="L21" i="139"/>
  <c r="J21" i="139"/>
  <c r="L20" i="139"/>
  <c r="L19" i="139"/>
  <c r="B19" i="139"/>
  <c r="L18" i="139"/>
  <c r="B18" i="139"/>
  <c r="J18" i="139" s="1"/>
  <c r="L17" i="139"/>
  <c r="J17" i="139"/>
  <c r="L16" i="139"/>
  <c r="B16" i="139"/>
  <c r="J16" i="139" s="1"/>
  <c r="L15" i="139"/>
  <c r="J15" i="139"/>
  <c r="L14" i="139"/>
  <c r="B14" i="139"/>
  <c r="B20" i="139" s="1"/>
  <c r="C38" i="109" s="1"/>
  <c r="L13" i="139"/>
  <c r="J13" i="139"/>
  <c r="L12" i="139"/>
  <c r="J12" i="139"/>
  <c r="X10" i="139"/>
  <c r="V10" i="139"/>
  <c r="U10" i="139"/>
  <c r="Z98" i="138"/>
  <c r="B55" i="138" s="1"/>
  <c r="J55" i="138" s="1"/>
  <c r="V98" i="138"/>
  <c r="U98" i="138"/>
  <c r="P98" i="138"/>
  <c r="X97" i="138"/>
  <c r="Y97" i="138" s="1"/>
  <c r="S97" i="138"/>
  <c r="T97" i="138" s="1"/>
  <c r="X96" i="138"/>
  <c r="Y96" i="138" s="1"/>
  <c r="S96" i="138"/>
  <c r="T96" i="138" s="1"/>
  <c r="X95" i="138"/>
  <c r="Y95" i="138" s="1"/>
  <c r="S95" i="138"/>
  <c r="T95" i="138" s="1"/>
  <c r="X94" i="138"/>
  <c r="Y94" i="138" s="1"/>
  <c r="S94" i="138"/>
  <c r="T94" i="138" s="1"/>
  <c r="X93" i="138"/>
  <c r="Y93" i="138" s="1"/>
  <c r="S93" i="138"/>
  <c r="T93" i="138" s="1"/>
  <c r="X92" i="138"/>
  <c r="Y92" i="138" s="1"/>
  <c r="S92" i="138"/>
  <c r="T92" i="138" s="1"/>
  <c r="X91" i="138"/>
  <c r="Y91" i="138" s="1"/>
  <c r="S91" i="138"/>
  <c r="T91" i="138" s="1"/>
  <c r="X90" i="138"/>
  <c r="Y90" i="138" s="1"/>
  <c r="S90" i="138"/>
  <c r="T90" i="138" s="1"/>
  <c r="X89" i="138"/>
  <c r="Y89" i="138" s="1"/>
  <c r="S89" i="138"/>
  <c r="T89" i="138" s="1"/>
  <c r="X88" i="138"/>
  <c r="Y88" i="138" s="1"/>
  <c r="S88" i="138"/>
  <c r="T88" i="138" s="1"/>
  <c r="X87" i="138"/>
  <c r="Y87" i="138" s="1"/>
  <c r="S87" i="138"/>
  <c r="T87" i="138" s="1"/>
  <c r="X86" i="138"/>
  <c r="Y86" i="138" s="1"/>
  <c r="S86" i="138"/>
  <c r="T86" i="138" s="1"/>
  <c r="X85" i="138"/>
  <c r="Y85" i="138" s="1"/>
  <c r="S85" i="138"/>
  <c r="T85" i="138" s="1"/>
  <c r="X84" i="138"/>
  <c r="Y84" i="138" s="1"/>
  <c r="S84" i="138"/>
  <c r="T84" i="138" s="1"/>
  <c r="X83" i="138"/>
  <c r="Y83" i="138" s="1"/>
  <c r="S83" i="138"/>
  <c r="T83" i="138" s="1"/>
  <c r="X82" i="138"/>
  <c r="Y82" i="138" s="1"/>
  <c r="S82" i="138"/>
  <c r="T82" i="138" s="1"/>
  <c r="X81" i="138"/>
  <c r="Y81" i="138" s="1"/>
  <c r="S81" i="138"/>
  <c r="T81" i="138" s="1"/>
  <c r="X80" i="138"/>
  <c r="Y80" i="138" s="1"/>
  <c r="S80" i="138"/>
  <c r="T80" i="138" s="1"/>
  <c r="X79" i="138"/>
  <c r="Y79" i="138" s="1"/>
  <c r="S79" i="138"/>
  <c r="T79" i="138" s="1"/>
  <c r="X78" i="138"/>
  <c r="S78" i="138"/>
  <c r="T75" i="138"/>
  <c r="B56" i="138" s="1"/>
  <c r="J56" i="138" s="1"/>
  <c r="R75" i="138"/>
  <c r="B49" i="138" s="1"/>
  <c r="J49" i="138" s="1"/>
  <c r="B70" i="138"/>
  <c r="T69" i="138"/>
  <c r="B54" i="138" s="1"/>
  <c r="J54" i="138" s="1"/>
  <c r="R69" i="138"/>
  <c r="B48" i="138" s="1"/>
  <c r="J48" i="138" s="1"/>
  <c r="J69" i="138"/>
  <c r="J64" i="138"/>
  <c r="T63" i="138"/>
  <c r="B53" i="138" s="1"/>
  <c r="J53" i="138" s="1"/>
  <c r="S63" i="138"/>
  <c r="B58" i="138" s="1"/>
  <c r="J58" i="138" s="1"/>
  <c r="R63" i="138"/>
  <c r="L62" i="138"/>
  <c r="J62" i="138"/>
  <c r="H62" i="138"/>
  <c r="J61" i="138"/>
  <c r="H61" i="138"/>
  <c r="J60" i="138"/>
  <c r="H60" i="138"/>
  <c r="D60" i="138"/>
  <c r="J59" i="138"/>
  <c r="G59" i="138"/>
  <c r="L59" i="138" s="1"/>
  <c r="H58" i="138"/>
  <c r="H57" i="138"/>
  <c r="H56" i="138"/>
  <c r="H55" i="138"/>
  <c r="H54" i="138"/>
  <c r="H53" i="138"/>
  <c r="H52" i="138"/>
  <c r="H51" i="138"/>
  <c r="H50" i="138"/>
  <c r="H49" i="138"/>
  <c r="H48" i="138"/>
  <c r="H47" i="138"/>
  <c r="B47" i="138"/>
  <c r="J47" i="138" s="1"/>
  <c r="H46" i="138"/>
  <c r="L45" i="138"/>
  <c r="J45" i="138"/>
  <c r="L44" i="138"/>
  <c r="L43" i="138"/>
  <c r="B43" i="138"/>
  <c r="T42" i="138"/>
  <c r="B52" i="138" s="1"/>
  <c r="S42" i="138"/>
  <c r="B57" i="138" s="1"/>
  <c r="R42" i="138"/>
  <c r="B46" i="138" s="1"/>
  <c r="L42" i="138"/>
  <c r="B42" i="138"/>
  <c r="J42" i="138" s="1"/>
  <c r="L41" i="138"/>
  <c r="J41" i="138"/>
  <c r="L40" i="138"/>
  <c r="B40" i="138"/>
  <c r="J40" i="138" s="1"/>
  <c r="L39" i="138"/>
  <c r="J39" i="138"/>
  <c r="L38" i="138"/>
  <c r="B38" i="138"/>
  <c r="B44" i="138" s="1"/>
  <c r="L37" i="138"/>
  <c r="J37" i="138"/>
  <c r="L36" i="138"/>
  <c r="L35" i="138"/>
  <c r="B35" i="138"/>
  <c r="L34" i="138"/>
  <c r="B34" i="138"/>
  <c r="J34" i="138" s="1"/>
  <c r="L33" i="138"/>
  <c r="J33" i="138"/>
  <c r="L32" i="138"/>
  <c r="B32" i="138"/>
  <c r="J32" i="138" s="1"/>
  <c r="L31" i="138"/>
  <c r="J31" i="138"/>
  <c r="L30" i="138"/>
  <c r="B30" i="138"/>
  <c r="B36" i="138" s="1"/>
  <c r="L29" i="138"/>
  <c r="J29" i="138"/>
  <c r="L28" i="138"/>
  <c r="L27" i="138"/>
  <c r="B27" i="138"/>
  <c r="L26" i="138"/>
  <c r="B26" i="138"/>
  <c r="J26" i="138" s="1"/>
  <c r="L25" i="138"/>
  <c r="J25" i="138"/>
  <c r="L24" i="138"/>
  <c r="B24" i="138"/>
  <c r="J24" i="138" s="1"/>
  <c r="L23" i="138"/>
  <c r="J23" i="138"/>
  <c r="L22" i="138"/>
  <c r="B22" i="138"/>
  <c r="B28" i="138" s="1"/>
  <c r="L21" i="138"/>
  <c r="J21" i="138"/>
  <c r="L20" i="138"/>
  <c r="L19" i="138"/>
  <c r="B19" i="138"/>
  <c r="L18" i="138"/>
  <c r="B18" i="138"/>
  <c r="J18" i="138" s="1"/>
  <c r="L17" i="138"/>
  <c r="J17" i="138"/>
  <c r="L16" i="138"/>
  <c r="B16" i="138"/>
  <c r="J16" i="138" s="1"/>
  <c r="L15" i="138"/>
  <c r="J15" i="138"/>
  <c r="L14" i="138"/>
  <c r="B14" i="138"/>
  <c r="B20" i="138" s="1"/>
  <c r="C37" i="109" s="1"/>
  <c r="L13" i="138"/>
  <c r="J13" i="138"/>
  <c r="L12" i="138"/>
  <c r="J12" i="138"/>
  <c r="X10" i="138"/>
  <c r="V10" i="138"/>
  <c r="U10" i="138"/>
  <c r="Z98" i="137"/>
  <c r="B55" i="137" s="1"/>
  <c r="J55" i="137" s="1"/>
  <c r="V98" i="137"/>
  <c r="U98" i="137"/>
  <c r="P98" i="137"/>
  <c r="X97" i="137"/>
  <c r="Y97" i="137" s="1"/>
  <c r="S97" i="137"/>
  <c r="T97" i="137" s="1"/>
  <c r="X96" i="137"/>
  <c r="Y96" i="137" s="1"/>
  <c r="S96" i="137"/>
  <c r="T96" i="137" s="1"/>
  <c r="X95" i="137"/>
  <c r="Y95" i="137" s="1"/>
  <c r="S95" i="137"/>
  <c r="T95" i="137" s="1"/>
  <c r="X94" i="137"/>
  <c r="Y94" i="137" s="1"/>
  <c r="S94" i="137"/>
  <c r="T94" i="137" s="1"/>
  <c r="X93" i="137"/>
  <c r="Y93" i="137" s="1"/>
  <c r="S93" i="137"/>
  <c r="T93" i="137" s="1"/>
  <c r="X92" i="137"/>
  <c r="Y92" i="137" s="1"/>
  <c r="S92" i="137"/>
  <c r="T92" i="137" s="1"/>
  <c r="X91" i="137"/>
  <c r="Y91" i="137" s="1"/>
  <c r="S91" i="137"/>
  <c r="T91" i="137" s="1"/>
  <c r="X90" i="137"/>
  <c r="Y90" i="137" s="1"/>
  <c r="S90" i="137"/>
  <c r="T90" i="137" s="1"/>
  <c r="X89" i="137"/>
  <c r="Y89" i="137" s="1"/>
  <c r="S89" i="137"/>
  <c r="T89" i="137" s="1"/>
  <c r="X88" i="137"/>
  <c r="Y88" i="137" s="1"/>
  <c r="S88" i="137"/>
  <c r="T88" i="137" s="1"/>
  <c r="X87" i="137"/>
  <c r="Y87" i="137" s="1"/>
  <c r="S87" i="137"/>
  <c r="T87" i="137" s="1"/>
  <c r="X86" i="137"/>
  <c r="Y86" i="137" s="1"/>
  <c r="S86" i="137"/>
  <c r="T86" i="137" s="1"/>
  <c r="X85" i="137"/>
  <c r="Y85" i="137" s="1"/>
  <c r="S85" i="137"/>
  <c r="T85" i="137" s="1"/>
  <c r="X84" i="137"/>
  <c r="Y84" i="137" s="1"/>
  <c r="S84" i="137"/>
  <c r="T84" i="137" s="1"/>
  <c r="X83" i="137"/>
  <c r="Y83" i="137" s="1"/>
  <c r="S83" i="137"/>
  <c r="T83" i="137" s="1"/>
  <c r="X82" i="137"/>
  <c r="Y82" i="137" s="1"/>
  <c r="S82" i="137"/>
  <c r="T82" i="137" s="1"/>
  <c r="X81" i="137"/>
  <c r="Y81" i="137" s="1"/>
  <c r="S81" i="137"/>
  <c r="T81" i="137" s="1"/>
  <c r="X80" i="137"/>
  <c r="Y80" i="137" s="1"/>
  <c r="S80" i="137"/>
  <c r="T80" i="137" s="1"/>
  <c r="X79" i="137"/>
  <c r="Y79" i="137" s="1"/>
  <c r="S79" i="137"/>
  <c r="T79" i="137" s="1"/>
  <c r="H79" i="137"/>
  <c r="X78" i="137"/>
  <c r="S78" i="137"/>
  <c r="T75" i="137"/>
  <c r="B56" i="137" s="1"/>
  <c r="J56" i="137" s="1"/>
  <c r="R75" i="137"/>
  <c r="B49" i="137" s="1"/>
  <c r="J49" i="137" s="1"/>
  <c r="B70" i="137"/>
  <c r="T69" i="137"/>
  <c r="B54" i="137" s="1"/>
  <c r="J54" i="137" s="1"/>
  <c r="R69" i="137"/>
  <c r="B48" i="137" s="1"/>
  <c r="J48" i="137" s="1"/>
  <c r="J69" i="137"/>
  <c r="J64" i="137"/>
  <c r="T63" i="137"/>
  <c r="B53" i="137" s="1"/>
  <c r="J53" i="137" s="1"/>
  <c r="S63" i="137"/>
  <c r="B58" i="137" s="1"/>
  <c r="J58" i="137" s="1"/>
  <c r="R63" i="137"/>
  <c r="B47" i="137" s="1"/>
  <c r="J47" i="137" s="1"/>
  <c r="L62" i="137"/>
  <c r="J62" i="137"/>
  <c r="H62" i="137"/>
  <c r="J61" i="137"/>
  <c r="H61" i="137"/>
  <c r="J60" i="137"/>
  <c r="H60" i="137"/>
  <c r="D60" i="137"/>
  <c r="J59" i="137"/>
  <c r="G59" i="137"/>
  <c r="L59" i="137" s="1"/>
  <c r="H58" i="137"/>
  <c r="H57" i="137"/>
  <c r="H56" i="137"/>
  <c r="H55" i="137"/>
  <c r="H54" i="137"/>
  <c r="H53" i="137"/>
  <c r="H52" i="137"/>
  <c r="H51" i="137"/>
  <c r="H50" i="137"/>
  <c r="H49" i="137"/>
  <c r="H48" i="137"/>
  <c r="H47" i="137"/>
  <c r="H46" i="137"/>
  <c r="L45" i="137"/>
  <c r="J45" i="137"/>
  <c r="L44" i="137"/>
  <c r="L43" i="137"/>
  <c r="B43" i="137"/>
  <c r="T42" i="137"/>
  <c r="B52" i="137" s="1"/>
  <c r="S42" i="137"/>
  <c r="B57" i="137" s="1"/>
  <c r="R42" i="137"/>
  <c r="B46" i="137" s="1"/>
  <c r="L42" i="137"/>
  <c r="B42" i="137"/>
  <c r="J42" i="137" s="1"/>
  <c r="L41" i="137"/>
  <c r="J41" i="137"/>
  <c r="L40" i="137"/>
  <c r="B40" i="137"/>
  <c r="J40" i="137" s="1"/>
  <c r="L39" i="137"/>
  <c r="J39" i="137"/>
  <c r="L38" i="137"/>
  <c r="B38" i="137"/>
  <c r="B44" i="137" s="1"/>
  <c r="L37" i="137"/>
  <c r="J37" i="137"/>
  <c r="L36" i="137"/>
  <c r="L35" i="137"/>
  <c r="B35" i="137"/>
  <c r="L34" i="137"/>
  <c r="B34" i="137"/>
  <c r="J34" i="137" s="1"/>
  <c r="L33" i="137"/>
  <c r="J33" i="137"/>
  <c r="L32" i="137"/>
  <c r="B32" i="137"/>
  <c r="J32" i="137" s="1"/>
  <c r="L31" i="137"/>
  <c r="J31" i="137"/>
  <c r="L30" i="137"/>
  <c r="B30" i="137"/>
  <c r="B36" i="137" s="1"/>
  <c r="L29" i="137"/>
  <c r="J29" i="137"/>
  <c r="L28" i="137"/>
  <c r="L27" i="137"/>
  <c r="B27" i="137"/>
  <c r="L26" i="137"/>
  <c r="B26" i="137"/>
  <c r="J26" i="137" s="1"/>
  <c r="L25" i="137"/>
  <c r="J25" i="137"/>
  <c r="L24" i="137"/>
  <c r="B24" i="137"/>
  <c r="J24" i="137" s="1"/>
  <c r="L23" i="137"/>
  <c r="J23" i="137"/>
  <c r="L22" i="137"/>
  <c r="B22" i="137"/>
  <c r="B28" i="137" s="1"/>
  <c r="L21" i="137"/>
  <c r="J21" i="137"/>
  <c r="L20" i="137"/>
  <c r="L19" i="137"/>
  <c r="B19" i="137"/>
  <c r="L18" i="137"/>
  <c r="B18" i="137"/>
  <c r="J18" i="137" s="1"/>
  <c r="L17" i="137"/>
  <c r="J17" i="137"/>
  <c r="L16" i="137"/>
  <c r="B16" i="137"/>
  <c r="J16" i="137" s="1"/>
  <c r="L15" i="137"/>
  <c r="J15" i="137"/>
  <c r="L14" i="137"/>
  <c r="B14" i="137"/>
  <c r="B20" i="137" s="1"/>
  <c r="C36" i="109" s="1"/>
  <c r="L13" i="137"/>
  <c r="J13" i="137"/>
  <c r="L12" i="137"/>
  <c r="J12" i="137"/>
  <c r="X10" i="137"/>
  <c r="V10" i="137"/>
  <c r="U10" i="137"/>
  <c r="Z98" i="136"/>
  <c r="V98" i="136"/>
  <c r="U98" i="136"/>
  <c r="P98" i="136"/>
  <c r="B50" i="136" s="1"/>
  <c r="J50" i="136" s="1"/>
  <c r="X97" i="136"/>
  <c r="Y97" i="136" s="1"/>
  <c r="S97" i="136"/>
  <c r="T97" i="136" s="1"/>
  <c r="X96" i="136"/>
  <c r="Y96" i="136" s="1"/>
  <c r="S96" i="136"/>
  <c r="T96" i="136" s="1"/>
  <c r="X95" i="136"/>
  <c r="Y95" i="136" s="1"/>
  <c r="S95" i="136"/>
  <c r="T95" i="136" s="1"/>
  <c r="X94" i="136"/>
  <c r="Y94" i="136" s="1"/>
  <c r="S94" i="136"/>
  <c r="T94" i="136" s="1"/>
  <c r="X93" i="136"/>
  <c r="Y93" i="136" s="1"/>
  <c r="S93" i="136"/>
  <c r="T93" i="136" s="1"/>
  <c r="X92" i="136"/>
  <c r="Y92" i="136" s="1"/>
  <c r="S92" i="136"/>
  <c r="T92" i="136" s="1"/>
  <c r="X91" i="136"/>
  <c r="Y91" i="136" s="1"/>
  <c r="S91" i="136"/>
  <c r="T91" i="136" s="1"/>
  <c r="X90" i="136"/>
  <c r="Y90" i="136" s="1"/>
  <c r="S90" i="136"/>
  <c r="T90" i="136" s="1"/>
  <c r="X89" i="136"/>
  <c r="Y89" i="136" s="1"/>
  <c r="S89" i="136"/>
  <c r="T89" i="136" s="1"/>
  <c r="X88" i="136"/>
  <c r="Y88" i="136" s="1"/>
  <c r="S88" i="136"/>
  <c r="T88" i="136" s="1"/>
  <c r="X87" i="136"/>
  <c r="Y87" i="136" s="1"/>
  <c r="S87" i="136"/>
  <c r="T87" i="136" s="1"/>
  <c r="X86" i="136"/>
  <c r="Y86" i="136" s="1"/>
  <c r="S86" i="136"/>
  <c r="T86" i="136" s="1"/>
  <c r="X85" i="136"/>
  <c r="Y85" i="136" s="1"/>
  <c r="S85" i="136"/>
  <c r="T85" i="136" s="1"/>
  <c r="X84" i="136"/>
  <c r="Y84" i="136" s="1"/>
  <c r="S84" i="136"/>
  <c r="T84" i="136" s="1"/>
  <c r="X83" i="136"/>
  <c r="Y83" i="136" s="1"/>
  <c r="S83" i="136"/>
  <c r="T83" i="136" s="1"/>
  <c r="X82" i="136"/>
  <c r="Y82" i="136" s="1"/>
  <c r="S82" i="136"/>
  <c r="T82" i="136" s="1"/>
  <c r="X81" i="136"/>
  <c r="Y81" i="136" s="1"/>
  <c r="S81" i="136"/>
  <c r="T81" i="136" s="1"/>
  <c r="X80" i="136"/>
  <c r="Y80" i="136" s="1"/>
  <c r="S80" i="136"/>
  <c r="T80" i="136" s="1"/>
  <c r="X79" i="136"/>
  <c r="Y79" i="136" s="1"/>
  <c r="S79" i="136"/>
  <c r="T79" i="136" s="1"/>
  <c r="X78" i="136"/>
  <c r="S78" i="136"/>
  <c r="T75" i="136"/>
  <c r="B56" i="136" s="1"/>
  <c r="J56" i="136" s="1"/>
  <c r="R75" i="136"/>
  <c r="B70" i="136"/>
  <c r="T69" i="136"/>
  <c r="B54" i="136" s="1"/>
  <c r="J54" i="136" s="1"/>
  <c r="R69" i="136"/>
  <c r="B48" i="136" s="1"/>
  <c r="J48" i="136" s="1"/>
  <c r="J69" i="136"/>
  <c r="J64" i="136"/>
  <c r="T63" i="136"/>
  <c r="B53" i="136" s="1"/>
  <c r="J53" i="136" s="1"/>
  <c r="S63" i="136"/>
  <c r="B58" i="136" s="1"/>
  <c r="J58" i="136" s="1"/>
  <c r="R63" i="136"/>
  <c r="B47" i="136" s="1"/>
  <c r="J47" i="136" s="1"/>
  <c r="L62" i="136"/>
  <c r="J62" i="136"/>
  <c r="H62" i="136"/>
  <c r="J61" i="136"/>
  <c r="H61" i="136"/>
  <c r="J60" i="136"/>
  <c r="H60" i="136"/>
  <c r="D60" i="136"/>
  <c r="J59" i="136"/>
  <c r="G59" i="136"/>
  <c r="L59" i="136" s="1"/>
  <c r="H58" i="136"/>
  <c r="H57" i="136"/>
  <c r="H56" i="136"/>
  <c r="H55" i="136"/>
  <c r="B55" i="136"/>
  <c r="J55" i="136" s="1"/>
  <c r="H54" i="136"/>
  <c r="H53" i="136"/>
  <c r="H52" i="136"/>
  <c r="H51" i="136"/>
  <c r="H50" i="136"/>
  <c r="H49" i="136"/>
  <c r="B49" i="136"/>
  <c r="J49" i="136" s="1"/>
  <c r="H48" i="136"/>
  <c r="H47" i="136"/>
  <c r="H46" i="136"/>
  <c r="L45" i="136"/>
  <c r="J45" i="136"/>
  <c r="L44" i="136"/>
  <c r="L43" i="136"/>
  <c r="B43" i="136"/>
  <c r="T42" i="136"/>
  <c r="B52" i="136" s="1"/>
  <c r="S42" i="136"/>
  <c r="B57" i="136" s="1"/>
  <c r="R42" i="136"/>
  <c r="B46" i="136" s="1"/>
  <c r="L42" i="136"/>
  <c r="B42" i="136"/>
  <c r="J42" i="136" s="1"/>
  <c r="L41" i="136"/>
  <c r="J41" i="136"/>
  <c r="L40" i="136"/>
  <c r="B40" i="136"/>
  <c r="J40" i="136" s="1"/>
  <c r="L39" i="136"/>
  <c r="J39" i="136"/>
  <c r="L38" i="136"/>
  <c r="B38" i="136"/>
  <c r="B44" i="136" s="1"/>
  <c r="L37" i="136"/>
  <c r="J37" i="136"/>
  <c r="L36" i="136"/>
  <c r="L35" i="136"/>
  <c r="B35" i="136"/>
  <c r="L34" i="136"/>
  <c r="B34" i="136"/>
  <c r="J34" i="136" s="1"/>
  <c r="L33" i="136"/>
  <c r="J33" i="136"/>
  <c r="L32" i="136"/>
  <c r="B32" i="136"/>
  <c r="J32" i="136" s="1"/>
  <c r="L31" i="136"/>
  <c r="J31" i="136"/>
  <c r="L30" i="136"/>
  <c r="B30" i="136"/>
  <c r="B36" i="136" s="1"/>
  <c r="L29" i="136"/>
  <c r="J29" i="136"/>
  <c r="L28" i="136"/>
  <c r="L27" i="136"/>
  <c r="B27" i="136"/>
  <c r="L26" i="136"/>
  <c r="B26" i="136"/>
  <c r="J26" i="136" s="1"/>
  <c r="L25" i="136"/>
  <c r="J25" i="136"/>
  <c r="L24" i="136"/>
  <c r="B24" i="136"/>
  <c r="J24" i="136" s="1"/>
  <c r="L23" i="136"/>
  <c r="J23" i="136"/>
  <c r="L22" i="136"/>
  <c r="B22" i="136"/>
  <c r="B28" i="136" s="1"/>
  <c r="L21" i="136"/>
  <c r="J21" i="136"/>
  <c r="L20" i="136"/>
  <c r="L19" i="136"/>
  <c r="B19" i="136"/>
  <c r="L18" i="136"/>
  <c r="B18" i="136"/>
  <c r="J18" i="136" s="1"/>
  <c r="L17" i="136"/>
  <c r="J17" i="136"/>
  <c r="L16" i="136"/>
  <c r="B16" i="136"/>
  <c r="J16" i="136" s="1"/>
  <c r="L15" i="136"/>
  <c r="J15" i="136"/>
  <c r="L14" i="136"/>
  <c r="B14" i="136"/>
  <c r="B20" i="136" s="1"/>
  <c r="C35" i="109" s="1"/>
  <c r="L13" i="136"/>
  <c r="J13" i="136"/>
  <c r="L12" i="136"/>
  <c r="J12" i="136"/>
  <c r="X10" i="136"/>
  <c r="V10" i="136"/>
  <c r="U10" i="136"/>
  <c r="Z98" i="135"/>
  <c r="B55" i="135" s="1"/>
  <c r="J55" i="135" s="1"/>
  <c r="V98" i="135"/>
  <c r="U98" i="135"/>
  <c r="P98" i="135"/>
  <c r="X97" i="135"/>
  <c r="Y97" i="135" s="1"/>
  <c r="S97" i="135"/>
  <c r="T97" i="135" s="1"/>
  <c r="X96" i="135"/>
  <c r="Y96" i="135" s="1"/>
  <c r="S96" i="135"/>
  <c r="T96" i="135" s="1"/>
  <c r="X95" i="135"/>
  <c r="Y95" i="135" s="1"/>
  <c r="S95" i="135"/>
  <c r="T95" i="135" s="1"/>
  <c r="X94" i="135"/>
  <c r="Y94" i="135" s="1"/>
  <c r="S94" i="135"/>
  <c r="T94" i="135" s="1"/>
  <c r="X93" i="135"/>
  <c r="Y93" i="135" s="1"/>
  <c r="S93" i="135"/>
  <c r="T93" i="135" s="1"/>
  <c r="X92" i="135"/>
  <c r="Y92" i="135" s="1"/>
  <c r="S92" i="135"/>
  <c r="T92" i="135" s="1"/>
  <c r="X91" i="135"/>
  <c r="Y91" i="135" s="1"/>
  <c r="S91" i="135"/>
  <c r="T91" i="135" s="1"/>
  <c r="X90" i="135"/>
  <c r="Y90" i="135" s="1"/>
  <c r="S90" i="135"/>
  <c r="T90" i="135" s="1"/>
  <c r="X89" i="135"/>
  <c r="Y89" i="135" s="1"/>
  <c r="S89" i="135"/>
  <c r="T89" i="135" s="1"/>
  <c r="X88" i="135"/>
  <c r="Y88" i="135" s="1"/>
  <c r="S88" i="135"/>
  <c r="T88" i="135" s="1"/>
  <c r="X87" i="135"/>
  <c r="Y87" i="135" s="1"/>
  <c r="S87" i="135"/>
  <c r="T87" i="135" s="1"/>
  <c r="X86" i="135"/>
  <c r="Y86" i="135" s="1"/>
  <c r="S86" i="135"/>
  <c r="T86" i="135" s="1"/>
  <c r="X85" i="135"/>
  <c r="Y85" i="135" s="1"/>
  <c r="S85" i="135"/>
  <c r="T85" i="135" s="1"/>
  <c r="X84" i="135"/>
  <c r="Y84" i="135" s="1"/>
  <c r="S84" i="135"/>
  <c r="T84" i="135" s="1"/>
  <c r="X83" i="135"/>
  <c r="Y83" i="135" s="1"/>
  <c r="S83" i="135"/>
  <c r="T83" i="135" s="1"/>
  <c r="X82" i="135"/>
  <c r="Y82" i="135" s="1"/>
  <c r="S82" i="135"/>
  <c r="T82" i="135" s="1"/>
  <c r="X81" i="135"/>
  <c r="Y81" i="135" s="1"/>
  <c r="S81" i="135"/>
  <c r="T81" i="135" s="1"/>
  <c r="X80" i="135"/>
  <c r="Y80" i="135" s="1"/>
  <c r="S80" i="135"/>
  <c r="T80" i="135" s="1"/>
  <c r="X79" i="135"/>
  <c r="Y79" i="135" s="1"/>
  <c r="S79" i="135"/>
  <c r="T79" i="135" s="1"/>
  <c r="H79" i="135"/>
  <c r="X78" i="135"/>
  <c r="S78" i="135"/>
  <c r="T75" i="135"/>
  <c r="B56" i="135" s="1"/>
  <c r="J56" i="135" s="1"/>
  <c r="R75" i="135"/>
  <c r="B49" i="135" s="1"/>
  <c r="J49" i="135" s="1"/>
  <c r="B70" i="135"/>
  <c r="T69" i="135"/>
  <c r="B54" i="135" s="1"/>
  <c r="J54" i="135" s="1"/>
  <c r="R69" i="135"/>
  <c r="B48" i="135" s="1"/>
  <c r="J48" i="135" s="1"/>
  <c r="J69" i="135"/>
  <c r="J64" i="135"/>
  <c r="T63" i="135"/>
  <c r="B53" i="135" s="1"/>
  <c r="J53" i="135" s="1"/>
  <c r="S63" i="135"/>
  <c r="B58" i="135" s="1"/>
  <c r="J58" i="135" s="1"/>
  <c r="R63" i="135"/>
  <c r="B47" i="135" s="1"/>
  <c r="J47" i="135" s="1"/>
  <c r="L62" i="135"/>
  <c r="J62" i="135"/>
  <c r="H62" i="135"/>
  <c r="J61" i="135"/>
  <c r="H61" i="135"/>
  <c r="J60" i="135"/>
  <c r="H60" i="135"/>
  <c r="D60" i="135"/>
  <c r="J59" i="135"/>
  <c r="G59" i="135"/>
  <c r="L59" i="135" s="1"/>
  <c r="H58" i="135"/>
  <c r="H57" i="135"/>
  <c r="H56" i="135"/>
  <c r="H55" i="135"/>
  <c r="H54" i="135"/>
  <c r="H53" i="135"/>
  <c r="H52" i="135"/>
  <c r="H51" i="135"/>
  <c r="H50" i="135"/>
  <c r="H49" i="135"/>
  <c r="H48" i="135"/>
  <c r="H47" i="135"/>
  <c r="H46" i="135"/>
  <c r="L45" i="135"/>
  <c r="J45" i="135"/>
  <c r="L44" i="135"/>
  <c r="L43" i="135"/>
  <c r="B43" i="135"/>
  <c r="T42" i="135"/>
  <c r="B52" i="135" s="1"/>
  <c r="S42" i="135"/>
  <c r="B57" i="135" s="1"/>
  <c r="R42" i="135"/>
  <c r="B46" i="135" s="1"/>
  <c r="L42" i="135"/>
  <c r="B42" i="135"/>
  <c r="J42" i="135" s="1"/>
  <c r="L41" i="135"/>
  <c r="J41" i="135"/>
  <c r="L40" i="135"/>
  <c r="B40" i="135"/>
  <c r="J40" i="135" s="1"/>
  <c r="L39" i="135"/>
  <c r="J39" i="135"/>
  <c r="L38" i="135"/>
  <c r="B38" i="135"/>
  <c r="B44" i="135" s="1"/>
  <c r="L37" i="135"/>
  <c r="J37" i="135"/>
  <c r="L36" i="135"/>
  <c r="L35" i="135"/>
  <c r="B35" i="135"/>
  <c r="L34" i="135"/>
  <c r="B34" i="135"/>
  <c r="J34" i="135" s="1"/>
  <c r="L33" i="135"/>
  <c r="J33" i="135"/>
  <c r="L32" i="135"/>
  <c r="B32" i="135"/>
  <c r="J32" i="135" s="1"/>
  <c r="L31" i="135"/>
  <c r="J31" i="135"/>
  <c r="L30" i="135"/>
  <c r="B30" i="135"/>
  <c r="B36" i="135" s="1"/>
  <c r="L29" i="135"/>
  <c r="J29" i="135"/>
  <c r="L28" i="135"/>
  <c r="L27" i="135"/>
  <c r="B27" i="135"/>
  <c r="L26" i="135"/>
  <c r="B26" i="135"/>
  <c r="J26" i="135" s="1"/>
  <c r="L25" i="135"/>
  <c r="J25" i="135"/>
  <c r="L24" i="135"/>
  <c r="B24" i="135"/>
  <c r="J24" i="135" s="1"/>
  <c r="L23" i="135"/>
  <c r="J23" i="135"/>
  <c r="L22" i="135"/>
  <c r="B22" i="135"/>
  <c r="B28" i="135" s="1"/>
  <c r="L21" i="135"/>
  <c r="J21" i="135"/>
  <c r="L20" i="135"/>
  <c r="L19" i="135"/>
  <c r="B19" i="135"/>
  <c r="L18" i="135"/>
  <c r="B18" i="135"/>
  <c r="J18" i="135" s="1"/>
  <c r="L17" i="135"/>
  <c r="J17" i="135"/>
  <c r="L16" i="135"/>
  <c r="B16" i="135"/>
  <c r="J16" i="135" s="1"/>
  <c r="L15" i="135"/>
  <c r="J15" i="135"/>
  <c r="L14" i="135"/>
  <c r="B14" i="135"/>
  <c r="B20" i="135" s="1"/>
  <c r="C34" i="109" s="1"/>
  <c r="L13" i="135"/>
  <c r="J13" i="135"/>
  <c r="L12" i="135"/>
  <c r="J12" i="135"/>
  <c r="X10" i="135"/>
  <c r="V10" i="135"/>
  <c r="U10" i="135"/>
  <c r="Z98" i="134"/>
  <c r="B55" i="134" s="1"/>
  <c r="J55" i="134" s="1"/>
  <c r="V98" i="134"/>
  <c r="U98" i="134"/>
  <c r="P98" i="134"/>
  <c r="B50" i="134" s="1"/>
  <c r="J50" i="134" s="1"/>
  <c r="X97" i="134"/>
  <c r="Y97" i="134" s="1"/>
  <c r="S97" i="134"/>
  <c r="T97" i="134" s="1"/>
  <c r="X96" i="134"/>
  <c r="Y96" i="134" s="1"/>
  <c r="S96" i="134"/>
  <c r="T96" i="134" s="1"/>
  <c r="X95" i="134"/>
  <c r="Y95" i="134" s="1"/>
  <c r="S95" i="134"/>
  <c r="T95" i="134" s="1"/>
  <c r="X94" i="134"/>
  <c r="Y94" i="134" s="1"/>
  <c r="S94" i="134"/>
  <c r="T94" i="134" s="1"/>
  <c r="X93" i="134"/>
  <c r="Y93" i="134" s="1"/>
  <c r="S93" i="134"/>
  <c r="T93" i="134" s="1"/>
  <c r="X92" i="134"/>
  <c r="Y92" i="134" s="1"/>
  <c r="S92" i="134"/>
  <c r="T92" i="134" s="1"/>
  <c r="X91" i="134"/>
  <c r="Y91" i="134" s="1"/>
  <c r="S91" i="134"/>
  <c r="T91" i="134" s="1"/>
  <c r="X90" i="134"/>
  <c r="Y90" i="134" s="1"/>
  <c r="S90" i="134"/>
  <c r="T90" i="134" s="1"/>
  <c r="X89" i="134"/>
  <c r="Y89" i="134" s="1"/>
  <c r="S89" i="134"/>
  <c r="T89" i="134" s="1"/>
  <c r="X88" i="134"/>
  <c r="Y88" i="134" s="1"/>
  <c r="S88" i="134"/>
  <c r="T88" i="134" s="1"/>
  <c r="X87" i="134"/>
  <c r="Y87" i="134" s="1"/>
  <c r="S87" i="134"/>
  <c r="T87" i="134" s="1"/>
  <c r="X86" i="134"/>
  <c r="Y86" i="134" s="1"/>
  <c r="S86" i="134"/>
  <c r="T86" i="134" s="1"/>
  <c r="X85" i="134"/>
  <c r="Y85" i="134" s="1"/>
  <c r="S85" i="134"/>
  <c r="T85" i="134" s="1"/>
  <c r="X84" i="134"/>
  <c r="Y84" i="134" s="1"/>
  <c r="S84" i="134"/>
  <c r="T84" i="134" s="1"/>
  <c r="X83" i="134"/>
  <c r="Y83" i="134" s="1"/>
  <c r="S83" i="134"/>
  <c r="T83" i="134" s="1"/>
  <c r="X82" i="134"/>
  <c r="Y82" i="134" s="1"/>
  <c r="S82" i="134"/>
  <c r="T82" i="134" s="1"/>
  <c r="X81" i="134"/>
  <c r="Y81" i="134" s="1"/>
  <c r="S81" i="134"/>
  <c r="T81" i="134" s="1"/>
  <c r="X80" i="134"/>
  <c r="Y80" i="134" s="1"/>
  <c r="S80" i="134"/>
  <c r="T80" i="134" s="1"/>
  <c r="X79" i="134"/>
  <c r="Y79" i="134" s="1"/>
  <c r="S79" i="134"/>
  <c r="T79" i="134" s="1"/>
  <c r="H79" i="134"/>
  <c r="X78" i="134"/>
  <c r="S78" i="134"/>
  <c r="T75" i="134"/>
  <c r="B56" i="134" s="1"/>
  <c r="J56" i="134" s="1"/>
  <c r="R75" i="134"/>
  <c r="B49" i="134" s="1"/>
  <c r="J49" i="134" s="1"/>
  <c r="B70" i="134"/>
  <c r="T69" i="134"/>
  <c r="B54" i="134" s="1"/>
  <c r="J54" i="134" s="1"/>
  <c r="R69" i="134"/>
  <c r="B48" i="134" s="1"/>
  <c r="J48" i="134" s="1"/>
  <c r="J69" i="134"/>
  <c r="J64" i="134"/>
  <c r="T63" i="134"/>
  <c r="B53" i="134" s="1"/>
  <c r="J53" i="134" s="1"/>
  <c r="S63" i="134"/>
  <c r="B58" i="134" s="1"/>
  <c r="J58" i="134" s="1"/>
  <c r="R63" i="134"/>
  <c r="B47" i="134" s="1"/>
  <c r="J47" i="134" s="1"/>
  <c r="L62" i="134"/>
  <c r="J62" i="134"/>
  <c r="H62" i="134"/>
  <c r="J61" i="134"/>
  <c r="H61" i="134"/>
  <c r="J60" i="134"/>
  <c r="H60" i="134"/>
  <c r="D60" i="134"/>
  <c r="J59" i="134"/>
  <c r="G59" i="134"/>
  <c r="L59" i="134" s="1"/>
  <c r="H58" i="134"/>
  <c r="H57" i="134"/>
  <c r="H56" i="134"/>
  <c r="H55" i="134"/>
  <c r="H54" i="134"/>
  <c r="H53" i="134"/>
  <c r="H52" i="134"/>
  <c r="H51" i="134"/>
  <c r="H50" i="134"/>
  <c r="H49" i="134"/>
  <c r="H48" i="134"/>
  <c r="H47" i="134"/>
  <c r="H46" i="134"/>
  <c r="L45" i="134"/>
  <c r="J45" i="134"/>
  <c r="L44" i="134"/>
  <c r="L43" i="134"/>
  <c r="B43" i="134"/>
  <c r="T42" i="134"/>
  <c r="B52" i="134" s="1"/>
  <c r="S42" i="134"/>
  <c r="B57" i="134" s="1"/>
  <c r="R42" i="134"/>
  <c r="B46" i="134" s="1"/>
  <c r="L42" i="134"/>
  <c r="B42" i="134"/>
  <c r="J42" i="134" s="1"/>
  <c r="L41" i="134"/>
  <c r="J41" i="134"/>
  <c r="L40" i="134"/>
  <c r="B40" i="134"/>
  <c r="J40" i="134" s="1"/>
  <c r="L39" i="134"/>
  <c r="J39" i="134"/>
  <c r="L38" i="134"/>
  <c r="B38" i="134"/>
  <c r="B44" i="134" s="1"/>
  <c r="L37" i="134"/>
  <c r="J37" i="134"/>
  <c r="L36" i="134"/>
  <c r="L35" i="134"/>
  <c r="B35" i="134"/>
  <c r="L34" i="134"/>
  <c r="B34" i="134"/>
  <c r="J34" i="134" s="1"/>
  <c r="L33" i="134"/>
  <c r="J33" i="134"/>
  <c r="L32" i="134"/>
  <c r="B32" i="134"/>
  <c r="J32" i="134" s="1"/>
  <c r="L31" i="134"/>
  <c r="J31" i="134"/>
  <c r="L30" i="134"/>
  <c r="B30" i="134"/>
  <c r="B36" i="134" s="1"/>
  <c r="L29" i="134"/>
  <c r="J29" i="134"/>
  <c r="L28" i="134"/>
  <c r="L27" i="134"/>
  <c r="B27" i="134"/>
  <c r="L26" i="134"/>
  <c r="B26" i="134"/>
  <c r="J26" i="134" s="1"/>
  <c r="L25" i="134"/>
  <c r="J25" i="134"/>
  <c r="L24" i="134"/>
  <c r="B24" i="134"/>
  <c r="J24" i="134" s="1"/>
  <c r="L23" i="134"/>
  <c r="J23" i="134"/>
  <c r="L22" i="134"/>
  <c r="B22" i="134"/>
  <c r="B28" i="134" s="1"/>
  <c r="L21" i="134"/>
  <c r="J21" i="134"/>
  <c r="L20" i="134"/>
  <c r="L19" i="134"/>
  <c r="B19" i="134"/>
  <c r="L18" i="134"/>
  <c r="B18" i="134"/>
  <c r="J18" i="134" s="1"/>
  <c r="L17" i="134"/>
  <c r="J17" i="134"/>
  <c r="L16" i="134"/>
  <c r="B16" i="134"/>
  <c r="J16" i="134" s="1"/>
  <c r="L15" i="134"/>
  <c r="J15" i="134"/>
  <c r="L14" i="134"/>
  <c r="B14" i="134"/>
  <c r="B20" i="134" s="1"/>
  <c r="C33" i="109" s="1"/>
  <c r="L13" i="134"/>
  <c r="J13" i="134"/>
  <c r="L12" i="134"/>
  <c r="J12" i="134"/>
  <c r="X10" i="134"/>
  <c r="V10" i="134"/>
  <c r="U10" i="134"/>
  <c r="Z98" i="133"/>
  <c r="B55" i="133" s="1"/>
  <c r="J55" i="133" s="1"/>
  <c r="V98" i="133"/>
  <c r="U98" i="133"/>
  <c r="P98" i="133"/>
  <c r="X97" i="133"/>
  <c r="Y97" i="133" s="1"/>
  <c r="S97" i="133"/>
  <c r="T97" i="133" s="1"/>
  <c r="X96" i="133"/>
  <c r="Y96" i="133" s="1"/>
  <c r="S96" i="133"/>
  <c r="T96" i="133" s="1"/>
  <c r="X95" i="133"/>
  <c r="Y95" i="133" s="1"/>
  <c r="S95" i="133"/>
  <c r="T95" i="133" s="1"/>
  <c r="X94" i="133"/>
  <c r="Y94" i="133" s="1"/>
  <c r="S94" i="133"/>
  <c r="T94" i="133" s="1"/>
  <c r="X93" i="133"/>
  <c r="Y93" i="133" s="1"/>
  <c r="S93" i="133"/>
  <c r="T93" i="133" s="1"/>
  <c r="X92" i="133"/>
  <c r="Y92" i="133" s="1"/>
  <c r="S92" i="133"/>
  <c r="T92" i="133" s="1"/>
  <c r="X91" i="133"/>
  <c r="Y91" i="133" s="1"/>
  <c r="S91" i="133"/>
  <c r="T91" i="133" s="1"/>
  <c r="X90" i="133"/>
  <c r="Y90" i="133" s="1"/>
  <c r="S90" i="133"/>
  <c r="T90" i="133" s="1"/>
  <c r="X89" i="133"/>
  <c r="Y89" i="133" s="1"/>
  <c r="S89" i="133"/>
  <c r="T89" i="133" s="1"/>
  <c r="X88" i="133"/>
  <c r="Y88" i="133" s="1"/>
  <c r="S88" i="133"/>
  <c r="T88" i="133" s="1"/>
  <c r="X87" i="133"/>
  <c r="Y87" i="133" s="1"/>
  <c r="S87" i="133"/>
  <c r="T87" i="133" s="1"/>
  <c r="X86" i="133"/>
  <c r="Y86" i="133" s="1"/>
  <c r="S86" i="133"/>
  <c r="T86" i="133" s="1"/>
  <c r="X85" i="133"/>
  <c r="Y85" i="133" s="1"/>
  <c r="S85" i="133"/>
  <c r="T85" i="133" s="1"/>
  <c r="X84" i="133"/>
  <c r="Y84" i="133" s="1"/>
  <c r="S84" i="133"/>
  <c r="T84" i="133" s="1"/>
  <c r="X83" i="133"/>
  <c r="Y83" i="133" s="1"/>
  <c r="S83" i="133"/>
  <c r="T83" i="133" s="1"/>
  <c r="X82" i="133"/>
  <c r="Y82" i="133" s="1"/>
  <c r="S82" i="133"/>
  <c r="T82" i="133" s="1"/>
  <c r="X81" i="133"/>
  <c r="Y81" i="133" s="1"/>
  <c r="S81" i="133"/>
  <c r="T81" i="133" s="1"/>
  <c r="X80" i="133"/>
  <c r="Y80" i="133" s="1"/>
  <c r="S80" i="133"/>
  <c r="T80" i="133" s="1"/>
  <c r="X79" i="133"/>
  <c r="Y79" i="133" s="1"/>
  <c r="S79" i="133"/>
  <c r="T79" i="133" s="1"/>
  <c r="X78" i="133"/>
  <c r="S78" i="133"/>
  <c r="T75" i="133"/>
  <c r="B56" i="133" s="1"/>
  <c r="J56" i="133" s="1"/>
  <c r="R75" i="133"/>
  <c r="B49" i="133" s="1"/>
  <c r="J49" i="133" s="1"/>
  <c r="B70" i="133"/>
  <c r="T69" i="133"/>
  <c r="B54" i="133" s="1"/>
  <c r="J54" i="133" s="1"/>
  <c r="R69" i="133"/>
  <c r="B48" i="133" s="1"/>
  <c r="J48" i="133" s="1"/>
  <c r="J69" i="133"/>
  <c r="J64" i="133"/>
  <c r="T63" i="133"/>
  <c r="B53" i="133" s="1"/>
  <c r="J53" i="133" s="1"/>
  <c r="S63" i="133"/>
  <c r="B58" i="133" s="1"/>
  <c r="J58" i="133" s="1"/>
  <c r="R63" i="133"/>
  <c r="B47" i="133" s="1"/>
  <c r="J47" i="133" s="1"/>
  <c r="L62" i="133"/>
  <c r="J62" i="133"/>
  <c r="H62" i="133"/>
  <c r="J61" i="133"/>
  <c r="H61" i="133"/>
  <c r="J60" i="133"/>
  <c r="H60" i="133"/>
  <c r="D60" i="133"/>
  <c r="J59" i="133"/>
  <c r="G59" i="133"/>
  <c r="L59" i="133" s="1"/>
  <c r="H58" i="133"/>
  <c r="H57" i="133"/>
  <c r="H56" i="133"/>
  <c r="H55" i="133"/>
  <c r="H54" i="133"/>
  <c r="H53" i="133"/>
  <c r="H52" i="133"/>
  <c r="H51" i="133"/>
  <c r="H50" i="133"/>
  <c r="H49" i="133"/>
  <c r="H48" i="133"/>
  <c r="H47" i="133"/>
  <c r="H46" i="133"/>
  <c r="L45" i="133"/>
  <c r="J45" i="133"/>
  <c r="L44" i="133"/>
  <c r="L43" i="133"/>
  <c r="B43" i="133"/>
  <c r="T42" i="133"/>
  <c r="B52" i="133" s="1"/>
  <c r="S42" i="133"/>
  <c r="B57" i="133" s="1"/>
  <c r="R42" i="133"/>
  <c r="B46" i="133" s="1"/>
  <c r="L42" i="133"/>
  <c r="B42" i="133"/>
  <c r="J42" i="133" s="1"/>
  <c r="L41" i="133"/>
  <c r="J41" i="133"/>
  <c r="L40" i="133"/>
  <c r="B40" i="133"/>
  <c r="J40" i="133" s="1"/>
  <c r="L39" i="133"/>
  <c r="J39" i="133"/>
  <c r="L38" i="133"/>
  <c r="B38" i="133"/>
  <c r="B44" i="133" s="1"/>
  <c r="L37" i="133"/>
  <c r="J37" i="133"/>
  <c r="L36" i="133"/>
  <c r="L35" i="133"/>
  <c r="B35" i="133"/>
  <c r="L34" i="133"/>
  <c r="B34" i="133"/>
  <c r="J34" i="133" s="1"/>
  <c r="L33" i="133"/>
  <c r="J33" i="133"/>
  <c r="L32" i="133"/>
  <c r="B32" i="133"/>
  <c r="J32" i="133" s="1"/>
  <c r="L31" i="133"/>
  <c r="J31" i="133"/>
  <c r="L30" i="133"/>
  <c r="B30" i="133"/>
  <c r="B36" i="133" s="1"/>
  <c r="L29" i="133"/>
  <c r="J29" i="133"/>
  <c r="L28" i="133"/>
  <c r="L27" i="133"/>
  <c r="B27" i="133"/>
  <c r="L26" i="133"/>
  <c r="B26" i="133"/>
  <c r="J26" i="133" s="1"/>
  <c r="L25" i="133"/>
  <c r="J25" i="133"/>
  <c r="L24" i="133"/>
  <c r="B24" i="133"/>
  <c r="J24" i="133" s="1"/>
  <c r="L23" i="133"/>
  <c r="J23" i="133"/>
  <c r="L22" i="133"/>
  <c r="B22" i="133"/>
  <c r="B28" i="133" s="1"/>
  <c r="L21" i="133"/>
  <c r="J21" i="133"/>
  <c r="L20" i="133"/>
  <c r="L19" i="133"/>
  <c r="B19" i="133"/>
  <c r="L18" i="133"/>
  <c r="B18" i="133"/>
  <c r="J18" i="133" s="1"/>
  <c r="L17" i="133"/>
  <c r="J17" i="133"/>
  <c r="L16" i="133"/>
  <c r="B16" i="133"/>
  <c r="J16" i="133" s="1"/>
  <c r="L15" i="133"/>
  <c r="J15" i="133"/>
  <c r="B14" i="133"/>
  <c r="L13" i="133"/>
  <c r="J13" i="133"/>
  <c r="L12" i="133"/>
  <c r="J12" i="133"/>
  <c r="X10" i="133"/>
  <c r="V10" i="133"/>
  <c r="U10" i="133"/>
  <c r="Z98" i="132"/>
  <c r="V98" i="132"/>
  <c r="U98" i="132"/>
  <c r="P98" i="132"/>
  <c r="B50" i="132" s="1"/>
  <c r="J50" i="132" s="1"/>
  <c r="X97" i="132"/>
  <c r="Y97" i="132" s="1"/>
  <c r="S97" i="132"/>
  <c r="T97" i="132" s="1"/>
  <c r="X96" i="132"/>
  <c r="Y96" i="132" s="1"/>
  <c r="S96" i="132"/>
  <c r="T96" i="132" s="1"/>
  <c r="X95" i="132"/>
  <c r="Y95" i="132" s="1"/>
  <c r="S95" i="132"/>
  <c r="T95" i="132" s="1"/>
  <c r="X94" i="132"/>
  <c r="Y94" i="132" s="1"/>
  <c r="S94" i="132"/>
  <c r="T94" i="132" s="1"/>
  <c r="X93" i="132"/>
  <c r="Y93" i="132" s="1"/>
  <c r="S93" i="132"/>
  <c r="T93" i="132" s="1"/>
  <c r="X92" i="132"/>
  <c r="Y92" i="132" s="1"/>
  <c r="S92" i="132"/>
  <c r="T92" i="132" s="1"/>
  <c r="X91" i="132"/>
  <c r="Y91" i="132" s="1"/>
  <c r="S91" i="132"/>
  <c r="T91" i="132" s="1"/>
  <c r="X90" i="132"/>
  <c r="Y90" i="132" s="1"/>
  <c r="S90" i="132"/>
  <c r="T90" i="132" s="1"/>
  <c r="X89" i="132"/>
  <c r="Y89" i="132" s="1"/>
  <c r="S89" i="132"/>
  <c r="T89" i="132" s="1"/>
  <c r="X88" i="132"/>
  <c r="Y88" i="132" s="1"/>
  <c r="S88" i="132"/>
  <c r="T88" i="132" s="1"/>
  <c r="X87" i="132"/>
  <c r="Y87" i="132" s="1"/>
  <c r="S87" i="132"/>
  <c r="T87" i="132" s="1"/>
  <c r="X86" i="132"/>
  <c r="Y86" i="132" s="1"/>
  <c r="S86" i="132"/>
  <c r="T86" i="132" s="1"/>
  <c r="X85" i="132"/>
  <c r="Y85" i="132" s="1"/>
  <c r="S85" i="132"/>
  <c r="T85" i="132" s="1"/>
  <c r="X84" i="132"/>
  <c r="Y84" i="132" s="1"/>
  <c r="S84" i="132"/>
  <c r="T84" i="132" s="1"/>
  <c r="X83" i="132"/>
  <c r="Y83" i="132" s="1"/>
  <c r="S83" i="132"/>
  <c r="T83" i="132" s="1"/>
  <c r="X82" i="132"/>
  <c r="Y82" i="132" s="1"/>
  <c r="S82" i="132"/>
  <c r="T82" i="132" s="1"/>
  <c r="X81" i="132"/>
  <c r="Y81" i="132" s="1"/>
  <c r="S81" i="132"/>
  <c r="T81" i="132" s="1"/>
  <c r="X80" i="132"/>
  <c r="Y80" i="132" s="1"/>
  <c r="S80" i="132"/>
  <c r="T80" i="132" s="1"/>
  <c r="X79" i="132"/>
  <c r="Y79" i="132" s="1"/>
  <c r="S79" i="132"/>
  <c r="T79" i="132" s="1"/>
  <c r="H79" i="132"/>
  <c r="X78" i="132"/>
  <c r="S78" i="132"/>
  <c r="T75" i="132"/>
  <c r="B56" i="132" s="1"/>
  <c r="J56" i="132" s="1"/>
  <c r="R75" i="132"/>
  <c r="B49" i="132" s="1"/>
  <c r="J49" i="132" s="1"/>
  <c r="B70" i="132"/>
  <c r="T69" i="132"/>
  <c r="B54" i="132" s="1"/>
  <c r="J54" i="132" s="1"/>
  <c r="R69" i="132"/>
  <c r="B48" i="132" s="1"/>
  <c r="J48" i="132" s="1"/>
  <c r="J69" i="132"/>
  <c r="J64" i="132"/>
  <c r="T63" i="132"/>
  <c r="B53" i="132" s="1"/>
  <c r="J53" i="132" s="1"/>
  <c r="S63" i="132"/>
  <c r="B58" i="132" s="1"/>
  <c r="J58" i="132" s="1"/>
  <c r="R63" i="132"/>
  <c r="L62" i="132"/>
  <c r="J62" i="132"/>
  <c r="H62" i="132"/>
  <c r="J61" i="132"/>
  <c r="H61" i="132"/>
  <c r="J60" i="132"/>
  <c r="H60" i="132"/>
  <c r="D60" i="132"/>
  <c r="J59" i="132"/>
  <c r="G59" i="132"/>
  <c r="L59" i="132" s="1"/>
  <c r="H58" i="132"/>
  <c r="H57" i="132"/>
  <c r="H56" i="132"/>
  <c r="H55" i="132"/>
  <c r="B55" i="132"/>
  <c r="J55" i="132" s="1"/>
  <c r="H54" i="132"/>
  <c r="H53" i="132"/>
  <c r="H52" i="132"/>
  <c r="H51" i="132"/>
  <c r="H50" i="132"/>
  <c r="H49" i="132"/>
  <c r="H48" i="132"/>
  <c r="H47" i="132"/>
  <c r="B47" i="132"/>
  <c r="J47" i="132" s="1"/>
  <c r="H46" i="132"/>
  <c r="L45" i="132"/>
  <c r="J45" i="132"/>
  <c r="L44" i="132"/>
  <c r="L43" i="132"/>
  <c r="B43" i="132"/>
  <c r="T42" i="132"/>
  <c r="B52" i="132" s="1"/>
  <c r="S42" i="132"/>
  <c r="B57" i="132" s="1"/>
  <c r="R42" i="132"/>
  <c r="B46" i="132" s="1"/>
  <c r="L42" i="132"/>
  <c r="B42" i="132"/>
  <c r="J42" i="132" s="1"/>
  <c r="L41" i="132"/>
  <c r="J41" i="132"/>
  <c r="L40" i="132"/>
  <c r="B40" i="132"/>
  <c r="J40" i="132" s="1"/>
  <c r="L39" i="132"/>
  <c r="J39" i="132"/>
  <c r="L38" i="132"/>
  <c r="B38" i="132"/>
  <c r="B44" i="132" s="1"/>
  <c r="L37" i="132"/>
  <c r="J37" i="132"/>
  <c r="L36" i="132"/>
  <c r="L35" i="132"/>
  <c r="B35" i="132"/>
  <c r="L34" i="132"/>
  <c r="B34" i="132"/>
  <c r="J34" i="132" s="1"/>
  <c r="L33" i="132"/>
  <c r="J33" i="132"/>
  <c r="L32" i="132"/>
  <c r="B32" i="132"/>
  <c r="J32" i="132" s="1"/>
  <c r="L31" i="132"/>
  <c r="J31" i="132"/>
  <c r="L30" i="132"/>
  <c r="B30" i="132"/>
  <c r="B36" i="132" s="1"/>
  <c r="L29" i="132"/>
  <c r="J29" i="132"/>
  <c r="L28" i="132"/>
  <c r="L27" i="132"/>
  <c r="B27" i="132"/>
  <c r="L26" i="132"/>
  <c r="B26" i="132"/>
  <c r="J26" i="132" s="1"/>
  <c r="L25" i="132"/>
  <c r="J25" i="132"/>
  <c r="L24" i="132"/>
  <c r="B24" i="132"/>
  <c r="J24" i="132" s="1"/>
  <c r="L23" i="132"/>
  <c r="J23" i="132"/>
  <c r="L22" i="132"/>
  <c r="B22" i="132"/>
  <c r="B28" i="132" s="1"/>
  <c r="L21" i="132"/>
  <c r="J21" i="132"/>
  <c r="L20" i="132"/>
  <c r="L19" i="132"/>
  <c r="B19" i="132"/>
  <c r="L18" i="132"/>
  <c r="B18" i="132"/>
  <c r="J18" i="132" s="1"/>
  <c r="L17" i="132"/>
  <c r="J17" i="132"/>
  <c r="L16" i="132"/>
  <c r="B16" i="132"/>
  <c r="J16" i="132" s="1"/>
  <c r="L15" i="132"/>
  <c r="J15" i="132"/>
  <c r="L14" i="132"/>
  <c r="B14" i="132"/>
  <c r="B20" i="132" s="1"/>
  <c r="C31" i="109" s="1"/>
  <c r="L13" i="132"/>
  <c r="J13" i="132"/>
  <c r="L12" i="132"/>
  <c r="J12" i="132"/>
  <c r="X10" i="132"/>
  <c r="V10" i="132"/>
  <c r="U10" i="132"/>
  <c r="Z98" i="131"/>
  <c r="B55" i="131" s="1"/>
  <c r="J55" i="131" s="1"/>
  <c r="V98" i="131"/>
  <c r="U98" i="131"/>
  <c r="P98" i="131"/>
  <c r="B50" i="131" s="1"/>
  <c r="J50" i="131" s="1"/>
  <c r="X97" i="131"/>
  <c r="Y97" i="131" s="1"/>
  <c r="S97" i="131"/>
  <c r="T97" i="131" s="1"/>
  <c r="X96" i="131"/>
  <c r="Y96" i="131" s="1"/>
  <c r="S96" i="131"/>
  <c r="T96" i="131" s="1"/>
  <c r="X95" i="131"/>
  <c r="Y95" i="131" s="1"/>
  <c r="S95" i="131"/>
  <c r="T95" i="131" s="1"/>
  <c r="X94" i="131"/>
  <c r="Y94" i="131" s="1"/>
  <c r="S94" i="131"/>
  <c r="T94" i="131" s="1"/>
  <c r="X93" i="131"/>
  <c r="Y93" i="131" s="1"/>
  <c r="S93" i="131"/>
  <c r="T93" i="131" s="1"/>
  <c r="X92" i="131"/>
  <c r="Y92" i="131" s="1"/>
  <c r="S92" i="131"/>
  <c r="T92" i="131" s="1"/>
  <c r="X91" i="131"/>
  <c r="Y91" i="131" s="1"/>
  <c r="S91" i="131"/>
  <c r="T91" i="131" s="1"/>
  <c r="X90" i="131"/>
  <c r="Y90" i="131" s="1"/>
  <c r="S90" i="131"/>
  <c r="T90" i="131" s="1"/>
  <c r="X89" i="131"/>
  <c r="Y89" i="131" s="1"/>
  <c r="S89" i="131"/>
  <c r="T89" i="131" s="1"/>
  <c r="X88" i="131"/>
  <c r="Y88" i="131" s="1"/>
  <c r="S88" i="131"/>
  <c r="T88" i="131" s="1"/>
  <c r="X87" i="131"/>
  <c r="Y87" i="131" s="1"/>
  <c r="S87" i="131"/>
  <c r="T87" i="131" s="1"/>
  <c r="X86" i="131"/>
  <c r="Y86" i="131" s="1"/>
  <c r="S86" i="131"/>
  <c r="T86" i="131" s="1"/>
  <c r="X85" i="131"/>
  <c r="Y85" i="131" s="1"/>
  <c r="S85" i="131"/>
  <c r="T85" i="131" s="1"/>
  <c r="X84" i="131"/>
  <c r="Y84" i="131" s="1"/>
  <c r="S84" i="131"/>
  <c r="T84" i="131" s="1"/>
  <c r="X83" i="131"/>
  <c r="Y83" i="131" s="1"/>
  <c r="S83" i="131"/>
  <c r="T83" i="131" s="1"/>
  <c r="X82" i="131"/>
  <c r="Y82" i="131" s="1"/>
  <c r="S82" i="131"/>
  <c r="T82" i="131" s="1"/>
  <c r="X81" i="131"/>
  <c r="Y81" i="131" s="1"/>
  <c r="S81" i="131"/>
  <c r="T81" i="131" s="1"/>
  <c r="X80" i="131"/>
  <c r="Y80" i="131" s="1"/>
  <c r="S80" i="131"/>
  <c r="T80" i="131" s="1"/>
  <c r="X79" i="131"/>
  <c r="Y79" i="131" s="1"/>
  <c r="S79" i="131"/>
  <c r="T79" i="131" s="1"/>
  <c r="X78" i="131"/>
  <c r="S78" i="131"/>
  <c r="T75" i="131"/>
  <c r="B56" i="131" s="1"/>
  <c r="J56" i="131" s="1"/>
  <c r="R75" i="131"/>
  <c r="B70" i="131"/>
  <c r="T69" i="131"/>
  <c r="B54" i="131" s="1"/>
  <c r="J54" i="131" s="1"/>
  <c r="R69" i="131"/>
  <c r="B48" i="131" s="1"/>
  <c r="J48" i="131" s="1"/>
  <c r="J64" i="131"/>
  <c r="T63" i="131"/>
  <c r="B53" i="131" s="1"/>
  <c r="J53" i="131" s="1"/>
  <c r="S63" i="131"/>
  <c r="B58" i="131" s="1"/>
  <c r="J58" i="131" s="1"/>
  <c r="R63" i="131"/>
  <c r="B47" i="131" s="1"/>
  <c r="J47" i="131" s="1"/>
  <c r="L62" i="131"/>
  <c r="J62" i="131"/>
  <c r="H62" i="131"/>
  <c r="J61" i="131"/>
  <c r="H61" i="131"/>
  <c r="J60" i="131"/>
  <c r="H60" i="131"/>
  <c r="D60" i="131"/>
  <c r="J59" i="131"/>
  <c r="G59" i="131"/>
  <c r="L59" i="131" s="1"/>
  <c r="H58" i="131"/>
  <c r="H57" i="131"/>
  <c r="H56" i="131"/>
  <c r="H55" i="131"/>
  <c r="H54" i="131"/>
  <c r="H53" i="131"/>
  <c r="H52" i="131"/>
  <c r="H51" i="131"/>
  <c r="H50" i="131"/>
  <c r="H49" i="131"/>
  <c r="B49" i="131"/>
  <c r="J49" i="131" s="1"/>
  <c r="H48" i="131"/>
  <c r="H47" i="131"/>
  <c r="H46" i="131"/>
  <c r="L45" i="131"/>
  <c r="J45" i="131"/>
  <c r="L44" i="131"/>
  <c r="L43" i="131"/>
  <c r="B43" i="131"/>
  <c r="T42" i="131"/>
  <c r="B52" i="131" s="1"/>
  <c r="S42" i="131"/>
  <c r="B57" i="131" s="1"/>
  <c r="R42" i="131"/>
  <c r="B46" i="131" s="1"/>
  <c r="L42" i="131"/>
  <c r="B42" i="131"/>
  <c r="J42" i="131" s="1"/>
  <c r="L41" i="131"/>
  <c r="J41" i="131"/>
  <c r="L40" i="131"/>
  <c r="B40" i="131"/>
  <c r="J40" i="131" s="1"/>
  <c r="L39" i="131"/>
  <c r="J39" i="131"/>
  <c r="L38" i="131"/>
  <c r="B38" i="131"/>
  <c r="B44" i="131" s="1"/>
  <c r="L37" i="131"/>
  <c r="J37" i="131"/>
  <c r="L36" i="131"/>
  <c r="L35" i="131"/>
  <c r="B35" i="131"/>
  <c r="L34" i="131"/>
  <c r="B34" i="131"/>
  <c r="J34" i="131" s="1"/>
  <c r="L33" i="131"/>
  <c r="J33" i="131"/>
  <c r="L32" i="131"/>
  <c r="B32" i="131"/>
  <c r="J32" i="131" s="1"/>
  <c r="L31" i="131"/>
  <c r="J31" i="131"/>
  <c r="L30" i="131"/>
  <c r="B30" i="131"/>
  <c r="B36" i="131" s="1"/>
  <c r="L29" i="131"/>
  <c r="J29" i="131"/>
  <c r="L28" i="131"/>
  <c r="L27" i="131"/>
  <c r="B27" i="131"/>
  <c r="L26" i="131"/>
  <c r="B26" i="131"/>
  <c r="J26" i="131" s="1"/>
  <c r="L25" i="131"/>
  <c r="J25" i="131"/>
  <c r="L24" i="131"/>
  <c r="B24" i="131"/>
  <c r="J24" i="131" s="1"/>
  <c r="L23" i="131"/>
  <c r="J23" i="131"/>
  <c r="L22" i="131"/>
  <c r="B22" i="131"/>
  <c r="B28" i="131" s="1"/>
  <c r="L21" i="131"/>
  <c r="J21" i="131"/>
  <c r="L20" i="131"/>
  <c r="L19" i="131"/>
  <c r="B19" i="131"/>
  <c r="L18" i="131"/>
  <c r="B18" i="131"/>
  <c r="J18" i="131" s="1"/>
  <c r="L17" i="131"/>
  <c r="J17" i="131"/>
  <c r="L16" i="131"/>
  <c r="B16" i="131"/>
  <c r="J16" i="131" s="1"/>
  <c r="L15" i="131"/>
  <c r="J15" i="131"/>
  <c r="L14" i="131"/>
  <c r="B14" i="131"/>
  <c r="B20" i="131" s="1"/>
  <c r="C30" i="109" s="1"/>
  <c r="L13" i="131"/>
  <c r="J13" i="131"/>
  <c r="L12" i="131"/>
  <c r="J12" i="131"/>
  <c r="X10" i="131"/>
  <c r="V10" i="131"/>
  <c r="U10" i="131"/>
  <c r="Z98" i="130"/>
  <c r="B55" i="130" s="1"/>
  <c r="J55" i="130" s="1"/>
  <c r="V98" i="130"/>
  <c r="U98" i="130"/>
  <c r="P98" i="130"/>
  <c r="X97" i="130"/>
  <c r="Y97" i="130" s="1"/>
  <c r="S97" i="130"/>
  <c r="T97" i="130" s="1"/>
  <c r="X96" i="130"/>
  <c r="Y96" i="130" s="1"/>
  <c r="S96" i="130"/>
  <c r="T96" i="130" s="1"/>
  <c r="X95" i="130"/>
  <c r="Y95" i="130" s="1"/>
  <c r="S95" i="130"/>
  <c r="T95" i="130" s="1"/>
  <c r="X94" i="130"/>
  <c r="Y94" i="130" s="1"/>
  <c r="S94" i="130"/>
  <c r="T94" i="130" s="1"/>
  <c r="X93" i="130"/>
  <c r="Y93" i="130" s="1"/>
  <c r="S93" i="130"/>
  <c r="T93" i="130" s="1"/>
  <c r="X92" i="130"/>
  <c r="Y92" i="130" s="1"/>
  <c r="S92" i="130"/>
  <c r="T92" i="130" s="1"/>
  <c r="X91" i="130"/>
  <c r="Y91" i="130" s="1"/>
  <c r="S91" i="130"/>
  <c r="T91" i="130" s="1"/>
  <c r="X90" i="130"/>
  <c r="Y90" i="130" s="1"/>
  <c r="S90" i="130"/>
  <c r="T90" i="130" s="1"/>
  <c r="X89" i="130"/>
  <c r="Y89" i="130" s="1"/>
  <c r="S89" i="130"/>
  <c r="T89" i="130" s="1"/>
  <c r="X88" i="130"/>
  <c r="Y88" i="130" s="1"/>
  <c r="S88" i="130"/>
  <c r="T88" i="130" s="1"/>
  <c r="X87" i="130"/>
  <c r="Y87" i="130" s="1"/>
  <c r="S87" i="130"/>
  <c r="T87" i="130" s="1"/>
  <c r="X86" i="130"/>
  <c r="Y86" i="130" s="1"/>
  <c r="S86" i="130"/>
  <c r="T86" i="130" s="1"/>
  <c r="X85" i="130"/>
  <c r="Y85" i="130" s="1"/>
  <c r="S85" i="130"/>
  <c r="T85" i="130" s="1"/>
  <c r="X84" i="130"/>
  <c r="Y84" i="130" s="1"/>
  <c r="S84" i="130"/>
  <c r="T84" i="130" s="1"/>
  <c r="X83" i="130"/>
  <c r="Y83" i="130" s="1"/>
  <c r="S83" i="130"/>
  <c r="T83" i="130" s="1"/>
  <c r="X82" i="130"/>
  <c r="Y82" i="130" s="1"/>
  <c r="S82" i="130"/>
  <c r="T82" i="130" s="1"/>
  <c r="X81" i="130"/>
  <c r="Y81" i="130" s="1"/>
  <c r="S81" i="130"/>
  <c r="T81" i="130" s="1"/>
  <c r="X80" i="130"/>
  <c r="Y80" i="130" s="1"/>
  <c r="S80" i="130"/>
  <c r="T80" i="130" s="1"/>
  <c r="X79" i="130"/>
  <c r="Y79" i="130" s="1"/>
  <c r="S79" i="130"/>
  <c r="T79" i="130" s="1"/>
  <c r="H79" i="130"/>
  <c r="X78" i="130"/>
  <c r="S78" i="130"/>
  <c r="T75" i="130"/>
  <c r="B56" i="130" s="1"/>
  <c r="J56" i="130" s="1"/>
  <c r="R75" i="130"/>
  <c r="B49" i="130" s="1"/>
  <c r="J49" i="130" s="1"/>
  <c r="B70" i="130"/>
  <c r="T69" i="130"/>
  <c r="B54" i="130" s="1"/>
  <c r="J54" i="130" s="1"/>
  <c r="R69" i="130"/>
  <c r="B48" i="130" s="1"/>
  <c r="J48" i="130" s="1"/>
  <c r="J69" i="130"/>
  <c r="J64" i="130"/>
  <c r="T63" i="130"/>
  <c r="B53" i="130" s="1"/>
  <c r="J53" i="130" s="1"/>
  <c r="S63" i="130"/>
  <c r="B58" i="130" s="1"/>
  <c r="J58" i="130" s="1"/>
  <c r="R63" i="130"/>
  <c r="B47" i="130" s="1"/>
  <c r="J47" i="130" s="1"/>
  <c r="L62" i="130"/>
  <c r="J62" i="130"/>
  <c r="H62" i="130"/>
  <c r="J61" i="130"/>
  <c r="H61" i="130"/>
  <c r="J60" i="130"/>
  <c r="H60" i="130"/>
  <c r="D60" i="130"/>
  <c r="J59" i="130"/>
  <c r="G59" i="130"/>
  <c r="L59" i="130" s="1"/>
  <c r="H58" i="130"/>
  <c r="H57" i="130"/>
  <c r="H56" i="130"/>
  <c r="H55" i="130"/>
  <c r="H54" i="130"/>
  <c r="H53" i="130"/>
  <c r="H52" i="130"/>
  <c r="H51" i="130"/>
  <c r="H50" i="130"/>
  <c r="H49" i="130"/>
  <c r="H48" i="130"/>
  <c r="H47" i="130"/>
  <c r="H46" i="130"/>
  <c r="L45" i="130"/>
  <c r="J45" i="130"/>
  <c r="L44" i="130"/>
  <c r="L43" i="130"/>
  <c r="B43" i="130"/>
  <c r="T42" i="130"/>
  <c r="B52" i="130" s="1"/>
  <c r="S42" i="130"/>
  <c r="B57" i="130" s="1"/>
  <c r="R42" i="130"/>
  <c r="B46" i="130" s="1"/>
  <c r="L42" i="130"/>
  <c r="B42" i="130"/>
  <c r="J42" i="130" s="1"/>
  <c r="L41" i="130"/>
  <c r="J41" i="130"/>
  <c r="L40" i="130"/>
  <c r="B40" i="130"/>
  <c r="J40" i="130" s="1"/>
  <c r="L39" i="130"/>
  <c r="J39" i="130"/>
  <c r="L38" i="130"/>
  <c r="B38" i="130"/>
  <c r="B44" i="130" s="1"/>
  <c r="L37" i="130"/>
  <c r="J37" i="130"/>
  <c r="L36" i="130"/>
  <c r="L35" i="130"/>
  <c r="B35" i="130"/>
  <c r="L34" i="130"/>
  <c r="B34" i="130"/>
  <c r="J34" i="130" s="1"/>
  <c r="L33" i="130"/>
  <c r="J33" i="130"/>
  <c r="L32" i="130"/>
  <c r="B32" i="130"/>
  <c r="J32" i="130" s="1"/>
  <c r="L31" i="130"/>
  <c r="J31" i="130"/>
  <c r="L30" i="130"/>
  <c r="B30" i="130"/>
  <c r="B36" i="130" s="1"/>
  <c r="L29" i="130"/>
  <c r="J29" i="130"/>
  <c r="L28" i="130"/>
  <c r="L27" i="130"/>
  <c r="B27" i="130"/>
  <c r="L26" i="130"/>
  <c r="B26" i="130"/>
  <c r="J26" i="130" s="1"/>
  <c r="L25" i="130"/>
  <c r="J25" i="130"/>
  <c r="L24" i="130"/>
  <c r="B24" i="130"/>
  <c r="J24" i="130" s="1"/>
  <c r="L23" i="130"/>
  <c r="J23" i="130"/>
  <c r="L22" i="130"/>
  <c r="B22" i="130"/>
  <c r="B28" i="130" s="1"/>
  <c r="L21" i="130"/>
  <c r="J21" i="130"/>
  <c r="L20" i="130"/>
  <c r="L19" i="130"/>
  <c r="B19" i="130"/>
  <c r="L18" i="130"/>
  <c r="B18" i="130"/>
  <c r="J18" i="130" s="1"/>
  <c r="L17" i="130"/>
  <c r="J17" i="130"/>
  <c r="L16" i="130"/>
  <c r="B16" i="130"/>
  <c r="J16" i="130" s="1"/>
  <c r="L15" i="130"/>
  <c r="J15" i="130"/>
  <c r="L14" i="130"/>
  <c r="B14" i="130"/>
  <c r="B20" i="130" s="1"/>
  <c r="C29" i="109" s="1"/>
  <c r="L13" i="130"/>
  <c r="J13" i="130"/>
  <c r="L12" i="130"/>
  <c r="J12" i="130"/>
  <c r="X10" i="130"/>
  <c r="V10" i="130"/>
  <c r="U10" i="130"/>
  <c r="Z98" i="129"/>
  <c r="B55" i="129" s="1"/>
  <c r="J55" i="129" s="1"/>
  <c r="V98" i="129"/>
  <c r="U98" i="129"/>
  <c r="P98" i="129"/>
  <c r="X97" i="129"/>
  <c r="Y97" i="129" s="1"/>
  <c r="S97" i="129"/>
  <c r="T97" i="129" s="1"/>
  <c r="X96" i="129"/>
  <c r="Y96" i="129" s="1"/>
  <c r="S96" i="129"/>
  <c r="T96" i="129" s="1"/>
  <c r="X95" i="129"/>
  <c r="Y95" i="129" s="1"/>
  <c r="S95" i="129"/>
  <c r="T95" i="129" s="1"/>
  <c r="X94" i="129"/>
  <c r="Y94" i="129" s="1"/>
  <c r="S94" i="129"/>
  <c r="T94" i="129" s="1"/>
  <c r="X93" i="129"/>
  <c r="Y93" i="129" s="1"/>
  <c r="S93" i="129"/>
  <c r="T93" i="129" s="1"/>
  <c r="X92" i="129"/>
  <c r="Y92" i="129" s="1"/>
  <c r="S92" i="129"/>
  <c r="T92" i="129" s="1"/>
  <c r="X91" i="129"/>
  <c r="Y91" i="129" s="1"/>
  <c r="S91" i="129"/>
  <c r="T91" i="129" s="1"/>
  <c r="X90" i="129"/>
  <c r="Y90" i="129" s="1"/>
  <c r="S90" i="129"/>
  <c r="T90" i="129" s="1"/>
  <c r="X89" i="129"/>
  <c r="Y89" i="129" s="1"/>
  <c r="S89" i="129"/>
  <c r="T89" i="129" s="1"/>
  <c r="X88" i="129"/>
  <c r="Y88" i="129" s="1"/>
  <c r="S88" i="129"/>
  <c r="T88" i="129" s="1"/>
  <c r="X87" i="129"/>
  <c r="Y87" i="129" s="1"/>
  <c r="S87" i="129"/>
  <c r="T87" i="129" s="1"/>
  <c r="X86" i="129"/>
  <c r="Y86" i="129" s="1"/>
  <c r="S86" i="129"/>
  <c r="T86" i="129" s="1"/>
  <c r="X85" i="129"/>
  <c r="Y85" i="129" s="1"/>
  <c r="S85" i="129"/>
  <c r="T85" i="129" s="1"/>
  <c r="X84" i="129"/>
  <c r="Y84" i="129" s="1"/>
  <c r="S84" i="129"/>
  <c r="T84" i="129" s="1"/>
  <c r="X83" i="129"/>
  <c r="Y83" i="129" s="1"/>
  <c r="S83" i="129"/>
  <c r="T83" i="129" s="1"/>
  <c r="X82" i="129"/>
  <c r="Y82" i="129" s="1"/>
  <c r="S82" i="129"/>
  <c r="T82" i="129" s="1"/>
  <c r="X81" i="129"/>
  <c r="Y81" i="129" s="1"/>
  <c r="S81" i="129"/>
  <c r="T81" i="129" s="1"/>
  <c r="X80" i="129"/>
  <c r="Y80" i="129" s="1"/>
  <c r="S80" i="129"/>
  <c r="T80" i="129" s="1"/>
  <c r="X79" i="129"/>
  <c r="Y79" i="129" s="1"/>
  <c r="S79" i="129"/>
  <c r="T79" i="129" s="1"/>
  <c r="H79" i="129"/>
  <c r="X78" i="129"/>
  <c r="S78" i="129"/>
  <c r="T75" i="129"/>
  <c r="R75" i="129"/>
  <c r="B70" i="129"/>
  <c r="T69" i="129"/>
  <c r="B54" i="129" s="1"/>
  <c r="J54" i="129" s="1"/>
  <c r="R69" i="129"/>
  <c r="J69" i="129"/>
  <c r="J64" i="129"/>
  <c r="T63" i="129"/>
  <c r="B53" i="129" s="1"/>
  <c r="J53" i="129" s="1"/>
  <c r="S63" i="129"/>
  <c r="B58" i="129" s="1"/>
  <c r="J58" i="129" s="1"/>
  <c r="R63" i="129"/>
  <c r="B47" i="129" s="1"/>
  <c r="J47" i="129" s="1"/>
  <c r="L62" i="129"/>
  <c r="J62" i="129"/>
  <c r="H62" i="129"/>
  <c r="J61" i="129"/>
  <c r="H61" i="129"/>
  <c r="J60" i="129"/>
  <c r="H60" i="129"/>
  <c r="D60" i="129"/>
  <c r="J59" i="129"/>
  <c r="G59" i="129"/>
  <c r="L59" i="129" s="1"/>
  <c r="H58" i="129"/>
  <c r="H57" i="129"/>
  <c r="H56" i="129"/>
  <c r="B56" i="129"/>
  <c r="J56" i="129" s="1"/>
  <c r="H55" i="129"/>
  <c r="H54" i="129"/>
  <c r="H53" i="129"/>
  <c r="H52" i="129"/>
  <c r="H51" i="129"/>
  <c r="H50" i="129"/>
  <c r="H49" i="129"/>
  <c r="B49" i="129"/>
  <c r="J49" i="129" s="1"/>
  <c r="H48" i="129"/>
  <c r="B48" i="129"/>
  <c r="J48" i="129" s="1"/>
  <c r="H47" i="129"/>
  <c r="H46" i="129"/>
  <c r="L45" i="129"/>
  <c r="J45" i="129"/>
  <c r="L44" i="129"/>
  <c r="L43" i="129"/>
  <c r="B43" i="129"/>
  <c r="T42" i="129"/>
  <c r="B52" i="129" s="1"/>
  <c r="S42" i="129"/>
  <c r="B57" i="129" s="1"/>
  <c r="R42" i="129"/>
  <c r="B46" i="129" s="1"/>
  <c r="L42" i="129"/>
  <c r="B42" i="129"/>
  <c r="J42" i="129" s="1"/>
  <c r="L41" i="129"/>
  <c r="J41" i="129"/>
  <c r="L40" i="129"/>
  <c r="B40" i="129"/>
  <c r="J40" i="129" s="1"/>
  <c r="L39" i="129"/>
  <c r="J39" i="129"/>
  <c r="L38" i="129"/>
  <c r="B38" i="129"/>
  <c r="B44" i="129" s="1"/>
  <c r="L37" i="129"/>
  <c r="J37" i="129"/>
  <c r="L36" i="129"/>
  <c r="L35" i="129"/>
  <c r="B35" i="129"/>
  <c r="L34" i="129"/>
  <c r="B34" i="129"/>
  <c r="J34" i="129" s="1"/>
  <c r="L33" i="129"/>
  <c r="J33" i="129"/>
  <c r="L32" i="129"/>
  <c r="B32" i="129"/>
  <c r="J32" i="129" s="1"/>
  <c r="L31" i="129"/>
  <c r="J31" i="129"/>
  <c r="L30" i="129"/>
  <c r="B30" i="129"/>
  <c r="B36" i="129" s="1"/>
  <c r="L29" i="129"/>
  <c r="J29" i="129"/>
  <c r="L28" i="129"/>
  <c r="L27" i="129"/>
  <c r="B27" i="129"/>
  <c r="L26" i="129"/>
  <c r="B26" i="129"/>
  <c r="J26" i="129" s="1"/>
  <c r="L25" i="129"/>
  <c r="J25" i="129"/>
  <c r="L24" i="129"/>
  <c r="B24" i="129"/>
  <c r="J24" i="129" s="1"/>
  <c r="L23" i="129"/>
  <c r="J23" i="129"/>
  <c r="L22" i="129"/>
  <c r="B22" i="129"/>
  <c r="B28" i="129" s="1"/>
  <c r="L21" i="129"/>
  <c r="J21" i="129"/>
  <c r="L20" i="129"/>
  <c r="L19" i="129"/>
  <c r="B19" i="129"/>
  <c r="L18" i="129"/>
  <c r="B18" i="129"/>
  <c r="J18" i="129" s="1"/>
  <c r="L17" i="129"/>
  <c r="J17" i="129"/>
  <c r="L16" i="129"/>
  <c r="B16" i="129"/>
  <c r="J16" i="129" s="1"/>
  <c r="L15" i="129"/>
  <c r="J15" i="129"/>
  <c r="L14" i="129"/>
  <c r="B14" i="129"/>
  <c r="B20" i="129" s="1"/>
  <c r="C28" i="109" s="1"/>
  <c r="L13" i="129"/>
  <c r="J13" i="129"/>
  <c r="L12" i="129"/>
  <c r="J12" i="129"/>
  <c r="X10" i="129"/>
  <c r="V10" i="129"/>
  <c r="U10" i="129"/>
  <c r="Z98" i="128"/>
  <c r="V98" i="128"/>
  <c r="U98" i="128"/>
  <c r="P98" i="128"/>
  <c r="X97" i="128"/>
  <c r="Y97" i="128" s="1"/>
  <c r="S97" i="128"/>
  <c r="T97" i="128" s="1"/>
  <c r="X96" i="128"/>
  <c r="Y96" i="128" s="1"/>
  <c r="S96" i="128"/>
  <c r="T96" i="128" s="1"/>
  <c r="X95" i="128"/>
  <c r="Y95" i="128" s="1"/>
  <c r="S95" i="128"/>
  <c r="T95" i="128" s="1"/>
  <c r="X94" i="128"/>
  <c r="Y94" i="128" s="1"/>
  <c r="S94" i="128"/>
  <c r="T94" i="128" s="1"/>
  <c r="X93" i="128"/>
  <c r="Y93" i="128" s="1"/>
  <c r="S93" i="128"/>
  <c r="T93" i="128" s="1"/>
  <c r="X92" i="128"/>
  <c r="Y92" i="128" s="1"/>
  <c r="S92" i="128"/>
  <c r="T92" i="128" s="1"/>
  <c r="X91" i="128"/>
  <c r="Y91" i="128" s="1"/>
  <c r="S91" i="128"/>
  <c r="T91" i="128" s="1"/>
  <c r="X90" i="128"/>
  <c r="Y90" i="128" s="1"/>
  <c r="S90" i="128"/>
  <c r="T90" i="128" s="1"/>
  <c r="X89" i="128"/>
  <c r="Y89" i="128" s="1"/>
  <c r="S89" i="128"/>
  <c r="T89" i="128" s="1"/>
  <c r="X88" i="128"/>
  <c r="Y88" i="128" s="1"/>
  <c r="S88" i="128"/>
  <c r="T88" i="128" s="1"/>
  <c r="X87" i="128"/>
  <c r="Y87" i="128" s="1"/>
  <c r="S87" i="128"/>
  <c r="T87" i="128" s="1"/>
  <c r="X86" i="128"/>
  <c r="Y86" i="128" s="1"/>
  <c r="S86" i="128"/>
  <c r="T86" i="128" s="1"/>
  <c r="X85" i="128"/>
  <c r="Y85" i="128" s="1"/>
  <c r="S85" i="128"/>
  <c r="T85" i="128" s="1"/>
  <c r="X84" i="128"/>
  <c r="Y84" i="128" s="1"/>
  <c r="S84" i="128"/>
  <c r="T84" i="128" s="1"/>
  <c r="X83" i="128"/>
  <c r="Y83" i="128" s="1"/>
  <c r="S83" i="128"/>
  <c r="T83" i="128" s="1"/>
  <c r="X82" i="128"/>
  <c r="Y82" i="128" s="1"/>
  <c r="S82" i="128"/>
  <c r="T82" i="128" s="1"/>
  <c r="X81" i="128"/>
  <c r="Y81" i="128" s="1"/>
  <c r="S81" i="128"/>
  <c r="T81" i="128" s="1"/>
  <c r="X80" i="128"/>
  <c r="Y80" i="128" s="1"/>
  <c r="S80" i="128"/>
  <c r="T80" i="128" s="1"/>
  <c r="X79" i="128"/>
  <c r="Y79" i="128" s="1"/>
  <c r="S79" i="128"/>
  <c r="T79" i="128" s="1"/>
  <c r="H79" i="128"/>
  <c r="X78" i="128"/>
  <c r="S78" i="128"/>
  <c r="T75" i="128"/>
  <c r="B56" i="128" s="1"/>
  <c r="J56" i="128" s="1"/>
  <c r="R75" i="128"/>
  <c r="B49" i="128" s="1"/>
  <c r="J49" i="128" s="1"/>
  <c r="B70" i="128"/>
  <c r="T69" i="128"/>
  <c r="R69" i="128"/>
  <c r="B48" i="128" s="1"/>
  <c r="J48" i="128" s="1"/>
  <c r="J69" i="128"/>
  <c r="J64" i="128"/>
  <c r="T63" i="128"/>
  <c r="S63" i="128"/>
  <c r="B58" i="128" s="1"/>
  <c r="J58" i="128" s="1"/>
  <c r="R63" i="128"/>
  <c r="L62" i="128"/>
  <c r="J62" i="128"/>
  <c r="H62" i="128"/>
  <c r="J61" i="128"/>
  <c r="H61" i="128"/>
  <c r="J60" i="128"/>
  <c r="H60" i="128"/>
  <c r="D60" i="128"/>
  <c r="J59" i="128"/>
  <c r="G59" i="128"/>
  <c r="L59" i="128" s="1"/>
  <c r="H58" i="128"/>
  <c r="H57" i="128"/>
  <c r="H56" i="128"/>
  <c r="H55" i="128"/>
  <c r="B55" i="128"/>
  <c r="J55" i="128" s="1"/>
  <c r="H54" i="128"/>
  <c r="B54" i="128"/>
  <c r="J54" i="128" s="1"/>
  <c r="H53" i="128"/>
  <c r="B53" i="128"/>
  <c r="J53" i="128" s="1"/>
  <c r="H52" i="128"/>
  <c r="H51" i="128"/>
  <c r="H50" i="128"/>
  <c r="H49" i="128"/>
  <c r="H48" i="128"/>
  <c r="H47" i="128"/>
  <c r="B47" i="128"/>
  <c r="J47" i="128" s="1"/>
  <c r="H46" i="128"/>
  <c r="L45" i="128"/>
  <c r="J45" i="128"/>
  <c r="L44" i="128"/>
  <c r="L43" i="128"/>
  <c r="B43" i="128"/>
  <c r="T42" i="128"/>
  <c r="B52" i="128" s="1"/>
  <c r="S42" i="128"/>
  <c r="B57" i="128" s="1"/>
  <c r="R42" i="128"/>
  <c r="B46" i="128" s="1"/>
  <c r="L42" i="128"/>
  <c r="B42" i="128"/>
  <c r="J42" i="128" s="1"/>
  <c r="L41" i="128"/>
  <c r="J41" i="128"/>
  <c r="L40" i="128"/>
  <c r="B40" i="128"/>
  <c r="J40" i="128" s="1"/>
  <c r="L39" i="128"/>
  <c r="J39" i="128"/>
  <c r="L38" i="128"/>
  <c r="B38" i="128"/>
  <c r="B44" i="128" s="1"/>
  <c r="L37" i="128"/>
  <c r="J37" i="128"/>
  <c r="L36" i="128"/>
  <c r="L35" i="128"/>
  <c r="B35" i="128"/>
  <c r="L34" i="128"/>
  <c r="B34" i="128"/>
  <c r="J34" i="128" s="1"/>
  <c r="L33" i="128"/>
  <c r="J33" i="128"/>
  <c r="L32" i="128"/>
  <c r="B32" i="128"/>
  <c r="J32" i="128" s="1"/>
  <c r="L31" i="128"/>
  <c r="J31" i="128"/>
  <c r="L30" i="128"/>
  <c r="B30" i="128"/>
  <c r="B36" i="128" s="1"/>
  <c r="L29" i="128"/>
  <c r="J29" i="128"/>
  <c r="L28" i="128"/>
  <c r="L27" i="128"/>
  <c r="B27" i="128"/>
  <c r="L26" i="128"/>
  <c r="B26" i="128"/>
  <c r="J26" i="128" s="1"/>
  <c r="L25" i="128"/>
  <c r="J25" i="128"/>
  <c r="L24" i="128"/>
  <c r="B24" i="128"/>
  <c r="J24" i="128" s="1"/>
  <c r="L23" i="128"/>
  <c r="J23" i="128"/>
  <c r="L22" i="128"/>
  <c r="B22" i="128"/>
  <c r="B28" i="128" s="1"/>
  <c r="L21" i="128"/>
  <c r="J21" i="128"/>
  <c r="L20" i="128"/>
  <c r="L19" i="128"/>
  <c r="B19" i="128"/>
  <c r="L18" i="128"/>
  <c r="B18" i="128"/>
  <c r="J18" i="128" s="1"/>
  <c r="L17" i="128"/>
  <c r="J17" i="128"/>
  <c r="L16" i="128"/>
  <c r="B16" i="128"/>
  <c r="J16" i="128" s="1"/>
  <c r="L15" i="128"/>
  <c r="J15" i="128"/>
  <c r="L14" i="128"/>
  <c r="B14" i="128"/>
  <c r="B20" i="128" s="1"/>
  <c r="C27" i="109" s="1"/>
  <c r="L13" i="128"/>
  <c r="J13" i="128"/>
  <c r="L12" i="128"/>
  <c r="J12" i="128"/>
  <c r="X10" i="128"/>
  <c r="V10" i="128"/>
  <c r="U10" i="128"/>
  <c r="Z98" i="127"/>
  <c r="B55" i="127" s="1"/>
  <c r="J55" i="127" s="1"/>
  <c r="V98" i="127"/>
  <c r="U98" i="127"/>
  <c r="P98" i="127"/>
  <c r="B50" i="127" s="1"/>
  <c r="J50" i="127" s="1"/>
  <c r="X97" i="127"/>
  <c r="Y97" i="127" s="1"/>
  <c r="S97" i="127"/>
  <c r="T97" i="127" s="1"/>
  <c r="X96" i="127"/>
  <c r="Y96" i="127" s="1"/>
  <c r="S96" i="127"/>
  <c r="T96" i="127" s="1"/>
  <c r="X95" i="127"/>
  <c r="Y95" i="127" s="1"/>
  <c r="S95" i="127"/>
  <c r="T95" i="127" s="1"/>
  <c r="X94" i="127"/>
  <c r="Y94" i="127" s="1"/>
  <c r="S94" i="127"/>
  <c r="T94" i="127" s="1"/>
  <c r="X93" i="127"/>
  <c r="Y93" i="127" s="1"/>
  <c r="S93" i="127"/>
  <c r="T93" i="127" s="1"/>
  <c r="X92" i="127"/>
  <c r="Y92" i="127" s="1"/>
  <c r="S92" i="127"/>
  <c r="T92" i="127" s="1"/>
  <c r="X91" i="127"/>
  <c r="Y91" i="127" s="1"/>
  <c r="S91" i="127"/>
  <c r="T91" i="127" s="1"/>
  <c r="X90" i="127"/>
  <c r="Y90" i="127" s="1"/>
  <c r="S90" i="127"/>
  <c r="T90" i="127" s="1"/>
  <c r="X89" i="127"/>
  <c r="Y89" i="127" s="1"/>
  <c r="S89" i="127"/>
  <c r="T89" i="127" s="1"/>
  <c r="X88" i="127"/>
  <c r="Y88" i="127" s="1"/>
  <c r="S88" i="127"/>
  <c r="T88" i="127" s="1"/>
  <c r="X87" i="127"/>
  <c r="Y87" i="127" s="1"/>
  <c r="S87" i="127"/>
  <c r="T87" i="127" s="1"/>
  <c r="X86" i="127"/>
  <c r="Y86" i="127" s="1"/>
  <c r="S86" i="127"/>
  <c r="T86" i="127" s="1"/>
  <c r="X85" i="127"/>
  <c r="Y85" i="127" s="1"/>
  <c r="S85" i="127"/>
  <c r="T85" i="127" s="1"/>
  <c r="X84" i="127"/>
  <c r="Y84" i="127" s="1"/>
  <c r="S84" i="127"/>
  <c r="T84" i="127" s="1"/>
  <c r="X83" i="127"/>
  <c r="Y83" i="127" s="1"/>
  <c r="S83" i="127"/>
  <c r="T83" i="127" s="1"/>
  <c r="X82" i="127"/>
  <c r="Y82" i="127" s="1"/>
  <c r="S82" i="127"/>
  <c r="T82" i="127" s="1"/>
  <c r="X81" i="127"/>
  <c r="Y81" i="127" s="1"/>
  <c r="S81" i="127"/>
  <c r="T81" i="127" s="1"/>
  <c r="X80" i="127"/>
  <c r="Y80" i="127" s="1"/>
  <c r="S80" i="127"/>
  <c r="T80" i="127" s="1"/>
  <c r="X79" i="127"/>
  <c r="Y79" i="127" s="1"/>
  <c r="S79" i="127"/>
  <c r="T79" i="127" s="1"/>
  <c r="H79" i="127"/>
  <c r="X78" i="127"/>
  <c r="S78" i="127"/>
  <c r="T75" i="127"/>
  <c r="R75" i="127"/>
  <c r="B49" i="127" s="1"/>
  <c r="J49" i="127" s="1"/>
  <c r="B70" i="127"/>
  <c r="T69" i="127"/>
  <c r="B54" i="127" s="1"/>
  <c r="J54" i="127" s="1"/>
  <c r="R69" i="127"/>
  <c r="B48" i="127" s="1"/>
  <c r="J48" i="127" s="1"/>
  <c r="J69" i="127"/>
  <c r="J64" i="127"/>
  <c r="T63" i="127"/>
  <c r="B53" i="127" s="1"/>
  <c r="J53" i="127" s="1"/>
  <c r="S63" i="127"/>
  <c r="B58" i="127" s="1"/>
  <c r="J58" i="127" s="1"/>
  <c r="R63" i="127"/>
  <c r="B47" i="127" s="1"/>
  <c r="J47" i="127" s="1"/>
  <c r="L62" i="127"/>
  <c r="J62" i="127"/>
  <c r="H62" i="127"/>
  <c r="J61" i="127"/>
  <c r="H61" i="127"/>
  <c r="J60" i="127"/>
  <c r="H60" i="127"/>
  <c r="D60" i="127"/>
  <c r="J59" i="127"/>
  <c r="G59" i="127"/>
  <c r="L59" i="127" s="1"/>
  <c r="H58" i="127"/>
  <c r="H57" i="127"/>
  <c r="H56" i="127"/>
  <c r="B56" i="127"/>
  <c r="J56" i="127" s="1"/>
  <c r="H55" i="127"/>
  <c r="H54" i="127"/>
  <c r="H53" i="127"/>
  <c r="H52" i="127"/>
  <c r="H51" i="127"/>
  <c r="H50" i="127"/>
  <c r="H49" i="127"/>
  <c r="H48" i="127"/>
  <c r="H47" i="127"/>
  <c r="H46" i="127"/>
  <c r="L45" i="127"/>
  <c r="J45" i="127"/>
  <c r="L44" i="127"/>
  <c r="L43" i="127"/>
  <c r="B43" i="127"/>
  <c r="T42" i="127"/>
  <c r="B52" i="127" s="1"/>
  <c r="S42" i="127"/>
  <c r="B57" i="127" s="1"/>
  <c r="R42" i="127"/>
  <c r="B46" i="127" s="1"/>
  <c r="L42" i="127"/>
  <c r="B42" i="127"/>
  <c r="J42" i="127" s="1"/>
  <c r="L41" i="127"/>
  <c r="J41" i="127"/>
  <c r="L40" i="127"/>
  <c r="B40" i="127"/>
  <c r="J40" i="127" s="1"/>
  <c r="L39" i="127"/>
  <c r="J39" i="127"/>
  <c r="L38" i="127"/>
  <c r="B38" i="127"/>
  <c r="B44" i="127" s="1"/>
  <c r="L37" i="127"/>
  <c r="J37" i="127"/>
  <c r="L36" i="127"/>
  <c r="L35" i="127"/>
  <c r="B35" i="127"/>
  <c r="L34" i="127"/>
  <c r="B34" i="127"/>
  <c r="J34" i="127" s="1"/>
  <c r="L33" i="127"/>
  <c r="J33" i="127"/>
  <c r="L32" i="127"/>
  <c r="B32" i="127"/>
  <c r="J32" i="127" s="1"/>
  <c r="L31" i="127"/>
  <c r="J31" i="127"/>
  <c r="L30" i="127"/>
  <c r="B30" i="127"/>
  <c r="B36" i="127" s="1"/>
  <c r="L29" i="127"/>
  <c r="J29" i="127"/>
  <c r="L28" i="127"/>
  <c r="L27" i="127"/>
  <c r="B27" i="127"/>
  <c r="L26" i="127"/>
  <c r="B26" i="127"/>
  <c r="J26" i="127" s="1"/>
  <c r="L25" i="127"/>
  <c r="J25" i="127"/>
  <c r="L24" i="127"/>
  <c r="B24" i="127"/>
  <c r="J24" i="127" s="1"/>
  <c r="L23" i="127"/>
  <c r="J23" i="127"/>
  <c r="L22" i="127"/>
  <c r="B22" i="127"/>
  <c r="B28" i="127" s="1"/>
  <c r="L21" i="127"/>
  <c r="J21" i="127"/>
  <c r="L20" i="127"/>
  <c r="L19" i="127"/>
  <c r="B19" i="127"/>
  <c r="L18" i="127"/>
  <c r="B18" i="127"/>
  <c r="J18" i="127" s="1"/>
  <c r="L17" i="127"/>
  <c r="J17" i="127"/>
  <c r="L16" i="127"/>
  <c r="B16" i="127"/>
  <c r="J16" i="127" s="1"/>
  <c r="L15" i="127"/>
  <c r="J15" i="127"/>
  <c r="L14" i="127"/>
  <c r="B14" i="127"/>
  <c r="B20" i="127" s="1"/>
  <c r="C26" i="109" s="1"/>
  <c r="L13" i="127"/>
  <c r="J13" i="127"/>
  <c r="L12" i="127"/>
  <c r="J12" i="127"/>
  <c r="X10" i="127"/>
  <c r="V10" i="127"/>
  <c r="U10" i="127"/>
  <c r="Z98" i="126"/>
  <c r="B55" i="126" s="1"/>
  <c r="J55" i="126" s="1"/>
  <c r="V98" i="126"/>
  <c r="U98" i="126"/>
  <c r="P98" i="126"/>
  <c r="X97" i="126"/>
  <c r="Y97" i="126" s="1"/>
  <c r="S97" i="126"/>
  <c r="T97" i="126" s="1"/>
  <c r="X96" i="126"/>
  <c r="Y96" i="126" s="1"/>
  <c r="S96" i="126"/>
  <c r="T96" i="126" s="1"/>
  <c r="X95" i="126"/>
  <c r="Y95" i="126" s="1"/>
  <c r="S95" i="126"/>
  <c r="T95" i="126" s="1"/>
  <c r="X94" i="126"/>
  <c r="Y94" i="126" s="1"/>
  <c r="S94" i="126"/>
  <c r="T94" i="126" s="1"/>
  <c r="X93" i="126"/>
  <c r="Y93" i="126" s="1"/>
  <c r="S93" i="126"/>
  <c r="T93" i="126" s="1"/>
  <c r="X92" i="126"/>
  <c r="Y92" i="126" s="1"/>
  <c r="S92" i="126"/>
  <c r="T92" i="126" s="1"/>
  <c r="X91" i="126"/>
  <c r="Y91" i="126" s="1"/>
  <c r="S91" i="126"/>
  <c r="T91" i="126" s="1"/>
  <c r="X90" i="126"/>
  <c r="Y90" i="126" s="1"/>
  <c r="S90" i="126"/>
  <c r="T90" i="126" s="1"/>
  <c r="X89" i="126"/>
  <c r="Y89" i="126" s="1"/>
  <c r="S89" i="126"/>
  <c r="T89" i="126" s="1"/>
  <c r="X88" i="126"/>
  <c r="Y88" i="126" s="1"/>
  <c r="S88" i="126"/>
  <c r="T88" i="126" s="1"/>
  <c r="X87" i="126"/>
  <c r="Y87" i="126" s="1"/>
  <c r="S87" i="126"/>
  <c r="T87" i="126" s="1"/>
  <c r="X86" i="126"/>
  <c r="Y86" i="126" s="1"/>
  <c r="S86" i="126"/>
  <c r="T86" i="126" s="1"/>
  <c r="X85" i="126"/>
  <c r="Y85" i="126" s="1"/>
  <c r="S85" i="126"/>
  <c r="T85" i="126" s="1"/>
  <c r="X84" i="126"/>
  <c r="Y84" i="126" s="1"/>
  <c r="S84" i="126"/>
  <c r="T84" i="126" s="1"/>
  <c r="X83" i="126"/>
  <c r="Y83" i="126" s="1"/>
  <c r="S83" i="126"/>
  <c r="T83" i="126" s="1"/>
  <c r="X82" i="126"/>
  <c r="Y82" i="126" s="1"/>
  <c r="S82" i="126"/>
  <c r="T82" i="126" s="1"/>
  <c r="X81" i="126"/>
  <c r="Y81" i="126" s="1"/>
  <c r="S81" i="126"/>
  <c r="T81" i="126" s="1"/>
  <c r="X80" i="126"/>
  <c r="Y80" i="126" s="1"/>
  <c r="S80" i="126"/>
  <c r="T80" i="126" s="1"/>
  <c r="X79" i="126"/>
  <c r="Y79" i="126" s="1"/>
  <c r="S79" i="126"/>
  <c r="T79" i="126" s="1"/>
  <c r="H79" i="126"/>
  <c r="X78" i="126"/>
  <c r="S78" i="126"/>
  <c r="T75" i="126"/>
  <c r="B56" i="126" s="1"/>
  <c r="J56" i="126" s="1"/>
  <c r="R75" i="126"/>
  <c r="B49" i="126" s="1"/>
  <c r="J49" i="126" s="1"/>
  <c r="B70" i="126"/>
  <c r="T69" i="126"/>
  <c r="R69" i="126"/>
  <c r="B48" i="126" s="1"/>
  <c r="J48" i="126" s="1"/>
  <c r="J69" i="126"/>
  <c r="J64" i="126"/>
  <c r="T63" i="126"/>
  <c r="S63" i="126"/>
  <c r="B58" i="126" s="1"/>
  <c r="J58" i="126" s="1"/>
  <c r="R63" i="126"/>
  <c r="B47" i="126" s="1"/>
  <c r="J47" i="126" s="1"/>
  <c r="L62" i="126"/>
  <c r="J62" i="126"/>
  <c r="H62" i="126"/>
  <c r="J61" i="126"/>
  <c r="H61" i="126"/>
  <c r="J60" i="126"/>
  <c r="H60" i="126"/>
  <c r="D60" i="126"/>
  <c r="J59" i="126"/>
  <c r="G59" i="126"/>
  <c r="L59" i="126" s="1"/>
  <c r="H58" i="126"/>
  <c r="H57" i="126"/>
  <c r="H56" i="126"/>
  <c r="H55" i="126"/>
  <c r="H54" i="126"/>
  <c r="B54" i="126"/>
  <c r="J54" i="126" s="1"/>
  <c r="H53" i="126"/>
  <c r="B53" i="126"/>
  <c r="J53" i="126" s="1"/>
  <c r="H52" i="126"/>
  <c r="H51" i="126"/>
  <c r="H50" i="126"/>
  <c r="H49" i="126"/>
  <c r="H48" i="126"/>
  <c r="H47" i="126"/>
  <c r="H46" i="126"/>
  <c r="L45" i="126"/>
  <c r="J45" i="126"/>
  <c r="L44" i="126"/>
  <c r="L43" i="126"/>
  <c r="B43" i="126"/>
  <c r="T42" i="126"/>
  <c r="B52" i="126" s="1"/>
  <c r="S42" i="126"/>
  <c r="B57" i="126" s="1"/>
  <c r="R42" i="126"/>
  <c r="B46" i="126" s="1"/>
  <c r="L42" i="126"/>
  <c r="B42" i="126"/>
  <c r="J42" i="126" s="1"/>
  <c r="L41" i="126"/>
  <c r="J41" i="126"/>
  <c r="L40" i="126"/>
  <c r="B40" i="126"/>
  <c r="J40" i="126" s="1"/>
  <c r="L39" i="126"/>
  <c r="J39" i="126"/>
  <c r="L38" i="126"/>
  <c r="B38" i="126"/>
  <c r="B44" i="126" s="1"/>
  <c r="L37" i="126"/>
  <c r="J37" i="126"/>
  <c r="L36" i="126"/>
  <c r="L35" i="126"/>
  <c r="B35" i="126"/>
  <c r="L34" i="126"/>
  <c r="B34" i="126"/>
  <c r="J34" i="126" s="1"/>
  <c r="L33" i="126"/>
  <c r="J33" i="126"/>
  <c r="L32" i="126"/>
  <c r="B32" i="126"/>
  <c r="J32" i="126" s="1"/>
  <c r="L31" i="126"/>
  <c r="J31" i="126"/>
  <c r="L30" i="126"/>
  <c r="B30" i="126"/>
  <c r="B36" i="126" s="1"/>
  <c r="L29" i="126"/>
  <c r="J29" i="126"/>
  <c r="L28" i="126"/>
  <c r="L27" i="126"/>
  <c r="B27" i="126"/>
  <c r="L26" i="126"/>
  <c r="B26" i="126"/>
  <c r="J26" i="126" s="1"/>
  <c r="L25" i="126"/>
  <c r="J25" i="126"/>
  <c r="L24" i="126"/>
  <c r="B24" i="126"/>
  <c r="J24" i="126" s="1"/>
  <c r="L23" i="126"/>
  <c r="J23" i="126"/>
  <c r="L22" i="126"/>
  <c r="B22" i="126"/>
  <c r="B28" i="126" s="1"/>
  <c r="L21" i="126"/>
  <c r="J21" i="126"/>
  <c r="L20" i="126"/>
  <c r="L19" i="126"/>
  <c r="B19" i="126"/>
  <c r="L18" i="126"/>
  <c r="B18" i="126"/>
  <c r="J18" i="126" s="1"/>
  <c r="L17" i="126"/>
  <c r="J17" i="126"/>
  <c r="L16" i="126"/>
  <c r="B16" i="126"/>
  <c r="J16" i="126" s="1"/>
  <c r="L15" i="126"/>
  <c r="J15" i="126"/>
  <c r="L14" i="126"/>
  <c r="B14" i="126"/>
  <c r="B20" i="126" s="1"/>
  <c r="C25" i="109" s="1"/>
  <c r="L13" i="126"/>
  <c r="J13" i="126"/>
  <c r="L12" i="126"/>
  <c r="J12" i="126"/>
  <c r="X10" i="126"/>
  <c r="V10" i="126"/>
  <c r="U10" i="126"/>
  <c r="Z98" i="125"/>
  <c r="B55" i="125" s="1"/>
  <c r="J55" i="125" s="1"/>
  <c r="V98" i="125"/>
  <c r="U98" i="125"/>
  <c r="P98" i="125"/>
  <c r="X97" i="125"/>
  <c r="Y97" i="125" s="1"/>
  <c r="S97" i="125"/>
  <c r="T97" i="125" s="1"/>
  <c r="X96" i="125"/>
  <c r="Y96" i="125" s="1"/>
  <c r="S96" i="125"/>
  <c r="T96" i="125" s="1"/>
  <c r="X95" i="125"/>
  <c r="Y95" i="125" s="1"/>
  <c r="S95" i="125"/>
  <c r="T95" i="125" s="1"/>
  <c r="X94" i="125"/>
  <c r="Y94" i="125" s="1"/>
  <c r="S94" i="125"/>
  <c r="T94" i="125" s="1"/>
  <c r="X93" i="125"/>
  <c r="Y93" i="125" s="1"/>
  <c r="S93" i="125"/>
  <c r="T93" i="125" s="1"/>
  <c r="X92" i="125"/>
  <c r="Y92" i="125" s="1"/>
  <c r="S92" i="125"/>
  <c r="T92" i="125" s="1"/>
  <c r="X91" i="125"/>
  <c r="Y91" i="125" s="1"/>
  <c r="S91" i="125"/>
  <c r="T91" i="125" s="1"/>
  <c r="X90" i="125"/>
  <c r="Y90" i="125" s="1"/>
  <c r="S90" i="125"/>
  <c r="T90" i="125" s="1"/>
  <c r="X89" i="125"/>
  <c r="Y89" i="125" s="1"/>
  <c r="S89" i="125"/>
  <c r="T89" i="125" s="1"/>
  <c r="X88" i="125"/>
  <c r="Y88" i="125" s="1"/>
  <c r="S88" i="125"/>
  <c r="T88" i="125" s="1"/>
  <c r="X87" i="125"/>
  <c r="Y87" i="125" s="1"/>
  <c r="S87" i="125"/>
  <c r="T87" i="125" s="1"/>
  <c r="X86" i="125"/>
  <c r="Y86" i="125" s="1"/>
  <c r="S86" i="125"/>
  <c r="T86" i="125" s="1"/>
  <c r="X85" i="125"/>
  <c r="Y85" i="125" s="1"/>
  <c r="S85" i="125"/>
  <c r="T85" i="125" s="1"/>
  <c r="X84" i="125"/>
  <c r="Y84" i="125" s="1"/>
  <c r="S84" i="125"/>
  <c r="T84" i="125" s="1"/>
  <c r="X83" i="125"/>
  <c r="Y83" i="125" s="1"/>
  <c r="S83" i="125"/>
  <c r="T83" i="125" s="1"/>
  <c r="X82" i="125"/>
  <c r="Y82" i="125" s="1"/>
  <c r="S82" i="125"/>
  <c r="T82" i="125" s="1"/>
  <c r="X81" i="125"/>
  <c r="Y81" i="125" s="1"/>
  <c r="S81" i="125"/>
  <c r="T81" i="125" s="1"/>
  <c r="X80" i="125"/>
  <c r="Y80" i="125" s="1"/>
  <c r="S80" i="125"/>
  <c r="T80" i="125" s="1"/>
  <c r="X79" i="125"/>
  <c r="Y79" i="125" s="1"/>
  <c r="S79" i="125"/>
  <c r="T79" i="125" s="1"/>
  <c r="H79" i="125"/>
  <c r="X78" i="125"/>
  <c r="S78" i="125"/>
  <c r="T75" i="125"/>
  <c r="B56" i="125" s="1"/>
  <c r="J56" i="125" s="1"/>
  <c r="R75" i="125"/>
  <c r="B49" i="125" s="1"/>
  <c r="J49" i="125" s="1"/>
  <c r="B70" i="125"/>
  <c r="T69" i="125"/>
  <c r="B54" i="125" s="1"/>
  <c r="J54" i="125" s="1"/>
  <c r="R69" i="125"/>
  <c r="B48" i="125" s="1"/>
  <c r="J48" i="125" s="1"/>
  <c r="J69" i="125"/>
  <c r="J64" i="125"/>
  <c r="T63" i="125"/>
  <c r="B53" i="125" s="1"/>
  <c r="J53" i="125" s="1"/>
  <c r="S63" i="125"/>
  <c r="B58" i="125" s="1"/>
  <c r="J58" i="125" s="1"/>
  <c r="R63" i="125"/>
  <c r="B47" i="125" s="1"/>
  <c r="J47" i="125" s="1"/>
  <c r="L62" i="125"/>
  <c r="J62" i="125"/>
  <c r="H62" i="125"/>
  <c r="J61" i="125"/>
  <c r="H61" i="125"/>
  <c r="J60" i="125"/>
  <c r="H60" i="125"/>
  <c r="D60" i="125"/>
  <c r="J59" i="125"/>
  <c r="G59" i="125"/>
  <c r="L59" i="125" s="1"/>
  <c r="H58" i="125"/>
  <c r="H57" i="125"/>
  <c r="H56" i="125"/>
  <c r="H55" i="125"/>
  <c r="H54" i="125"/>
  <c r="H53" i="125"/>
  <c r="H52" i="125"/>
  <c r="H51" i="125"/>
  <c r="H50" i="125"/>
  <c r="H49" i="125"/>
  <c r="H48" i="125"/>
  <c r="H47" i="125"/>
  <c r="H46" i="125"/>
  <c r="L45" i="125"/>
  <c r="J45" i="125"/>
  <c r="L44" i="125"/>
  <c r="L43" i="125"/>
  <c r="B43" i="125"/>
  <c r="T42" i="125"/>
  <c r="B52" i="125" s="1"/>
  <c r="S42" i="125"/>
  <c r="B57" i="125" s="1"/>
  <c r="R42" i="125"/>
  <c r="B46" i="125" s="1"/>
  <c r="L42" i="125"/>
  <c r="B42" i="125"/>
  <c r="J42" i="125" s="1"/>
  <c r="L41" i="125"/>
  <c r="J41" i="125"/>
  <c r="L40" i="125"/>
  <c r="B40" i="125"/>
  <c r="J40" i="125" s="1"/>
  <c r="L39" i="125"/>
  <c r="J39" i="125"/>
  <c r="L38" i="125"/>
  <c r="B38" i="125"/>
  <c r="B44" i="125" s="1"/>
  <c r="L37" i="125"/>
  <c r="J37" i="125"/>
  <c r="L36" i="125"/>
  <c r="L35" i="125"/>
  <c r="B35" i="125"/>
  <c r="L34" i="125"/>
  <c r="B34" i="125"/>
  <c r="J34" i="125" s="1"/>
  <c r="L33" i="125"/>
  <c r="J33" i="125"/>
  <c r="L32" i="125"/>
  <c r="B32" i="125"/>
  <c r="J32" i="125" s="1"/>
  <c r="L31" i="125"/>
  <c r="J31" i="125"/>
  <c r="L30" i="125"/>
  <c r="B30" i="125"/>
  <c r="B36" i="125" s="1"/>
  <c r="L29" i="125"/>
  <c r="J29" i="125"/>
  <c r="L28" i="125"/>
  <c r="L27" i="125"/>
  <c r="B27" i="125"/>
  <c r="L26" i="125"/>
  <c r="B26" i="125"/>
  <c r="J26" i="125" s="1"/>
  <c r="L25" i="125"/>
  <c r="J25" i="125"/>
  <c r="L24" i="125"/>
  <c r="B24" i="125"/>
  <c r="J24" i="125" s="1"/>
  <c r="L23" i="125"/>
  <c r="J23" i="125"/>
  <c r="L22" i="125"/>
  <c r="B22" i="125"/>
  <c r="B28" i="125" s="1"/>
  <c r="L21" i="125"/>
  <c r="J21" i="125"/>
  <c r="L20" i="125"/>
  <c r="L19" i="125"/>
  <c r="B19" i="125"/>
  <c r="L18" i="125"/>
  <c r="B18" i="125"/>
  <c r="J18" i="125" s="1"/>
  <c r="L17" i="125"/>
  <c r="J17" i="125"/>
  <c r="L16" i="125"/>
  <c r="B16" i="125"/>
  <c r="J16" i="125" s="1"/>
  <c r="L15" i="125"/>
  <c r="J15" i="125"/>
  <c r="L14" i="125"/>
  <c r="B14" i="125"/>
  <c r="B20" i="125" s="1"/>
  <c r="C24" i="109" s="1"/>
  <c r="L13" i="125"/>
  <c r="J13" i="125"/>
  <c r="L12" i="125"/>
  <c r="J12" i="125"/>
  <c r="X10" i="125"/>
  <c r="V10" i="125"/>
  <c r="U10" i="125"/>
  <c r="Z98" i="124"/>
  <c r="B55" i="124" s="1"/>
  <c r="J55" i="124" s="1"/>
  <c r="V98" i="124"/>
  <c r="U98" i="124"/>
  <c r="P98" i="124"/>
  <c r="B50" i="124" s="1"/>
  <c r="J50" i="124" s="1"/>
  <c r="X97" i="124"/>
  <c r="Y97" i="124" s="1"/>
  <c r="S97" i="124"/>
  <c r="T97" i="124" s="1"/>
  <c r="X96" i="124"/>
  <c r="Y96" i="124" s="1"/>
  <c r="S96" i="124"/>
  <c r="T96" i="124" s="1"/>
  <c r="X95" i="124"/>
  <c r="Y95" i="124" s="1"/>
  <c r="S95" i="124"/>
  <c r="T95" i="124" s="1"/>
  <c r="X94" i="124"/>
  <c r="Y94" i="124" s="1"/>
  <c r="S94" i="124"/>
  <c r="T94" i="124" s="1"/>
  <c r="X93" i="124"/>
  <c r="Y93" i="124" s="1"/>
  <c r="S93" i="124"/>
  <c r="T93" i="124" s="1"/>
  <c r="X92" i="124"/>
  <c r="Y92" i="124" s="1"/>
  <c r="S92" i="124"/>
  <c r="T92" i="124" s="1"/>
  <c r="X91" i="124"/>
  <c r="Y91" i="124" s="1"/>
  <c r="S91" i="124"/>
  <c r="T91" i="124" s="1"/>
  <c r="X90" i="124"/>
  <c r="Y90" i="124" s="1"/>
  <c r="S90" i="124"/>
  <c r="T90" i="124" s="1"/>
  <c r="X89" i="124"/>
  <c r="Y89" i="124" s="1"/>
  <c r="S89" i="124"/>
  <c r="T89" i="124" s="1"/>
  <c r="X88" i="124"/>
  <c r="Y88" i="124" s="1"/>
  <c r="S88" i="124"/>
  <c r="T88" i="124" s="1"/>
  <c r="X87" i="124"/>
  <c r="Y87" i="124" s="1"/>
  <c r="S87" i="124"/>
  <c r="T87" i="124" s="1"/>
  <c r="X86" i="124"/>
  <c r="Y86" i="124" s="1"/>
  <c r="S86" i="124"/>
  <c r="T86" i="124" s="1"/>
  <c r="X85" i="124"/>
  <c r="Y85" i="124" s="1"/>
  <c r="S85" i="124"/>
  <c r="T85" i="124" s="1"/>
  <c r="X84" i="124"/>
  <c r="Y84" i="124" s="1"/>
  <c r="S84" i="124"/>
  <c r="T84" i="124" s="1"/>
  <c r="X83" i="124"/>
  <c r="Y83" i="124" s="1"/>
  <c r="S83" i="124"/>
  <c r="T83" i="124" s="1"/>
  <c r="X82" i="124"/>
  <c r="Y82" i="124" s="1"/>
  <c r="S82" i="124"/>
  <c r="T82" i="124" s="1"/>
  <c r="X81" i="124"/>
  <c r="Y81" i="124" s="1"/>
  <c r="S81" i="124"/>
  <c r="T81" i="124" s="1"/>
  <c r="X80" i="124"/>
  <c r="Y80" i="124" s="1"/>
  <c r="S80" i="124"/>
  <c r="T80" i="124" s="1"/>
  <c r="X79" i="124"/>
  <c r="Y79" i="124" s="1"/>
  <c r="S79" i="124"/>
  <c r="T79" i="124" s="1"/>
  <c r="H79" i="124"/>
  <c r="X78" i="124"/>
  <c r="S78" i="124"/>
  <c r="T75" i="124"/>
  <c r="B56" i="124" s="1"/>
  <c r="J56" i="124" s="1"/>
  <c r="R75" i="124"/>
  <c r="B49" i="124" s="1"/>
  <c r="J49" i="124" s="1"/>
  <c r="B70" i="124"/>
  <c r="T69" i="124"/>
  <c r="B54" i="124" s="1"/>
  <c r="J54" i="124" s="1"/>
  <c r="R69" i="124"/>
  <c r="B48" i="124" s="1"/>
  <c r="J48" i="124" s="1"/>
  <c r="J69" i="124"/>
  <c r="J64" i="124"/>
  <c r="T63" i="124"/>
  <c r="B53" i="124" s="1"/>
  <c r="J53" i="124" s="1"/>
  <c r="S63" i="124"/>
  <c r="B58" i="124" s="1"/>
  <c r="J58" i="124" s="1"/>
  <c r="R63" i="124"/>
  <c r="B47" i="124" s="1"/>
  <c r="J47" i="124" s="1"/>
  <c r="L62" i="124"/>
  <c r="J62" i="124"/>
  <c r="H62" i="124"/>
  <c r="J61" i="124"/>
  <c r="H61" i="124"/>
  <c r="J60" i="124"/>
  <c r="H60" i="124"/>
  <c r="D60" i="124"/>
  <c r="J59" i="124"/>
  <c r="G59" i="124"/>
  <c r="L59" i="124" s="1"/>
  <c r="H58" i="124"/>
  <c r="H57" i="124"/>
  <c r="H56" i="124"/>
  <c r="H55" i="124"/>
  <c r="H54" i="124"/>
  <c r="H53" i="124"/>
  <c r="H52" i="124"/>
  <c r="H51" i="124"/>
  <c r="H50" i="124"/>
  <c r="H49" i="124"/>
  <c r="H48" i="124"/>
  <c r="H47" i="124"/>
  <c r="H46" i="124"/>
  <c r="L45" i="124"/>
  <c r="J45" i="124"/>
  <c r="L44" i="124"/>
  <c r="L43" i="124"/>
  <c r="B43" i="124"/>
  <c r="T42" i="124"/>
  <c r="B52" i="124" s="1"/>
  <c r="S42" i="124"/>
  <c r="B57" i="124" s="1"/>
  <c r="R42" i="124"/>
  <c r="B46" i="124" s="1"/>
  <c r="L42" i="124"/>
  <c r="B42" i="124"/>
  <c r="J42" i="124" s="1"/>
  <c r="L41" i="124"/>
  <c r="J41" i="124"/>
  <c r="L40" i="124"/>
  <c r="B40" i="124"/>
  <c r="J40" i="124" s="1"/>
  <c r="L39" i="124"/>
  <c r="J39" i="124"/>
  <c r="L38" i="124"/>
  <c r="B38" i="124"/>
  <c r="B44" i="124" s="1"/>
  <c r="L37" i="124"/>
  <c r="J37" i="124"/>
  <c r="L36" i="124"/>
  <c r="L35" i="124"/>
  <c r="B35" i="124"/>
  <c r="L34" i="124"/>
  <c r="B34" i="124"/>
  <c r="J34" i="124" s="1"/>
  <c r="L33" i="124"/>
  <c r="J33" i="124"/>
  <c r="L32" i="124"/>
  <c r="B32" i="124"/>
  <c r="J32" i="124" s="1"/>
  <c r="L31" i="124"/>
  <c r="J31" i="124"/>
  <c r="L30" i="124"/>
  <c r="B30" i="124"/>
  <c r="B36" i="124" s="1"/>
  <c r="L29" i="124"/>
  <c r="J29" i="124"/>
  <c r="L28" i="124"/>
  <c r="L27" i="124"/>
  <c r="B27" i="124"/>
  <c r="L26" i="124"/>
  <c r="B26" i="124"/>
  <c r="J26" i="124" s="1"/>
  <c r="L25" i="124"/>
  <c r="J25" i="124"/>
  <c r="L24" i="124"/>
  <c r="B24" i="124"/>
  <c r="J24" i="124" s="1"/>
  <c r="L23" i="124"/>
  <c r="J23" i="124"/>
  <c r="L22" i="124"/>
  <c r="B22" i="124"/>
  <c r="B28" i="124" s="1"/>
  <c r="L21" i="124"/>
  <c r="J21" i="124"/>
  <c r="L20" i="124"/>
  <c r="L19" i="124"/>
  <c r="B19" i="124"/>
  <c r="L18" i="124"/>
  <c r="B18" i="124"/>
  <c r="J18" i="124" s="1"/>
  <c r="L17" i="124"/>
  <c r="J17" i="124"/>
  <c r="L16" i="124"/>
  <c r="B16" i="124"/>
  <c r="J16" i="124" s="1"/>
  <c r="L15" i="124"/>
  <c r="J15" i="124"/>
  <c r="L14" i="124"/>
  <c r="B14" i="124"/>
  <c r="B20" i="124" s="1"/>
  <c r="C23" i="109" s="1"/>
  <c r="L13" i="124"/>
  <c r="J13" i="124"/>
  <c r="L12" i="124"/>
  <c r="J12" i="124"/>
  <c r="X10" i="124"/>
  <c r="V10" i="124"/>
  <c r="U10" i="124"/>
  <c r="Z98" i="123"/>
  <c r="B55" i="123" s="1"/>
  <c r="J55" i="123" s="1"/>
  <c r="V98" i="123"/>
  <c r="U98" i="123"/>
  <c r="B51" i="123" s="1"/>
  <c r="J51" i="123" s="1"/>
  <c r="P98" i="123"/>
  <c r="B50" i="123" s="1"/>
  <c r="J50" i="123" s="1"/>
  <c r="X97" i="123"/>
  <c r="Y97" i="123" s="1"/>
  <c r="S97" i="123"/>
  <c r="T97" i="123" s="1"/>
  <c r="X96" i="123"/>
  <c r="Y96" i="123" s="1"/>
  <c r="S96" i="123"/>
  <c r="T96" i="123" s="1"/>
  <c r="X95" i="123"/>
  <c r="Y95" i="123" s="1"/>
  <c r="S95" i="123"/>
  <c r="T95" i="123" s="1"/>
  <c r="X94" i="123"/>
  <c r="Y94" i="123" s="1"/>
  <c r="S94" i="123"/>
  <c r="T94" i="123" s="1"/>
  <c r="X93" i="123"/>
  <c r="Y93" i="123" s="1"/>
  <c r="S93" i="123"/>
  <c r="T93" i="123" s="1"/>
  <c r="X92" i="123"/>
  <c r="Y92" i="123" s="1"/>
  <c r="S92" i="123"/>
  <c r="T92" i="123" s="1"/>
  <c r="X91" i="123"/>
  <c r="Y91" i="123" s="1"/>
  <c r="S91" i="123"/>
  <c r="T91" i="123" s="1"/>
  <c r="X90" i="123"/>
  <c r="Y90" i="123" s="1"/>
  <c r="S90" i="123"/>
  <c r="T90" i="123" s="1"/>
  <c r="X89" i="123"/>
  <c r="Y89" i="123" s="1"/>
  <c r="S89" i="123"/>
  <c r="T89" i="123" s="1"/>
  <c r="X88" i="123"/>
  <c r="Y88" i="123" s="1"/>
  <c r="S88" i="123"/>
  <c r="T88" i="123" s="1"/>
  <c r="X87" i="123"/>
  <c r="Y87" i="123" s="1"/>
  <c r="S87" i="123"/>
  <c r="T87" i="123" s="1"/>
  <c r="X86" i="123"/>
  <c r="Y86" i="123" s="1"/>
  <c r="S86" i="123"/>
  <c r="T86" i="123" s="1"/>
  <c r="X85" i="123"/>
  <c r="Y85" i="123" s="1"/>
  <c r="S85" i="123"/>
  <c r="T85" i="123" s="1"/>
  <c r="X84" i="123"/>
  <c r="Y84" i="123" s="1"/>
  <c r="S84" i="123"/>
  <c r="T84" i="123" s="1"/>
  <c r="X83" i="123"/>
  <c r="Y83" i="123" s="1"/>
  <c r="S83" i="123"/>
  <c r="T83" i="123" s="1"/>
  <c r="X82" i="123"/>
  <c r="Y82" i="123" s="1"/>
  <c r="S82" i="123"/>
  <c r="T82" i="123" s="1"/>
  <c r="X81" i="123"/>
  <c r="Y81" i="123" s="1"/>
  <c r="S81" i="123"/>
  <c r="T81" i="123" s="1"/>
  <c r="X80" i="123"/>
  <c r="Y80" i="123" s="1"/>
  <c r="S80" i="123"/>
  <c r="T80" i="123" s="1"/>
  <c r="X79" i="123"/>
  <c r="Y79" i="123" s="1"/>
  <c r="S79" i="123"/>
  <c r="T79" i="123" s="1"/>
  <c r="H79" i="123"/>
  <c r="X78" i="123"/>
  <c r="S78" i="123"/>
  <c r="T75" i="123"/>
  <c r="R75" i="123"/>
  <c r="B49" i="123" s="1"/>
  <c r="J49" i="123" s="1"/>
  <c r="B70" i="123"/>
  <c r="T69" i="123"/>
  <c r="B54" i="123" s="1"/>
  <c r="J54" i="123" s="1"/>
  <c r="R69" i="123"/>
  <c r="J69" i="123"/>
  <c r="J64" i="123"/>
  <c r="T63" i="123"/>
  <c r="B53" i="123" s="1"/>
  <c r="J53" i="123" s="1"/>
  <c r="S63" i="123"/>
  <c r="R63" i="123"/>
  <c r="B47" i="123" s="1"/>
  <c r="J47" i="123" s="1"/>
  <c r="L62" i="123"/>
  <c r="J62" i="123"/>
  <c r="H62" i="123"/>
  <c r="J61" i="123"/>
  <c r="H61" i="123"/>
  <c r="J60" i="123"/>
  <c r="H60" i="123"/>
  <c r="D60" i="123"/>
  <c r="J59" i="123"/>
  <c r="G59" i="123"/>
  <c r="L59" i="123" s="1"/>
  <c r="H58" i="123"/>
  <c r="B58" i="123"/>
  <c r="J58" i="123" s="1"/>
  <c r="H57" i="123"/>
  <c r="H56" i="123"/>
  <c r="B56" i="123"/>
  <c r="J56" i="123" s="1"/>
  <c r="H55" i="123"/>
  <c r="H54" i="123"/>
  <c r="H53" i="123"/>
  <c r="H52" i="123"/>
  <c r="H51" i="123"/>
  <c r="H50" i="123"/>
  <c r="H49" i="123"/>
  <c r="H48" i="123"/>
  <c r="B48" i="123"/>
  <c r="J48" i="123" s="1"/>
  <c r="H47" i="123"/>
  <c r="H46" i="123"/>
  <c r="L45" i="123"/>
  <c r="J45" i="123"/>
  <c r="L44" i="123"/>
  <c r="L43" i="123"/>
  <c r="B43" i="123"/>
  <c r="T42" i="123"/>
  <c r="B52" i="123" s="1"/>
  <c r="S42" i="123"/>
  <c r="B57" i="123" s="1"/>
  <c r="R42" i="123"/>
  <c r="B46" i="123" s="1"/>
  <c r="L42" i="123"/>
  <c r="B42" i="123"/>
  <c r="J42" i="123" s="1"/>
  <c r="L41" i="123"/>
  <c r="J41" i="123"/>
  <c r="L40" i="123"/>
  <c r="B40" i="123"/>
  <c r="J40" i="123" s="1"/>
  <c r="L39" i="123"/>
  <c r="J39" i="123"/>
  <c r="L38" i="123"/>
  <c r="B38" i="123"/>
  <c r="B44" i="123" s="1"/>
  <c r="L37" i="123"/>
  <c r="J37" i="123"/>
  <c r="L36" i="123"/>
  <c r="L35" i="123"/>
  <c r="B35" i="123"/>
  <c r="L34" i="123"/>
  <c r="B34" i="123"/>
  <c r="J34" i="123" s="1"/>
  <c r="L33" i="123"/>
  <c r="J33" i="123"/>
  <c r="L32" i="123"/>
  <c r="B32" i="123"/>
  <c r="J32" i="123" s="1"/>
  <c r="L31" i="123"/>
  <c r="J31" i="123"/>
  <c r="L30" i="123"/>
  <c r="B30" i="123"/>
  <c r="B36" i="123" s="1"/>
  <c r="L29" i="123"/>
  <c r="J29" i="123"/>
  <c r="L28" i="123"/>
  <c r="L27" i="123"/>
  <c r="B27" i="123"/>
  <c r="L26" i="123"/>
  <c r="B26" i="123"/>
  <c r="J26" i="123" s="1"/>
  <c r="L25" i="123"/>
  <c r="J25" i="123"/>
  <c r="L24" i="123"/>
  <c r="B24" i="123"/>
  <c r="J24" i="123" s="1"/>
  <c r="L23" i="123"/>
  <c r="J23" i="123"/>
  <c r="L22" i="123"/>
  <c r="B22" i="123"/>
  <c r="B28" i="123" s="1"/>
  <c r="L21" i="123"/>
  <c r="J21" i="123"/>
  <c r="L20" i="123"/>
  <c r="L19" i="123"/>
  <c r="B19" i="123"/>
  <c r="L18" i="123"/>
  <c r="B18" i="123"/>
  <c r="J18" i="123" s="1"/>
  <c r="L17" i="123"/>
  <c r="J17" i="123"/>
  <c r="L16" i="123"/>
  <c r="B16" i="123"/>
  <c r="J16" i="123" s="1"/>
  <c r="L15" i="123"/>
  <c r="J15" i="123"/>
  <c r="L14" i="123"/>
  <c r="B14" i="123"/>
  <c r="B20" i="123" s="1"/>
  <c r="C22" i="109" s="1"/>
  <c r="L13" i="123"/>
  <c r="J13" i="123"/>
  <c r="L12" i="123"/>
  <c r="J12" i="123"/>
  <c r="X10" i="123"/>
  <c r="V10" i="123"/>
  <c r="U10" i="123"/>
  <c r="Z98" i="122"/>
  <c r="B55" i="122" s="1"/>
  <c r="J55" i="122" s="1"/>
  <c r="V98" i="122"/>
  <c r="U98" i="122"/>
  <c r="P98" i="122"/>
  <c r="X97" i="122"/>
  <c r="Y97" i="122" s="1"/>
  <c r="S97" i="122"/>
  <c r="T97" i="122" s="1"/>
  <c r="X96" i="122"/>
  <c r="Y96" i="122" s="1"/>
  <c r="S96" i="122"/>
  <c r="T96" i="122" s="1"/>
  <c r="X95" i="122"/>
  <c r="Y95" i="122" s="1"/>
  <c r="S95" i="122"/>
  <c r="T95" i="122" s="1"/>
  <c r="X94" i="122"/>
  <c r="Y94" i="122" s="1"/>
  <c r="S94" i="122"/>
  <c r="T94" i="122" s="1"/>
  <c r="X93" i="122"/>
  <c r="Y93" i="122" s="1"/>
  <c r="S93" i="122"/>
  <c r="T93" i="122" s="1"/>
  <c r="X92" i="122"/>
  <c r="Y92" i="122" s="1"/>
  <c r="S92" i="122"/>
  <c r="T92" i="122" s="1"/>
  <c r="X91" i="122"/>
  <c r="Y91" i="122" s="1"/>
  <c r="S91" i="122"/>
  <c r="T91" i="122" s="1"/>
  <c r="X90" i="122"/>
  <c r="Y90" i="122" s="1"/>
  <c r="S90" i="122"/>
  <c r="T90" i="122" s="1"/>
  <c r="X89" i="122"/>
  <c r="Y89" i="122" s="1"/>
  <c r="S89" i="122"/>
  <c r="T89" i="122" s="1"/>
  <c r="X88" i="122"/>
  <c r="Y88" i="122" s="1"/>
  <c r="S88" i="122"/>
  <c r="T88" i="122" s="1"/>
  <c r="X87" i="122"/>
  <c r="Y87" i="122" s="1"/>
  <c r="S87" i="122"/>
  <c r="T87" i="122" s="1"/>
  <c r="X86" i="122"/>
  <c r="Y86" i="122" s="1"/>
  <c r="S86" i="122"/>
  <c r="T86" i="122" s="1"/>
  <c r="X85" i="122"/>
  <c r="Y85" i="122" s="1"/>
  <c r="S85" i="122"/>
  <c r="T85" i="122" s="1"/>
  <c r="X84" i="122"/>
  <c r="Y84" i="122" s="1"/>
  <c r="S84" i="122"/>
  <c r="T84" i="122" s="1"/>
  <c r="X83" i="122"/>
  <c r="Y83" i="122" s="1"/>
  <c r="S83" i="122"/>
  <c r="T83" i="122" s="1"/>
  <c r="X82" i="122"/>
  <c r="Y82" i="122" s="1"/>
  <c r="S82" i="122"/>
  <c r="T82" i="122" s="1"/>
  <c r="X81" i="122"/>
  <c r="Y81" i="122" s="1"/>
  <c r="S81" i="122"/>
  <c r="T81" i="122" s="1"/>
  <c r="X80" i="122"/>
  <c r="Y80" i="122" s="1"/>
  <c r="S80" i="122"/>
  <c r="T80" i="122" s="1"/>
  <c r="X79" i="122"/>
  <c r="Y79" i="122" s="1"/>
  <c r="S79" i="122"/>
  <c r="T79" i="122" s="1"/>
  <c r="H79" i="122"/>
  <c r="X78" i="122"/>
  <c r="S78" i="122"/>
  <c r="T75" i="122"/>
  <c r="B56" i="122" s="1"/>
  <c r="J56" i="122" s="1"/>
  <c r="R75" i="122"/>
  <c r="B49" i="122" s="1"/>
  <c r="J49" i="122" s="1"/>
  <c r="B70" i="122"/>
  <c r="T69" i="122"/>
  <c r="B54" i="122" s="1"/>
  <c r="J54" i="122" s="1"/>
  <c r="R69" i="122"/>
  <c r="B48" i="122" s="1"/>
  <c r="J48" i="122" s="1"/>
  <c r="J69" i="122"/>
  <c r="J64" i="122"/>
  <c r="T63" i="122"/>
  <c r="B53" i="122" s="1"/>
  <c r="J53" i="122" s="1"/>
  <c r="S63" i="122"/>
  <c r="B58" i="122" s="1"/>
  <c r="J58" i="122" s="1"/>
  <c r="R63" i="122"/>
  <c r="B47" i="122" s="1"/>
  <c r="J47" i="122" s="1"/>
  <c r="L62" i="122"/>
  <c r="J62" i="122"/>
  <c r="H62" i="122"/>
  <c r="J61" i="122"/>
  <c r="H61" i="122"/>
  <c r="J60" i="122"/>
  <c r="H60" i="122"/>
  <c r="D60" i="122"/>
  <c r="J59" i="122"/>
  <c r="G59" i="122"/>
  <c r="L59" i="122" s="1"/>
  <c r="H58" i="122"/>
  <c r="H57" i="122"/>
  <c r="H56" i="122"/>
  <c r="H55" i="122"/>
  <c r="H54" i="122"/>
  <c r="H53" i="122"/>
  <c r="H52" i="122"/>
  <c r="H51" i="122"/>
  <c r="H50" i="122"/>
  <c r="H49" i="122"/>
  <c r="H48" i="122"/>
  <c r="H47" i="122"/>
  <c r="H46" i="122"/>
  <c r="L45" i="122"/>
  <c r="J45" i="122"/>
  <c r="L44" i="122"/>
  <c r="L43" i="122"/>
  <c r="B43" i="122"/>
  <c r="T42" i="122"/>
  <c r="B52" i="122" s="1"/>
  <c r="S42" i="122"/>
  <c r="B57" i="122" s="1"/>
  <c r="R42" i="122"/>
  <c r="B46" i="122" s="1"/>
  <c r="L42" i="122"/>
  <c r="B42" i="122"/>
  <c r="J42" i="122" s="1"/>
  <c r="L41" i="122"/>
  <c r="J41" i="122"/>
  <c r="L40" i="122"/>
  <c r="B40" i="122"/>
  <c r="J40" i="122" s="1"/>
  <c r="L39" i="122"/>
  <c r="J39" i="122"/>
  <c r="L38" i="122"/>
  <c r="B38" i="122"/>
  <c r="B44" i="122" s="1"/>
  <c r="L37" i="122"/>
  <c r="J37" i="122"/>
  <c r="L36" i="122"/>
  <c r="L35" i="122"/>
  <c r="B35" i="122"/>
  <c r="L34" i="122"/>
  <c r="B34" i="122"/>
  <c r="J34" i="122" s="1"/>
  <c r="L33" i="122"/>
  <c r="J33" i="122"/>
  <c r="L32" i="122"/>
  <c r="B32" i="122"/>
  <c r="J32" i="122" s="1"/>
  <c r="L31" i="122"/>
  <c r="J31" i="122"/>
  <c r="L30" i="122"/>
  <c r="B30" i="122"/>
  <c r="B36" i="122" s="1"/>
  <c r="L29" i="122"/>
  <c r="J29" i="122"/>
  <c r="L28" i="122"/>
  <c r="L27" i="122"/>
  <c r="B27" i="122"/>
  <c r="L26" i="122"/>
  <c r="B26" i="122"/>
  <c r="J26" i="122" s="1"/>
  <c r="L25" i="122"/>
  <c r="J25" i="122"/>
  <c r="L24" i="122"/>
  <c r="B24" i="122"/>
  <c r="J24" i="122" s="1"/>
  <c r="L23" i="122"/>
  <c r="J23" i="122"/>
  <c r="L22" i="122"/>
  <c r="B22" i="122"/>
  <c r="B28" i="122" s="1"/>
  <c r="L21" i="122"/>
  <c r="J21" i="122"/>
  <c r="L20" i="122"/>
  <c r="L19" i="122"/>
  <c r="B19" i="122"/>
  <c r="L18" i="122"/>
  <c r="B18" i="122"/>
  <c r="J18" i="122" s="1"/>
  <c r="L17" i="122"/>
  <c r="J17" i="122"/>
  <c r="L16" i="122"/>
  <c r="B16" i="122"/>
  <c r="J16" i="122" s="1"/>
  <c r="L15" i="122"/>
  <c r="J15" i="122"/>
  <c r="L14" i="122"/>
  <c r="B14" i="122"/>
  <c r="B20" i="122" s="1"/>
  <c r="C21" i="109" s="1"/>
  <c r="L13" i="122"/>
  <c r="J13" i="122"/>
  <c r="L12" i="122"/>
  <c r="J12" i="122"/>
  <c r="X10" i="122"/>
  <c r="V10" i="122"/>
  <c r="U10" i="122"/>
  <c r="Z98" i="121"/>
  <c r="B55" i="121" s="1"/>
  <c r="J55" i="121" s="1"/>
  <c r="V98" i="121"/>
  <c r="U98" i="121"/>
  <c r="P98" i="121"/>
  <c r="X97" i="121"/>
  <c r="Y97" i="121" s="1"/>
  <c r="S97" i="121"/>
  <c r="T97" i="121" s="1"/>
  <c r="X96" i="121"/>
  <c r="Y96" i="121" s="1"/>
  <c r="S96" i="121"/>
  <c r="T96" i="121" s="1"/>
  <c r="X95" i="121"/>
  <c r="Y95" i="121" s="1"/>
  <c r="S95" i="121"/>
  <c r="T95" i="121" s="1"/>
  <c r="X94" i="121"/>
  <c r="Y94" i="121" s="1"/>
  <c r="S94" i="121"/>
  <c r="T94" i="121" s="1"/>
  <c r="X93" i="121"/>
  <c r="Y93" i="121" s="1"/>
  <c r="S93" i="121"/>
  <c r="T93" i="121" s="1"/>
  <c r="X92" i="121"/>
  <c r="Y92" i="121" s="1"/>
  <c r="S92" i="121"/>
  <c r="T92" i="121" s="1"/>
  <c r="X91" i="121"/>
  <c r="Y91" i="121" s="1"/>
  <c r="S91" i="121"/>
  <c r="T91" i="121" s="1"/>
  <c r="X90" i="121"/>
  <c r="Y90" i="121" s="1"/>
  <c r="S90" i="121"/>
  <c r="T90" i="121" s="1"/>
  <c r="X89" i="121"/>
  <c r="Y89" i="121" s="1"/>
  <c r="S89" i="121"/>
  <c r="T89" i="121" s="1"/>
  <c r="X88" i="121"/>
  <c r="Y88" i="121" s="1"/>
  <c r="S88" i="121"/>
  <c r="T88" i="121" s="1"/>
  <c r="X87" i="121"/>
  <c r="Y87" i="121" s="1"/>
  <c r="S87" i="121"/>
  <c r="T87" i="121" s="1"/>
  <c r="X86" i="121"/>
  <c r="Y86" i="121" s="1"/>
  <c r="S86" i="121"/>
  <c r="T86" i="121" s="1"/>
  <c r="X85" i="121"/>
  <c r="Y85" i="121" s="1"/>
  <c r="S85" i="121"/>
  <c r="T85" i="121" s="1"/>
  <c r="X84" i="121"/>
  <c r="Y84" i="121" s="1"/>
  <c r="S84" i="121"/>
  <c r="T84" i="121" s="1"/>
  <c r="X83" i="121"/>
  <c r="Y83" i="121" s="1"/>
  <c r="S83" i="121"/>
  <c r="T83" i="121" s="1"/>
  <c r="X82" i="121"/>
  <c r="Y82" i="121" s="1"/>
  <c r="S82" i="121"/>
  <c r="T82" i="121" s="1"/>
  <c r="X81" i="121"/>
  <c r="Y81" i="121" s="1"/>
  <c r="S81" i="121"/>
  <c r="T81" i="121" s="1"/>
  <c r="X80" i="121"/>
  <c r="Y80" i="121" s="1"/>
  <c r="S80" i="121"/>
  <c r="T80" i="121" s="1"/>
  <c r="X79" i="121"/>
  <c r="Y79" i="121" s="1"/>
  <c r="S79" i="121"/>
  <c r="T79" i="121" s="1"/>
  <c r="H79" i="121"/>
  <c r="X78" i="121"/>
  <c r="S78" i="121"/>
  <c r="T75" i="121"/>
  <c r="B56" i="121" s="1"/>
  <c r="J56" i="121" s="1"/>
  <c r="R75" i="121"/>
  <c r="B49" i="121" s="1"/>
  <c r="J49" i="121" s="1"/>
  <c r="B70" i="121"/>
  <c r="T69" i="121"/>
  <c r="B54" i="121" s="1"/>
  <c r="J54" i="121" s="1"/>
  <c r="R69" i="121"/>
  <c r="J69" i="121"/>
  <c r="J64" i="121"/>
  <c r="T63" i="121"/>
  <c r="S63" i="121"/>
  <c r="B58" i="121" s="1"/>
  <c r="J58" i="121" s="1"/>
  <c r="R63" i="121"/>
  <c r="B47" i="121" s="1"/>
  <c r="J47" i="121" s="1"/>
  <c r="L62" i="121"/>
  <c r="J62" i="121"/>
  <c r="H62" i="121"/>
  <c r="J61" i="121"/>
  <c r="H61" i="121"/>
  <c r="J60" i="121"/>
  <c r="H60" i="121"/>
  <c r="D60" i="121"/>
  <c r="J59" i="121"/>
  <c r="G59" i="121"/>
  <c r="L59" i="121" s="1"/>
  <c r="H58" i="121"/>
  <c r="H57" i="121"/>
  <c r="H56" i="121"/>
  <c r="H55" i="121"/>
  <c r="H54" i="121"/>
  <c r="H53" i="121"/>
  <c r="B53" i="121"/>
  <c r="J53" i="121" s="1"/>
  <c r="H52" i="121"/>
  <c r="H51" i="121"/>
  <c r="H50" i="121"/>
  <c r="H49" i="121"/>
  <c r="H48" i="121"/>
  <c r="B48" i="121"/>
  <c r="J48" i="121" s="1"/>
  <c r="H47" i="121"/>
  <c r="H46" i="121"/>
  <c r="L45" i="121"/>
  <c r="J45" i="121"/>
  <c r="L44" i="121"/>
  <c r="L43" i="121"/>
  <c r="B43" i="121"/>
  <c r="T42" i="121"/>
  <c r="B52" i="121" s="1"/>
  <c r="S42" i="121"/>
  <c r="B57" i="121" s="1"/>
  <c r="R42" i="121"/>
  <c r="B46" i="121" s="1"/>
  <c r="L42" i="121"/>
  <c r="B42" i="121"/>
  <c r="J42" i="121" s="1"/>
  <c r="L41" i="121"/>
  <c r="J41" i="121"/>
  <c r="L40" i="121"/>
  <c r="B40" i="121"/>
  <c r="J40" i="121" s="1"/>
  <c r="L39" i="121"/>
  <c r="J39" i="121"/>
  <c r="L38" i="121"/>
  <c r="B38" i="121"/>
  <c r="B44" i="121" s="1"/>
  <c r="L37" i="121"/>
  <c r="J37" i="121"/>
  <c r="L36" i="121"/>
  <c r="L35" i="121"/>
  <c r="B35" i="121"/>
  <c r="L34" i="121"/>
  <c r="B34" i="121"/>
  <c r="J34" i="121" s="1"/>
  <c r="L33" i="121"/>
  <c r="J33" i="121"/>
  <c r="L32" i="121"/>
  <c r="B32" i="121"/>
  <c r="J32" i="121" s="1"/>
  <c r="L31" i="121"/>
  <c r="J31" i="121"/>
  <c r="L30" i="121"/>
  <c r="B30" i="121"/>
  <c r="B36" i="121" s="1"/>
  <c r="L29" i="121"/>
  <c r="J29" i="121"/>
  <c r="L28" i="121"/>
  <c r="L27" i="121"/>
  <c r="B27" i="121"/>
  <c r="L26" i="121"/>
  <c r="B26" i="121"/>
  <c r="J26" i="121" s="1"/>
  <c r="L25" i="121"/>
  <c r="J25" i="121"/>
  <c r="L24" i="121"/>
  <c r="B24" i="121"/>
  <c r="J24" i="121" s="1"/>
  <c r="L23" i="121"/>
  <c r="J23" i="121"/>
  <c r="L22" i="121"/>
  <c r="B22" i="121"/>
  <c r="B28" i="121" s="1"/>
  <c r="L21" i="121"/>
  <c r="J21" i="121"/>
  <c r="L20" i="121"/>
  <c r="L19" i="121"/>
  <c r="B19" i="121"/>
  <c r="L18" i="121"/>
  <c r="B18" i="121"/>
  <c r="J18" i="121" s="1"/>
  <c r="L17" i="121"/>
  <c r="J17" i="121"/>
  <c r="L16" i="121"/>
  <c r="B16" i="121"/>
  <c r="J16" i="121" s="1"/>
  <c r="L15" i="121"/>
  <c r="J15" i="121"/>
  <c r="L14" i="121"/>
  <c r="B14" i="121"/>
  <c r="B20" i="121" s="1"/>
  <c r="C20" i="109" s="1"/>
  <c r="L13" i="121"/>
  <c r="J13" i="121"/>
  <c r="L12" i="121"/>
  <c r="J12" i="121"/>
  <c r="X10" i="121"/>
  <c r="V10" i="121"/>
  <c r="U10" i="121"/>
  <c r="Z98" i="120"/>
  <c r="B55" i="120" s="1"/>
  <c r="J55" i="120" s="1"/>
  <c r="V98" i="120"/>
  <c r="U98" i="120"/>
  <c r="P98" i="120"/>
  <c r="X97" i="120"/>
  <c r="Y97" i="120" s="1"/>
  <c r="S97" i="120"/>
  <c r="T97" i="120" s="1"/>
  <c r="X96" i="120"/>
  <c r="Y96" i="120" s="1"/>
  <c r="S96" i="120"/>
  <c r="T96" i="120" s="1"/>
  <c r="X95" i="120"/>
  <c r="Y95" i="120" s="1"/>
  <c r="S95" i="120"/>
  <c r="T95" i="120" s="1"/>
  <c r="X94" i="120"/>
  <c r="Y94" i="120" s="1"/>
  <c r="S94" i="120"/>
  <c r="T94" i="120" s="1"/>
  <c r="X93" i="120"/>
  <c r="Y93" i="120" s="1"/>
  <c r="S93" i="120"/>
  <c r="T93" i="120" s="1"/>
  <c r="X92" i="120"/>
  <c r="Y92" i="120" s="1"/>
  <c r="S92" i="120"/>
  <c r="T92" i="120" s="1"/>
  <c r="X91" i="120"/>
  <c r="Y91" i="120" s="1"/>
  <c r="S91" i="120"/>
  <c r="T91" i="120" s="1"/>
  <c r="X90" i="120"/>
  <c r="Y90" i="120" s="1"/>
  <c r="S90" i="120"/>
  <c r="T90" i="120" s="1"/>
  <c r="X89" i="120"/>
  <c r="Y89" i="120" s="1"/>
  <c r="S89" i="120"/>
  <c r="T89" i="120" s="1"/>
  <c r="X88" i="120"/>
  <c r="Y88" i="120" s="1"/>
  <c r="S88" i="120"/>
  <c r="T88" i="120" s="1"/>
  <c r="X87" i="120"/>
  <c r="Y87" i="120" s="1"/>
  <c r="S87" i="120"/>
  <c r="T87" i="120" s="1"/>
  <c r="X86" i="120"/>
  <c r="Y86" i="120" s="1"/>
  <c r="S86" i="120"/>
  <c r="T86" i="120" s="1"/>
  <c r="X85" i="120"/>
  <c r="Y85" i="120" s="1"/>
  <c r="S85" i="120"/>
  <c r="T85" i="120" s="1"/>
  <c r="X84" i="120"/>
  <c r="Y84" i="120" s="1"/>
  <c r="S84" i="120"/>
  <c r="T84" i="120" s="1"/>
  <c r="X83" i="120"/>
  <c r="Y83" i="120" s="1"/>
  <c r="S83" i="120"/>
  <c r="T83" i="120" s="1"/>
  <c r="X82" i="120"/>
  <c r="Y82" i="120" s="1"/>
  <c r="S82" i="120"/>
  <c r="T82" i="120" s="1"/>
  <c r="X81" i="120"/>
  <c r="Y81" i="120" s="1"/>
  <c r="S81" i="120"/>
  <c r="T81" i="120" s="1"/>
  <c r="X80" i="120"/>
  <c r="Y80" i="120" s="1"/>
  <c r="S80" i="120"/>
  <c r="T80" i="120" s="1"/>
  <c r="X79" i="120"/>
  <c r="Y79" i="120" s="1"/>
  <c r="S79" i="120"/>
  <c r="T79" i="120" s="1"/>
  <c r="H79" i="120"/>
  <c r="X78" i="120"/>
  <c r="S78" i="120"/>
  <c r="T75" i="120"/>
  <c r="B56" i="120" s="1"/>
  <c r="J56" i="120" s="1"/>
  <c r="R75" i="120"/>
  <c r="B49" i="120" s="1"/>
  <c r="J49" i="120" s="1"/>
  <c r="B70" i="120"/>
  <c r="T69" i="120"/>
  <c r="B54" i="120" s="1"/>
  <c r="J54" i="120" s="1"/>
  <c r="R69" i="120"/>
  <c r="B48" i="120" s="1"/>
  <c r="J48" i="120" s="1"/>
  <c r="J69" i="120"/>
  <c r="J64" i="120"/>
  <c r="T63" i="120"/>
  <c r="B53" i="120" s="1"/>
  <c r="J53" i="120" s="1"/>
  <c r="S63" i="120"/>
  <c r="B58" i="120" s="1"/>
  <c r="J58" i="120" s="1"/>
  <c r="R63" i="120"/>
  <c r="B47" i="120" s="1"/>
  <c r="J47" i="120" s="1"/>
  <c r="L62" i="120"/>
  <c r="J62" i="120"/>
  <c r="H62" i="120"/>
  <c r="J61" i="120"/>
  <c r="H61" i="120"/>
  <c r="J60" i="120"/>
  <c r="H60" i="120"/>
  <c r="D60" i="120"/>
  <c r="J59" i="120"/>
  <c r="G59" i="120"/>
  <c r="L59" i="120" s="1"/>
  <c r="H58" i="120"/>
  <c r="H57" i="120"/>
  <c r="H56" i="120"/>
  <c r="H55" i="120"/>
  <c r="H54" i="120"/>
  <c r="H53" i="120"/>
  <c r="H52" i="120"/>
  <c r="H51" i="120"/>
  <c r="H50" i="120"/>
  <c r="H49" i="120"/>
  <c r="H48" i="120"/>
  <c r="H47" i="120"/>
  <c r="H46" i="120"/>
  <c r="L45" i="120"/>
  <c r="J45" i="120"/>
  <c r="L44" i="120"/>
  <c r="L43" i="120"/>
  <c r="B43" i="120"/>
  <c r="T42" i="120"/>
  <c r="B52" i="120" s="1"/>
  <c r="S42" i="120"/>
  <c r="B57" i="120" s="1"/>
  <c r="R42" i="120"/>
  <c r="B46" i="120" s="1"/>
  <c r="L42" i="120"/>
  <c r="B42" i="120"/>
  <c r="J42" i="120" s="1"/>
  <c r="L41" i="120"/>
  <c r="J41" i="120"/>
  <c r="L40" i="120"/>
  <c r="B40" i="120"/>
  <c r="J40" i="120" s="1"/>
  <c r="L39" i="120"/>
  <c r="J39" i="120"/>
  <c r="L38" i="120"/>
  <c r="B38" i="120"/>
  <c r="B44" i="120" s="1"/>
  <c r="L37" i="120"/>
  <c r="J37" i="120"/>
  <c r="L36" i="120"/>
  <c r="L35" i="120"/>
  <c r="B35" i="120"/>
  <c r="L34" i="120"/>
  <c r="B34" i="120"/>
  <c r="J34" i="120" s="1"/>
  <c r="L33" i="120"/>
  <c r="J33" i="120"/>
  <c r="L32" i="120"/>
  <c r="B32" i="120"/>
  <c r="J32" i="120" s="1"/>
  <c r="L31" i="120"/>
  <c r="J31" i="120"/>
  <c r="L30" i="120"/>
  <c r="B30" i="120"/>
  <c r="B36" i="120" s="1"/>
  <c r="L29" i="120"/>
  <c r="J29" i="120"/>
  <c r="L28" i="120"/>
  <c r="L27" i="120"/>
  <c r="B27" i="120"/>
  <c r="L26" i="120"/>
  <c r="B26" i="120"/>
  <c r="J26" i="120" s="1"/>
  <c r="L25" i="120"/>
  <c r="J25" i="120"/>
  <c r="L24" i="120"/>
  <c r="B24" i="120"/>
  <c r="J24" i="120" s="1"/>
  <c r="L23" i="120"/>
  <c r="J23" i="120"/>
  <c r="L22" i="120"/>
  <c r="B22" i="120"/>
  <c r="B28" i="120" s="1"/>
  <c r="L21" i="120"/>
  <c r="J21" i="120"/>
  <c r="L20" i="120"/>
  <c r="L19" i="120"/>
  <c r="B19" i="120"/>
  <c r="L18" i="120"/>
  <c r="B18" i="120"/>
  <c r="J18" i="120" s="1"/>
  <c r="L17" i="120"/>
  <c r="J17" i="120"/>
  <c r="L16" i="120"/>
  <c r="B16" i="120"/>
  <c r="J16" i="120" s="1"/>
  <c r="L15" i="120"/>
  <c r="J15" i="120"/>
  <c r="L14" i="120"/>
  <c r="B14" i="120"/>
  <c r="B20" i="120" s="1"/>
  <c r="C19" i="109" s="1"/>
  <c r="L13" i="120"/>
  <c r="J13" i="120"/>
  <c r="L12" i="120"/>
  <c r="J12" i="120"/>
  <c r="X10" i="120"/>
  <c r="V10" i="120"/>
  <c r="U10" i="120"/>
  <c r="Z98" i="119"/>
  <c r="B55" i="119" s="1"/>
  <c r="J55" i="119" s="1"/>
  <c r="V98" i="119"/>
  <c r="U98" i="119"/>
  <c r="P98" i="119"/>
  <c r="B50" i="119" s="1"/>
  <c r="J50" i="119" s="1"/>
  <c r="X97" i="119"/>
  <c r="Y97" i="119" s="1"/>
  <c r="S97" i="119"/>
  <c r="T97" i="119" s="1"/>
  <c r="X96" i="119"/>
  <c r="Y96" i="119" s="1"/>
  <c r="S96" i="119"/>
  <c r="T96" i="119" s="1"/>
  <c r="X95" i="119"/>
  <c r="Y95" i="119" s="1"/>
  <c r="S95" i="119"/>
  <c r="T95" i="119" s="1"/>
  <c r="X94" i="119"/>
  <c r="Y94" i="119" s="1"/>
  <c r="S94" i="119"/>
  <c r="T94" i="119" s="1"/>
  <c r="X93" i="119"/>
  <c r="Y93" i="119" s="1"/>
  <c r="S93" i="119"/>
  <c r="T93" i="119" s="1"/>
  <c r="X92" i="119"/>
  <c r="Y92" i="119" s="1"/>
  <c r="S92" i="119"/>
  <c r="T92" i="119" s="1"/>
  <c r="X91" i="119"/>
  <c r="Y91" i="119" s="1"/>
  <c r="S91" i="119"/>
  <c r="T91" i="119" s="1"/>
  <c r="X90" i="119"/>
  <c r="Y90" i="119" s="1"/>
  <c r="S90" i="119"/>
  <c r="T90" i="119" s="1"/>
  <c r="X89" i="119"/>
  <c r="Y89" i="119" s="1"/>
  <c r="S89" i="119"/>
  <c r="T89" i="119" s="1"/>
  <c r="X88" i="119"/>
  <c r="Y88" i="119" s="1"/>
  <c r="S88" i="119"/>
  <c r="T88" i="119" s="1"/>
  <c r="X87" i="119"/>
  <c r="Y87" i="119" s="1"/>
  <c r="S87" i="119"/>
  <c r="T87" i="119" s="1"/>
  <c r="X86" i="119"/>
  <c r="Y86" i="119" s="1"/>
  <c r="S86" i="119"/>
  <c r="T86" i="119" s="1"/>
  <c r="X85" i="119"/>
  <c r="Y85" i="119" s="1"/>
  <c r="S85" i="119"/>
  <c r="T85" i="119" s="1"/>
  <c r="X84" i="119"/>
  <c r="Y84" i="119" s="1"/>
  <c r="S84" i="119"/>
  <c r="T84" i="119" s="1"/>
  <c r="X83" i="119"/>
  <c r="Y83" i="119" s="1"/>
  <c r="S83" i="119"/>
  <c r="T83" i="119" s="1"/>
  <c r="X82" i="119"/>
  <c r="Y82" i="119" s="1"/>
  <c r="S82" i="119"/>
  <c r="T82" i="119" s="1"/>
  <c r="X81" i="119"/>
  <c r="Y81" i="119" s="1"/>
  <c r="S81" i="119"/>
  <c r="T81" i="119" s="1"/>
  <c r="X80" i="119"/>
  <c r="Y80" i="119" s="1"/>
  <c r="S80" i="119"/>
  <c r="T80" i="119" s="1"/>
  <c r="X79" i="119"/>
  <c r="Y79" i="119" s="1"/>
  <c r="S79" i="119"/>
  <c r="T79" i="119" s="1"/>
  <c r="X78" i="119"/>
  <c r="S78" i="119"/>
  <c r="T75" i="119"/>
  <c r="B56" i="119" s="1"/>
  <c r="J56" i="119" s="1"/>
  <c r="R75" i="119"/>
  <c r="B70" i="119"/>
  <c r="T69" i="119"/>
  <c r="B54" i="119" s="1"/>
  <c r="J54" i="119" s="1"/>
  <c r="R69" i="119"/>
  <c r="B48" i="119" s="1"/>
  <c r="J48" i="119" s="1"/>
  <c r="J64" i="119"/>
  <c r="T63" i="119"/>
  <c r="B53" i="119" s="1"/>
  <c r="J53" i="119" s="1"/>
  <c r="S63" i="119"/>
  <c r="B58" i="119" s="1"/>
  <c r="J58" i="119" s="1"/>
  <c r="R63" i="119"/>
  <c r="B47" i="119" s="1"/>
  <c r="J47" i="119" s="1"/>
  <c r="L62" i="119"/>
  <c r="J62" i="119"/>
  <c r="H62" i="119"/>
  <c r="J61" i="119"/>
  <c r="H61" i="119"/>
  <c r="J60" i="119"/>
  <c r="H60" i="119"/>
  <c r="D60" i="119"/>
  <c r="J59" i="119"/>
  <c r="G59" i="119"/>
  <c r="L59" i="119" s="1"/>
  <c r="H58" i="119"/>
  <c r="H57" i="119"/>
  <c r="H56" i="119"/>
  <c r="H55" i="119"/>
  <c r="H54" i="119"/>
  <c r="H53" i="119"/>
  <c r="H52" i="119"/>
  <c r="H51" i="119"/>
  <c r="H50" i="119"/>
  <c r="H49" i="119"/>
  <c r="B49" i="119"/>
  <c r="J49" i="119" s="1"/>
  <c r="H48" i="119"/>
  <c r="H47" i="119"/>
  <c r="H46" i="119"/>
  <c r="L45" i="119"/>
  <c r="J45" i="119"/>
  <c r="L44" i="119"/>
  <c r="L43" i="119"/>
  <c r="B43" i="119"/>
  <c r="T42" i="119"/>
  <c r="B52" i="119" s="1"/>
  <c r="S42" i="119"/>
  <c r="B57" i="119" s="1"/>
  <c r="R42" i="119"/>
  <c r="B46" i="119" s="1"/>
  <c r="L42" i="119"/>
  <c r="B42" i="119"/>
  <c r="J42" i="119" s="1"/>
  <c r="L41" i="119"/>
  <c r="J41" i="119"/>
  <c r="L40" i="119"/>
  <c r="B40" i="119"/>
  <c r="J40" i="119" s="1"/>
  <c r="L39" i="119"/>
  <c r="J39" i="119"/>
  <c r="L38" i="119"/>
  <c r="B38" i="119"/>
  <c r="B44" i="119" s="1"/>
  <c r="L37" i="119"/>
  <c r="J37" i="119"/>
  <c r="L36" i="119"/>
  <c r="L35" i="119"/>
  <c r="B35" i="119"/>
  <c r="L34" i="119"/>
  <c r="B34" i="119"/>
  <c r="J34" i="119" s="1"/>
  <c r="L33" i="119"/>
  <c r="J33" i="119"/>
  <c r="L32" i="119"/>
  <c r="B32" i="119"/>
  <c r="J32" i="119" s="1"/>
  <c r="L31" i="119"/>
  <c r="J31" i="119"/>
  <c r="L30" i="119"/>
  <c r="B30" i="119"/>
  <c r="B36" i="119" s="1"/>
  <c r="L29" i="119"/>
  <c r="J29" i="119"/>
  <c r="L28" i="119"/>
  <c r="L27" i="119"/>
  <c r="B27" i="119"/>
  <c r="L26" i="119"/>
  <c r="B26" i="119"/>
  <c r="J26" i="119" s="1"/>
  <c r="L25" i="119"/>
  <c r="J25" i="119"/>
  <c r="L24" i="119"/>
  <c r="B24" i="119"/>
  <c r="J24" i="119" s="1"/>
  <c r="L23" i="119"/>
  <c r="J23" i="119"/>
  <c r="L22" i="119"/>
  <c r="B28" i="119"/>
  <c r="L21" i="119"/>
  <c r="J21" i="119"/>
  <c r="L20" i="119"/>
  <c r="L19" i="119"/>
  <c r="B19" i="119"/>
  <c r="L18" i="119"/>
  <c r="B18" i="119"/>
  <c r="J18" i="119" s="1"/>
  <c r="L17" i="119"/>
  <c r="J17" i="119"/>
  <c r="L16" i="119"/>
  <c r="B16" i="119"/>
  <c r="J16" i="119" s="1"/>
  <c r="L15" i="119"/>
  <c r="J15" i="119"/>
  <c r="L14" i="119"/>
  <c r="B14" i="119"/>
  <c r="B20" i="119" s="1"/>
  <c r="C18" i="109" s="1"/>
  <c r="L13" i="119"/>
  <c r="J13" i="119"/>
  <c r="L12" i="119"/>
  <c r="J12" i="119"/>
  <c r="X10" i="119"/>
  <c r="V10" i="119"/>
  <c r="U10" i="119"/>
  <c r="Z98" i="118"/>
  <c r="V98" i="118"/>
  <c r="U98" i="118"/>
  <c r="P98" i="118"/>
  <c r="B50" i="118" s="1"/>
  <c r="J50" i="118" s="1"/>
  <c r="X97" i="118"/>
  <c r="Y97" i="118" s="1"/>
  <c r="S97" i="118"/>
  <c r="T97" i="118" s="1"/>
  <c r="X96" i="118"/>
  <c r="Y96" i="118" s="1"/>
  <c r="S96" i="118"/>
  <c r="T96" i="118" s="1"/>
  <c r="X95" i="118"/>
  <c r="Y95" i="118" s="1"/>
  <c r="S95" i="118"/>
  <c r="T95" i="118" s="1"/>
  <c r="X94" i="118"/>
  <c r="Y94" i="118" s="1"/>
  <c r="S94" i="118"/>
  <c r="T94" i="118" s="1"/>
  <c r="X93" i="118"/>
  <c r="Y93" i="118" s="1"/>
  <c r="S93" i="118"/>
  <c r="T93" i="118" s="1"/>
  <c r="X92" i="118"/>
  <c r="Y92" i="118" s="1"/>
  <c r="S92" i="118"/>
  <c r="T92" i="118" s="1"/>
  <c r="X91" i="118"/>
  <c r="Y91" i="118" s="1"/>
  <c r="S91" i="118"/>
  <c r="T91" i="118" s="1"/>
  <c r="X90" i="118"/>
  <c r="Y90" i="118" s="1"/>
  <c r="S90" i="118"/>
  <c r="T90" i="118" s="1"/>
  <c r="X89" i="118"/>
  <c r="Y89" i="118" s="1"/>
  <c r="S89" i="118"/>
  <c r="T89" i="118" s="1"/>
  <c r="X88" i="118"/>
  <c r="Y88" i="118" s="1"/>
  <c r="S88" i="118"/>
  <c r="T88" i="118" s="1"/>
  <c r="X87" i="118"/>
  <c r="Y87" i="118" s="1"/>
  <c r="S87" i="118"/>
  <c r="T87" i="118" s="1"/>
  <c r="X86" i="118"/>
  <c r="Y86" i="118" s="1"/>
  <c r="S86" i="118"/>
  <c r="T86" i="118" s="1"/>
  <c r="X85" i="118"/>
  <c r="Y85" i="118" s="1"/>
  <c r="S85" i="118"/>
  <c r="T85" i="118" s="1"/>
  <c r="X84" i="118"/>
  <c r="Y84" i="118" s="1"/>
  <c r="S84" i="118"/>
  <c r="T84" i="118" s="1"/>
  <c r="X83" i="118"/>
  <c r="Y83" i="118" s="1"/>
  <c r="S83" i="118"/>
  <c r="T83" i="118" s="1"/>
  <c r="X82" i="118"/>
  <c r="Y82" i="118" s="1"/>
  <c r="S82" i="118"/>
  <c r="T82" i="118" s="1"/>
  <c r="X81" i="118"/>
  <c r="Y81" i="118" s="1"/>
  <c r="S81" i="118"/>
  <c r="T81" i="118" s="1"/>
  <c r="X80" i="118"/>
  <c r="Y80" i="118" s="1"/>
  <c r="S80" i="118"/>
  <c r="T80" i="118" s="1"/>
  <c r="X79" i="118"/>
  <c r="Y79" i="118" s="1"/>
  <c r="S79" i="118"/>
  <c r="T79" i="118" s="1"/>
  <c r="H79" i="118"/>
  <c r="X78" i="118"/>
  <c r="S78" i="118"/>
  <c r="T75" i="118"/>
  <c r="B56" i="118" s="1"/>
  <c r="J56" i="118" s="1"/>
  <c r="R75" i="118"/>
  <c r="B49" i="118" s="1"/>
  <c r="J49" i="118" s="1"/>
  <c r="B70" i="118"/>
  <c r="T69" i="118"/>
  <c r="R69" i="118"/>
  <c r="B48" i="118" s="1"/>
  <c r="J48" i="118" s="1"/>
  <c r="J64" i="118"/>
  <c r="T63" i="118"/>
  <c r="B53" i="118" s="1"/>
  <c r="J53" i="118" s="1"/>
  <c r="S63" i="118"/>
  <c r="B58" i="118" s="1"/>
  <c r="J58" i="118" s="1"/>
  <c r="R63" i="118"/>
  <c r="B47" i="118" s="1"/>
  <c r="J47" i="118" s="1"/>
  <c r="L62" i="118"/>
  <c r="J62" i="118"/>
  <c r="H62" i="118"/>
  <c r="J61" i="118"/>
  <c r="H61" i="118"/>
  <c r="J60" i="118"/>
  <c r="H60" i="118"/>
  <c r="D60" i="118"/>
  <c r="J59" i="118"/>
  <c r="G59" i="118"/>
  <c r="L59" i="118" s="1"/>
  <c r="H58" i="118"/>
  <c r="H57" i="118"/>
  <c r="H56" i="118"/>
  <c r="H55" i="118"/>
  <c r="B55" i="118"/>
  <c r="J55" i="118" s="1"/>
  <c r="H54" i="118"/>
  <c r="B54" i="118"/>
  <c r="J54" i="118" s="1"/>
  <c r="H53" i="118"/>
  <c r="H52" i="118"/>
  <c r="H51" i="118"/>
  <c r="H50" i="118"/>
  <c r="H49" i="118"/>
  <c r="H48" i="118"/>
  <c r="H47" i="118"/>
  <c r="H46" i="118"/>
  <c r="L45" i="118"/>
  <c r="J45" i="118"/>
  <c r="L44" i="118"/>
  <c r="L43" i="118"/>
  <c r="B43" i="118"/>
  <c r="T42" i="118"/>
  <c r="B52" i="118" s="1"/>
  <c r="S42" i="118"/>
  <c r="B57" i="118" s="1"/>
  <c r="R42" i="118"/>
  <c r="B46" i="118" s="1"/>
  <c r="L42" i="118"/>
  <c r="B42" i="118"/>
  <c r="J42" i="118" s="1"/>
  <c r="L41" i="118"/>
  <c r="J41" i="118"/>
  <c r="L40" i="118"/>
  <c r="B40" i="118"/>
  <c r="J40" i="118" s="1"/>
  <c r="L39" i="118"/>
  <c r="J39" i="118"/>
  <c r="L38" i="118"/>
  <c r="B38" i="118"/>
  <c r="B44" i="118" s="1"/>
  <c r="L37" i="118"/>
  <c r="J37" i="118"/>
  <c r="L36" i="118"/>
  <c r="L35" i="118"/>
  <c r="B35" i="118"/>
  <c r="L34" i="118"/>
  <c r="B34" i="118"/>
  <c r="J34" i="118" s="1"/>
  <c r="L33" i="118"/>
  <c r="J33" i="118"/>
  <c r="L32" i="118"/>
  <c r="B32" i="118"/>
  <c r="J32" i="118" s="1"/>
  <c r="L31" i="118"/>
  <c r="J31" i="118"/>
  <c r="L30" i="118"/>
  <c r="B30" i="118"/>
  <c r="B36" i="118" s="1"/>
  <c r="L29" i="118"/>
  <c r="J29" i="118"/>
  <c r="L28" i="118"/>
  <c r="L27" i="118"/>
  <c r="B27" i="118"/>
  <c r="L26" i="118"/>
  <c r="B26" i="118"/>
  <c r="J26" i="118" s="1"/>
  <c r="L25" i="118"/>
  <c r="J25" i="118"/>
  <c r="L24" i="118"/>
  <c r="B24" i="118"/>
  <c r="J24" i="118" s="1"/>
  <c r="L23" i="118"/>
  <c r="J23" i="118"/>
  <c r="L22" i="118"/>
  <c r="B22" i="118"/>
  <c r="B28" i="118" s="1"/>
  <c r="L21" i="118"/>
  <c r="J21" i="118"/>
  <c r="L20" i="118"/>
  <c r="L19" i="118"/>
  <c r="B19" i="118"/>
  <c r="L18" i="118"/>
  <c r="B18" i="118"/>
  <c r="J18" i="118" s="1"/>
  <c r="L17" i="118"/>
  <c r="J17" i="118"/>
  <c r="L16" i="118"/>
  <c r="B16" i="118"/>
  <c r="J16" i="118" s="1"/>
  <c r="L15" i="118"/>
  <c r="J15" i="118"/>
  <c r="L14" i="118"/>
  <c r="B14" i="118"/>
  <c r="B20" i="118" s="1"/>
  <c r="C17" i="109" s="1"/>
  <c r="L13" i="118"/>
  <c r="J13" i="118"/>
  <c r="L12" i="118"/>
  <c r="J12" i="118"/>
  <c r="X10" i="118"/>
  <c r="V10" i="118"/>
  <c r="U10" i="118"/>
  <c r="Z98" i="117"/>
  <c r="V98" i="117"/>
  <c r="U98" i="117"/>
  <c r="P98" i="117"/>
  <c r="X97" i="117"/>
  <c r="Y97" i="117" s="1"/>
  <c r="S97" i="117"/>
  <c r="T97" i="117" s="1"/>
  <c r="X96" i="117"/>
  <c r="Y96" i="117" s="1"/>
  <c r="S96" i="117"/>
  <c r="T96" i="117" s="1"/>
  <c r="X95" i="117"/>
  <c r="Y95" i="117" s="1"/>
  <c r="S95" i="117"/>
  <c r="T95" i="117" s="1"/>
  <c r="X94" i="117"/>
  <c r="Y94" i="117" s="1"/>
  <c r="S94" i="117"/>
  <c r="T94" i="117" s="1"/>
  <c r="X93" i="117"/>
  <c r="Y93" i="117" s="1"/>
  <c r="S93" i="117"/>
  <c r="T93" i="117" s="1"/>
  <c r="X92" i="117"/>
  <c r="Y92" i="117" s="1"/>
  <c r="S92" i="117"/>
  <c r="T92" i="117" s="1"/>
  <c r="X91" i="117"/>
  <c r="Y91" i="117" s="1"/>
  <c r="S91" i="117"/>
  <c r="T91" i="117" s="1"/>
  <c r="X90" i="117"/>
  <c r="Y90" i="117" s="1"/>
  <c r="S90" i="117"/>
  <c r="T90" i="117" s="1"/>
  <c r="X89" i="117"/>
  <c r="Y89" i="117" s="1"/>
  <c r="S89" i="117"/>
  <c r="T89" i="117" s="1"/>
  <c r="X88" i="117"/>
  <c r="Y88" i="117" s="1"/>
  <c r="S88" i="117"/>
  <c r="T88" i="117" s="1"/>
  <c r="X87" i="117"/>
  <c r="Y87" i="117" s="1"/>
  <c r="S87" i="117"/>
  <c r="T87" i="117" s="1"/>
  <c r="X86" i="117"/>
  <c r="Y86" i="117" s="1"/>
  <c r="S86" i="117"/>
  <c r="T86" i="117" s="1"/>
  <c r="X85" i="117"/>
  <c r="Y85" i="117" s="1"/>
  <c r="S85" i="117"/>
  <c r="T85" i="117" s="1"/>
  <c r="X84" i="117"/>
  <c r="Y84" i="117" s="1"/>
  <c r="S84" i="117"/>
  <c r="T84" i="117" s="1"/>
  <c r="X83" i="117"/>
  <c r="Y83" i="117" s="1"/>
  <c r="S83" i="117"/>
  <c r="T83" i="117" s="1"/>
  <c r="X82" i="117"/>
  <c r="Y82" i="117" s="1"/>
  <c r="S82" i="117"/>
  <c r="T82" i="117" s="1"/>
  <c r="X81" i="117"/>
  <c r="Y81" i="117" s="1"/>
  <c r="S81" i="117"/>
  <c r="T81" i="117" s="1"/>
  <c r="X80" i="117"/>
  <c r="Y80" i="117" s="1"/>
  <c r="S80" i="117"/>
  <c r="T80" i="117" s="1"/>
  <c r="X79" i="117"/>
  <c r="Y79" i="117" s="1"/>
  <c r="S79" i="117"/>
  <c r="T79" i="117" s="1"/>
  <c r="X78" i="117"/>
  <c r="S78" i="117"/>
  <c r="T75" i="117"/>
  <c r="B56" i="117" s="1"/>
  <c r="J56" i="117" s="1"/>
  <c r="R75" i="117"/>
  <c r="B70" i="117"/>
  <c r="T69" i="117"/>
  <c r="B54" i="117" s="1"/>
  <c r="J54" i="117" s="1"/>
  <c r="R69" i="117"/>
  <c r="B48" i="117" s="1"/>
  <c r="J48" i="117" s="1"/>
  <c r="J69" i="117"/>
  <c r="J64" i="117"/>
  <c r="T63" i="117"/>
  <c r="B53" i="117" s="1"/>
  <c r="S63" i="117"/>
  <c r="B58" i="117" s="1"/>
  <c r="J58" i="117" s="1"/>
  <c r="R63" i="117"/>
  <c r="B47" i="117" s="1"/>
  <c r="J47" i="117" s="1"/>
  <c r="L62" i="117"/>
  <c r="J62" i="117"/>
  <c r="H62" i="117"/>
  <c r="J61" i="117"/>
  <c r="H61" i="117"/>
  <c r="J60" i="117"/>
  <c r="H60" i="117"/>
  <c r="D60" i="117"/>
  <c r="J59" i="117"/>
  <c r="G59" i="117"/>
  <c r="L59" i="117" s="1"/>
  <c r="H58" i="117"/>
  <c r="H57" i="117"/>
  <c r="H56" i="117"/>
  <c r="H55" i="117"/>
  <c r="B55" i="117"/>
  <c r="J55" i="117" s="1"/>
  <c r="H54" i="117"/>
  <c r="H53" i="117"/>
  <c r="H52" i="117"/>
  <c r="H51" i="117"/>
  <c r="H50" i="117"/>
  <c r="H49" i="117"/>
  <c r="B49" i="117"/>
  <c r="J49" i="117" s="1"/>
  <c r="H48" i="117"/>
  <c r="H47" i="117"/>
  <c r="H46" i="117"/>
  <c r="L45" i="117"/>
  <c r="J45" i="117"/>
  <c r="L44" i="117"/>
  <c r="L43" i="117"/>
  <c r="B43" i="117"/>
  <c r="T42" i="117"/>
  <c r="B52" i="117" s="1"/>
  <c r="S42" i="117"/>
  <c r="B57" i="117" s="1"/>
  <c r="R42" i="117"/>
  <c r="B46" i="117" s="1"/>
  <c r="L42" i="117"/>
  <c r="B42" i="117"/>
  <c r="J42" i="117" s="1"/>
  <c r="L41" i="117"/>
  <c r="J41" i="117"/>
  <c r="L40" i="117"/>
  <c r="B40" i="117"/>
  <c r="J40" i="117" s="1"/>
  <c r="L39" i="117"/>
  <c r="J39" i="117"/>
  <c r="L38" i="117"/>
  <c r="B38" i="117"/>
  <c r="B44" i="117" s="1"/>
  <c r="L37" i="117"/>
  <c r="J37" i="117"/>
  <c r="L36" i="117"/>
  <c r="L35" i="117"/>
  <c r="B35" i="117"/>
  <c r="L34" i="117"/>
  <c r="B34" i="117"/>
  <c r="J34" i="117" s="1"/>
  <c r="L33" i="117"/>
  <c r="J33" i="117"/>
  <c r="L32" i="117"/>
  <c r="B32" i="117"/>
  <c r="J32" i="117" s="1"/>
  <c r="L31" i="117"/>
  <c r="J31" i="117"/>
  <c r="L30" i="117"/>
  <c r="B30" i="117"/>
  <c r="B36" i="117" s="1"/>
  <c r="L29" i="117"/>
  <c r="J29" i="117"/>
  <c r="L28" i="117"/>
  <c r="L27" i="117"/>
  <c r="B27" i="117"/>
  <c r="L26" i="117"/>
  <c r="B26" i="117"/>
  <c r="J26" i="117" s="1"/>
  <c r="L25" i="117"/>
  <c r="J25" i="117"/>
  <c r="L24" i="117"/>
  <c r="B24" i="117"/>
  <c r="J24" i="117" s="1"/>
  <c r="L23" i="117"/>
  <c r="J23" i="117"/>
  <c r="L22" i="117"/>
  <c r="B22" i="117"/>
  <c r="B28" i="117" s="1"/>
  <c r="L21" i="117"/>
  <c r="J21" i="117"/>
  <c r="L20" i="117"/>
  <c r="L19" i="117"/>
  <c r="B19" i="117"/>
  <c r="L18" i="117"/>
  <c r="B18" i="117"/>
  <c r="J18" i="117" s="1"/>
  <c r="L17" i="117"/>
  <c r="J17" i="117"/>
  <c r="L16" i="117"/>
  <c r="B16" i="117"/>
  <c r="J16" i="117" s="1"/>
  <c r="L15" i="117"/>
  <c r="J15" i="117"/>
  <c r="L14" i="117"/>
  <c r="B14" i="117"/>
  <c r="B20" i="117" s="1"/>
  <c r="C16" i="109" s="1"/>
  <c r="L13" i="117"/>
  <c r="J13" i="117"/>
  <c r="L12" i="117"/>
  <c r="J12" i="117"/>
  <c r="X10" i="117"/>
  <c r="V10" i="117"/>
  <c r="U10" i="117"/>
  <c r="Z98" i="116"/>
  <c r="B55" i="116" s="1"/>
  <c r="J55" i="116" s="1"/>
  <c r="V98" i="116"/>
  <c r="U98" i="116"/>
  <c r="P98" i="116"/>
  <c r="B50" i="116" s="1"/>
  <c r="J50" i="116" s="1"/>
  <c r="X97" i="116"/>
  <c r="Y97" i="116" s="1"/>
  <c r="S97" i="116"/>
  <c r="T97" i="116" s="1"/>
  <c r="X96" i="116"/>
  <c r="Y96" i="116" s="1"/>
  <c r="S96" i="116"/>
  <c r="T96" i="116" s="1"/>
  <c r="X95" i="116"/>
  <c r="Y95" i="116" s="1"/>
  <c r="S95" i="116"/>
  <c r="T95" i="116" s="1"/>
  <c r="X94" i="116"/>
  <c r="Y94" i="116" s="1"/>
  <c r="S94" i="116"/>
  <c r="T94" i="116" s="1"/>
  <c r="X93" i="116"/>
  <c r="Y93" i="116" s="1"/>
  <c r="S93" i="116"/>
  <c r="T93" i="116" s="1"/>
  <c r="X92" i="116"/>
  <c r="Y92" i="116" s="1"/>
  <c r="S92" i="116"/>
  <c r="T92" i="116" s="1"/>
  <c r="X91" i="116"/>
  <c r="Y91" i="116" s="1"/>
  <c r="S91" i="116"/>
  <c r="T91" i="116" s="1"/>
  <c r="X90" i="116"/>
  <c r="Y90" i="116" s="1"/>
  <c r="S90" i="116"/>
  <c r="T90" i="116" s="1"/>
  <c r="X89" i="116"/>
  <c r="Y89" i="116" s="1"/>
  <c r="S89" i="116"/>
  <c r="T89" i="116" s="1"/>
  <c r="X88" i="116"/>
  <c r="Y88" i="116" s="1"/>
  <c r="S88" i="116"/>
  <c r="T88" i="116" s="1"/>
  <c r="X87" i="116"/>
  <c r="Y87" i="116" s="1"/>
  <c r="S87" i="116"/>
  <c r="T87" i="116" s="1"/>
  <c r="X86" i="116"/>
  <c r="Y86" i="116" s="1"/>
  <c r="S86" i="116"/>
  <c r="T86" i="116" s="1"/>
  <c r="X85" i="116"/>
  <c r="Y85" i="116" s="1"/>
  <c r="S85" i="116"/>
  <c r="T85" i="116" s="1"/>
  <c r="X84" i="116"/>
  <c r="Y84" i="116" s="1"/>
  <c r="S84" i="116"/>
  <c r="T84" i="116" s="1"/>
  <c r="X83" i="116"/>
  <c r="Y83" i="116" s="1"/>
  <c r="S83" i="116"/>
  <c r="T83" i="116" s="1"/>
  <c r="X82" i="116"/>
  <c r="Y82" i="116" s="1"/>
  <c r="S82" i="116"/>
  <c r="T82" i="116" s="1"/>
  <c r="X81" i="116"/>
  <c r="Y81" i="116" s="1"/>
  <c r="S81" i="116"/>
  <c r="T81" i="116" s="1"/>
  <c r="X80" i="116"/>
  <c r="Y80" i="116" s="1"/>
  <c r="S80" i="116"/>
  <c r="T80" i="116" s="1"/>
  <c r="X79" i="116"/>
  <c r="Y79" i="116" s="1"/>
  <c r="S79" i="116"/>
  <c r="T79" i="116" s="1"/>
  <c r="H79" i="116"/>
  <c r="X78" i="116"/>
  <c r="S78" i="116"/>
  <c r="T75" i="116"/>
  <c r="B56" i="116" s="1"/>
  <c r="J56" i="116" s="1"/>
  <c r="R75" i="116"/>
  <c r="B49" i="116" s="1"/>
  <c r="J49" i="116" s="1"/>
  <c r="B70" i="116"/>
  <c r="T69" i="116"/>
  <c r="B54" i="116" s="1"/>
  <c r="J54" i="116" s="1"/>
  <c r="R69" i="116"/>
  <c r="B48" i="116" s="1"/>
  <c r="J48" i="116" s="1"/>
  <c r="J69" i="116"/>
  <c r="J64" i="116"/>
  <c r="T63" i="116"/>
  <c r="B53" i="116" s="1"/>
  <c r="J53" i="116" s="1"/>
  <c r="S63" i="116"/>
  <c r="B58" i="116" s="1"/>
  <c r="J58" i="116" s="1"/>
  <c r="R63" i="116"/>
  <c r="B47" i="116" s="1"/>
  <c r="J47" i="116" s="1"/>
  <c r="L62" i="116"/>
  <c r="J62" i="116"/>
  <c r="H62" i="116"/>
  <c r="J61" i="116"/>
  <c r="H61" i="116"/>
  <c r="J60" i="116"/>
  <c r="H60" i="116"/>
  <c r="D60" i="116"/>
  <c r="J59" i="116"/>
  <c r="G59" i="116"/>
  <c r="L59" i="116" s="1"/>
  <c r="H58" i="116"/>
  <c r="H57" i="116"/>
  <c r="H56" i="116"/>
  <c r="H55" i="116"/>
  <c r="H54" i="116"/>
  <c r="H53" i="116"/>
  <c r="H52" i="116"/>
  <c r="H51" i="116"/>
  <c r="H50" i="116"/>
  <c r="H49" i="116"/>
  <c r="H48" i="116"/>
  <c r="H47" i="116"/>
  <c r="H46" i="116"/>
  <c r="L45" i="116"/>
  <c r="J45" i="116"/>
  <c r="L44" i="116"/>
  <c r="L43" i="116"/>
  <c r="B43" i="116"/>
  <c r="T42" i="116"/>
  <c r="B52" i="116" s="1"/>
  <c r="S42" i="116"/>
  <c r="B57" i="116" s="1"/>
  <c r="R42" i="116"/>
  <c r="B46" i="116" s="1"/>
  <c r="L42" i="116"/>
  <c r="B42" i="116"/>
  <c r="J42" i="116" s="1"/>
  <c r="L41" i="116"/>
  <c r="J41" i="116"/>
  <c r="L40" i="116"/>
  <c r="B40" i="116"/>
  <c r="J40" i="116" s="1"/>
  <c r="L39" i="116"/>
  <c r="J39" i="116"/>
  <c r="L38" i="116"/>
  <c r="B38" i="116"/>
  <c r="B44" i="116" s="1"/>
  <c r="L37" i="116"/>
  <c r="J37" i="116"/>
  <c r="L36" i="116"/>
  <c r="L35" i="116"/>
  <c r="B35" i="116"/>
  <c r="L34" i="116"/>
  <c r="B34" i="116"/>
  <c r="J34" i="116" s="1"/>
  <c r="L33" i="116"/>
  <c r="J33" i="116"/>
  <c r="L32" i="116"/>
  <c r="B32" i="116"/>
  <c r="J32" i="116" s="1"/>
  <c r="L31" i="116"/>
  <c r="J31" i="116"/>
  <c r="L30" i="116"/>
  <c r="B30" i="116"/>
  <c r="B36" i="116" s="1"/>
  <c r="L29" i="116"/>
  <c r="J29" i="116"/>
  <c r="L28" i="116"/>
  <c r="L27" i="116"/>
  <c r="B27" i="116"/>
  <c r="L26" i="116"/>
  <c r="B26" i="116"/>
  <c r="J26" i="116" s="1"/>
  <c r="L25" i="116"/>
  <c r="J25" i="116"/>
  <c r="L24" i="116"/>
  <c r="B24" i="116"/>
  <c r="J24" i="116" s="1"/>
  <c r="L23" i="116"/>
  <c r="J23" i="116"/>
  <c r="L22" i="116"/>
  <c r="B22" i="116"/>
  <c r="B28" i="116" s="1"/>
  <c r="L21" i="116"/>
  <c r="J21" i="116"/>
  <c r="L20" i="116"/>
  <c r="L19" i="116"/>
  <c r="B19" i="116"/>
  <c r="L18" i="116"/>
  <c r="B18" i="116"/>
  <c r="J18" i="116" s="1"/>
  <c r="L17" i="116"/>
  <c r="J17" i="116"/>
  <c r="L16" i="116"/>
  <c r="B16" i="116"/>
  <c r="J16" i="116" s="1"/>
  <c r="L15" i="116"/>
  <c r="J15" i="116"/>
  <c r="L14" i="116"/>
  <c r="B14" i="116"/>
  <c r="B20" i="116" s="1"/>
  <c r="C15" i="109" s="1"/>
  <c r="L13" i="116"/>
  <c r="J13" i="116"/>
  <c r="L12" i="116"/>
  <c r="J12" i="116"/>
  <c r="X10" i="116"/>
  <c r="V10" i="116"/>
  <c r="U10" i="116"/>
  <c r="Z98" i="115"/>
  <c r="B55" i="115" s="1"/>
  <c r="J55" i="115" s="1"/>
  <c r="V98" i="115"/>
  <c r="U98" i="115"/>
  <c r="P98" i="115"/>
  <c r="B50" i="115" s="1"/>
  <c r="J50" i="115" s="1"/>
  <c r="X97" i="115"/>
  <c r="Y97" i="115" s="1"/>
  <c r="S97" i="115"/>
  <c r="T97" i="115" s="1"/>
  <c r="X96" i="115"/>
  <c r="Y96" i="115" s="1"/>
  <c r="S96" i="115"/>
  <c r="T96" i="115" s="1"/>
  <c r="X95" i="115"/>
  <c r="Y95" i="115" s="1"/>
  <c r="S95" i="115"/>
  <c r="T95" i="115" s="1"/>
  <c r="X94" i="115"/>
  <c r="Y94" i="115" s="1"/>
  <c r="S94" i="115"/>
  <c r="T94" i="115" s="1"/>
  <c r="X93" i="115"/>
  <c r="Y93" i="115" s="1"/>
  <c r="S93" i="115"/>
  <c r="T93" i="115" s="1"/>
  <c r="X92" i="115"/>
  <c r="Y92" i="115" s="1"/>
  <c r="S92" i="115"/>
  <c r="T92" i="115" s="1"/>
  <c r="X91" i="115"/>
  <c r="Y91" i="115" s="1"/>
  <c r="S91" i="115"/>
  <c r="T91" i="115" s="1"/>
  <c r="X90" i="115"/>
  <c r="Y90" i="115" s="1"/>
  <c r="S90" i="115"/>
  <c r="T90" i="115" s="1"/>
  <c r="X89" i="115"/>
  <c r="Y89" i="115" s="1"/>
  <c r="S89" i="115"/>
  <c r="T89" i="115" s="1"/>
  <c r="X88" i="115"/>
  <c r="Y88" i="115" s="1"/>
  <c r="S88" i="115"/>
  <c r="T88" i="115" s="1"/>
  <c r="X87" i="115"/>
  <c r="Y87" i="115" s="1"/>
  <c r="S87" i="115"/>
  <c r="T87" i="115" s="1"/>
  <c r="X86" i="115"/>
  <c r="Y86" i="115" s="1"/>
  <c r="S86" i="115"/>
  <c r="T86" i="115" s="1"/>
  <c r="X85" i="115"/>
  <c r="Y85" i="115" s="1"/>
  <c r="S85" i="115"/>
  <c r="T85" i="115" s="1"/>
  <c r="X84" i="115"/>
  <c r="Y84" i="115" s="1"/>
  <c r="S84" i="115"/>
  <c r="T84" i="115" s="1"/>
  <c r="X83" i="115"/>
  <c r="Y83" i="115" s="1"/>
  <c r="S83" i="115"/>
  <c r="T83" i="115" s="1"/>
  <c r="X82" i="115"/>
  <c r="Y82" i="115" s="1"/>
  <c r="S82" i="115"/>
  <c r="T82" i="115" s="1"/>
  <c r="X81" i="115"/>
  <c r="Y81" i="115" s="1"/>
  <c r="S81" i="115"/>
  <c r="T81" i="115" s="1"/>
  <c r="X80" i="115"/>
  <c r="Y80" i="115" s="1"/>
  <c r="S80" i="115"/>
  <c r="T80" i="115" s="1"/>
  <c r="X79" i="115"/>
  <c r="Y79" i="115" s="1"/>
  <c r="S79" i="115"/>
  <c r="T79" i="115" s="1"/>
  <c r="X78" i="115"/>
  <c r="S78" i="115"/>
  <c r="T78" i="115" s="1"/>
  <c r="T75" i="115"/>
  <c r="B56" i="115" s="1"/>
  <c r="J56" i="115" s="1"/>
  <c r="R75" i="115"/>
  <c r="B49" i="115" s="1"/>
  <c r="J49" i="115" s="1"/>
  <c r="B70" i="115"/>
  <c r="T69" i="115"/>
  <c r="B54" i="115" s="1"/>
  <c r="J54" i="115" s="1"/>
  <c r="R69" i="115"/>
  <c r="B48" i="115" s="1"/>
  <c r="J48" i="115" s="1"/>
  <c r="J69" i="115"/>
  <c r="J64" i="115"/>
  <c r="T63" i="115"/>
  <c r="B53" i="115" s="1"/>
  <c r="J53" i="115" s="1"/>
  <c r="S63" i="115"/>
  <c r="B58" i="115" s="1"/>
  <c r="J58" i="115" s="1"/>
  <c r="R63" i="115"/>
  <c r="B47" i="115" s="1"/>
  <c r="J47" i="115" s="1"/>
  <c r="L62" i="115"/>
  <c r="J62" i="115"/>
  <c r="H62" i="115"/>
  <c r="J61" i="115"/>
  <c r="H61" i="115"/>
  <c r="J60" i="115"/>
  <c r="H60" i="115"/>
  <c r="D60" i="115"/>
  <c r="J59" i="115"/>
  <c r="G59" i="115"/>
  <c r="L59" i="115" s="1"/>
  <c r="H58" i="115"/>
  <c r="H57" i="115"/>
  <c r="H56" i="115"/>
  <c r="H55" i="115"/>
  <c r="H54" i="115"/>
  <c r="H53" i="115"/>
  <c r="H52" i="115"/>
  <c r="H51" i="115"/>
  <c r="H50" i="115"/>
  <c r="H49" i="115"/>
  <c r="H48" i="115"/>
  <c r="H47" i="115"/>
  <c r="H46" i="115"/>
  <c r="L45" i="115"/>
  <c r="J45" i="115"/>
  <c r="L44" i="115"/>
  <c r="L43" i="115"/>
  <c r="B43" i="115"/>
  <c r="T42" i="115"/>
  <c r="B52" i="115" s="1"/>
  <c r="S42" i="115"/>
  <c r="B57" i="115" s="1"/>
  <c r="R42" i="115"/>
  <c r="B46" i="115" s="1"/>
  <c r="L42" i="115"/>
  <c r="B42" i="115"/>
  <c r="J42" i="115" s="1"/>
  <c r="L41" i="115"/>
  <c r="J41" i="115"/>
  <c r="L40" i="115"/>
  <c r="B40" i="115"/>
  <c r="J40" i="115" s="1"/>
  <c r="L39" i="115"/>
  <c r="J39" i="115"/>
  <c r="L38" i="115"/>
  <c r="B38" i="115"/>
  <c r="B44" i="115" s="1"/>
  <c r="L37" i="115"/>
  <c r="J37" i="115"/>
  <c r="B35" i="115"/>
  <c r="L35" i="115" s="1"/>
  <c r="L34" i="115"/>
  <c r="B34" i="115"/>
  <c r="J34" i="115" s="1"/>
  <c r="L33" i="115"/>
  <c r="J33" i="115"/>
  <c r="L32" i="115"/>
  <c r="B32" i="115"/>
  <c r="J32" i="115" s="1"/>
  <c r="L31" i="115"/>
  <c r="J31" i="115"/>
  <c r="B30" i="115"/>
  <c r="J29" i="115"/>
  <c r="L28" i="115"/>
  <c r="L27" i="115"/>
  <c r="B27" i="115"/>
  <c r="L26" i="115"/>
  <c r="B26" i="115"/>
  <c r="J26" i="115" s="1"/>
  <c r="L25" i="115"/>
  <c r="J25" i="115"/>
  <c r="L24" i="115"/>
  <c r="B24" i="115"/>
  <c r="J24" i="115" s="1"/>
  <c r="L23" i="115"/>
  <c r="J23" i="115"/>
  <c r="L22" i="115"/>
  <c r="B22" i="115"/>
  <c r="B28" i="115" s="1"/>
  <c r="L21" i="115"/>
  <c r="J21" i="115"/>
  <c r="L20" i="115"/>
  <c r="L19" i="115"/>
  <c r="B19" i="115"/>
  <c r="L18" i="115"/>
  <c r="B18" i="115"/>
  <c r="J18" i="115" s="1"/>
  <c r="L17" i="115"/>
  <c r="J17" i="115"/>
  <c r="L16" i="115"/>
  <c r="B16" i="115"/>
  <c r="J16" i="115" s="1"/>
  <c r="L15" i="115"/>
  <c r="J15" i="115"/>
  <c r="L14" i="115"/>
  <c r="B14" i="115"/>
  <c r="B20" i="115" s="1"/>
  <c r="C14" i="109" s="1"/>
  <c r="L13" i="115"/>
  <c r="J13" i="115"/>
  <c r="L12" i="115"/>
  <c r="J12" i="115"/>
  <c r="X10" i="115"/>
  <c r="V10" i="115"/>
  <c r="U10" i="115"/>
  <c r="Z98" i="114"/>
  <c r="B55" i="114" s="1"/>
  <c r="J55" i="114" s="1"/>
  <c r="V98" i="114"/>
  <c r="U98" i="114"/>
  <c r="P98" i="114"/>
  <c r="B50" i="114" s="1"/>
  <c r="J50" i="114" s="1"/>
  <c r="X97" i="114"/>
  <c r="Y97" i="114" s="1"/>
  <c r="S97" i="114"/>
  <c r="T97" i="114" s="1"/>
  <c r="X96" i="114"/>
  <c r="Y96" i="114" s="1"/>
  <c r="S96" i="114"/>
  <c r="T96" i="114" s="1"/>
  <c r="X95" i="114"/>
  <c r="Y95" i="114" s="1"/>
  <c r="S95" i="114"/>
  <c r="T95" i="114" s="1"/>
  <c r="X94" i="114"/>
  <c r="Y94" i="114" s="1"/>
  <c r="S94" i="114"/>
  <c r="T94" i="114" s="1"/>
  <c r="X93" i="114"/>
  <c r="Y93" i="114" s="1"/>
  <c r="S93" i="114"/>
  <c r="T93" i="114" s="1"/>
  <c r="X92" i="114"/>
  <c r="Y92" i="114" s="1"/>
  <c r="S92" i="114"/>
  <c r="T92" i="114" s="1"/>
  <c r="X91" i="114"/>
  <c r="Y91" i="114" s="1"/>
  <c r="S91" i="114"/>
  <c r="T91" i="114" s="1"/>
  <c r="X90" i="114"/>
  <c r="Y90" i="114" s="1"/>
  <c r="S90" i="114"/>
  <c r="T90" i="114" s="1"/>
  <c r="X89" i="114"/>
  <c r="Y89" i="114" s="1"/>
  <c r="S89" i="114"/>
  <c r="T89" i="114" s="1"/>
  <c r="X88" i="114"/>
  <c r="Y88" i="114" s="1"/>
  <c r="S88" i="114"/>
  <c r="T88" i="114" s="1"/>
  <c r="X87" i="114"/>
  <c r="Y87" i="114" s="1"/>
  <c r="S87" i="114"/>
  <c r="T87" i="114" s="1"/>
  <c r="X86" i="114"/>
  <c r="Y86" i="114" s="1"/>
  <c r="S86" i="114"/>
  <c r="T86" i="114" s="1"/>
  <c r="X85" i="114"/>
  <c r="Y85" i="114" s="1"/>
  <c r="S85" i="114"/>
  <c r="T85" i="114" s="1"/>
  <c r="X84" i="114"/>
  <c r="Y84" i="114" s="1"/>
  <c r="S84" i="114"/>
  <c r="T84" i="114" s="1"/>
  <c r="X83" i="114"/>
  <c r="Y83" i="114" s="1"/>
  <c r="S83" i="114"/>
  <c r="T83" i="114" s="1"/>
  <c r="X82" i="114"/>
  <c r="Y82" i="114" s="1"/>
  <c r="S82" i="114"/>
  <c r="T82" i="114" s="1"/>
  <c r="X81" i="114"/>
  <c r="Y81" i="114" s="1"/>
  <c r="S81" i="114"/>
  <c r="T81" i="114" s="1"/>
  <c r="X80" i="114"/>
  <c r="Y80" i="114" s="1"/>
  <c r="S80" i="114"/>
  <c r="T80" i="114" s="1"/>
  <c r="X79" i="114"/>
  <c r="Y79" i="114" s="1"/>
  <c r="S79" i="114"/>
  <c r="T79" i="114" s="1"/>
  <c r="X78" i="114"/>
  <c r="S78" i="114"/>
  <c r="T75" i="114"/>
  <c r="B56" i="114" s="1"/>
  <c r="J56" i="114" s="1"/>
  <c r="R75" i="114"/>
  <c r="B49" i="114" s="1"/>
  <c r="J49" i="114" s="1"/>
  <c r="B70" i="114"/>
  <c r="T69" i="114"/>
  <c r="R69" i="114"/>
  <c r="B48" i="114" s="1"/>
  <c r="J48" i="114" s="1"/>
  <c r="J64" i="114"/>
  <c r="T63" i="114"/>
  <c r="B53" i="114" s="1"/>
  <c r="J53" i="114" s="1"/>
  <c r="S63" i="114"/>
  <c r="B58" i="114" s="1"/>
  <c r="J58" i="114" s="1"/>
  <c r="R63" i="114"/>
  <c r="L62" i="114"/>
  <c r="J62" i="114"/>
  <c r="H62" i="114"/>
  <c r="J61" i="114"/>
  <c r="H61" i="114"/>
  <c r="J60" i="114"/>
  <c r="H60" i="114"/>
  <c r="D60" i="114"/>
  <c r="J59" i="114"/>
  <c r="G59" i="114"/>
  <c r="L59" i="114" s="1"/>
  <c r="H58" i="114"/>
  <c r="H57" i="114"/>
  <c r="H56" i="114"/>
  <c r="H55" i="114"/>
  <c r="H54" i="114"/>
  <c r="B54" i="114"/>
  <c r="J54" i="114" s="1"/>
  <c r="H53" i="114"/>
  <c r="H52" i="114"/>
  <c r="H51" i="114"/>
  <c r="H50" i="114"/>
  <c r="H49" i="114"/>
  <c r="H48" i="114"/>
  <c r="H47" i="114"/>
  <c r="B47" i="114"/>
  <c r="J47" i="114" s="1"/>
  <c r="H46" i="114"/>
  <c r="L45" i="114"/>
  <c r="J45" i="114"/>
  <c r="L44" i="114"/>
  <c r="L43" i="114"/>
  <c r="B43" i="114"/>
  <c r="T42" i="114"/>
  <c r="B52" i="114" s="1"/>
  <c r="S42" i="114"/>
  <c r="B57" i="114" s="1"/>
  <c r="R42" i="114"/>
  <c r="B46" i="114" s="1"/>
  <c r="L42" i="114"/>
  <c r="B42" i="114"/>
  <c r="J42" i="114" s="1"/>
  <c r="L41" i="114"/>
  <c r="J41" i="114"/>
  <c r="L40" i="114"/>
  <c r="B40" i="114"/>
  <c r="J40" i="114" s="1"/>
  <c r="L39" i="114"/>
  <c r="J39" i="114"/>
  <c r="L38" i="114"/>
  <c r="B38" i="114"/>
  <c r="B44" i="114" s="1"/>
  <c r="L37" i="114"/>
  <c r="J37" i="114"/>
  <c r="L36" i="114"/>
  <c r="L35" i="114"/>
  <c r="B35" i="114"/>
  <c r="L34" i="114"/>
  <c r="B34" i="114"/>
  <c r="J34" i="114" s="1"/>
  <c r="L33" i="114"/>
  <c r="J33" i="114"/>
  <c r="L32" i="114"/>
  <c r="B32" i="114"/>
  <c r="J32" i="114" s="1"/>
  <c r="L31" i="114"/>
  <c r="J31" i="114"/>
  <c r="L30" i="114"/>
  <c r="B30" i="114"/>
  <c r="B36" i="114" s="1"/>
  <c r="L29" i="114"/>
  <c r="J29" i="114"/>
  <c r="L28" i="114"/>
  <c r="L27" i="114"/>
  <c r="B27" i="114"/>
  <c r="L26" i="114"/>
  <c r="B26" i="114"/>
  <c r="J26" i="114" s="1"/>
  <c r="L25" i="114"/>
  <c r="J25" i="114"/>
  <c r="L24" i="114"/>
  <c r="B24" i="114"/>
  <c r="J24" i="114" s="1"/>
  <c r="L23" i="114"/>
  <c r="J23" i="114"/>
  <c r="L22" i="114"/>
  <c r="B22" i="114"/>
  <c r="B28" i="114" s="1"/>
  <c r="L21" i="114"/>
  <c r="J21" i="114"/>
  <c r="L20" i="114"/>
  <c r="L19" i="114"/>
  <c r="B19" i="114"/>
  <c r="L18" i="114"/>
  <c r="B18" i="114"/>
  <c r="J18" i="114" s="1"/>
  <c r="L17" i="114"/>
  <c r="J17" i="114"/>
  <c r="L16" i="114"/>
  <c r="B16" i="114"/>
  <c r="J16" i="114" s="1"/>
  <c r="L15" i="114"/>
  <c r="J15" i="114"/>
  <c r="L14" i="114"/>
  <c r="B14" i="114"/>
  <c r="B20" i="114" s="1"/>
  <c r="C13" i="109" s="1"/>
  <c r="L13" i="114"/>
  <c r="J13" i="114"/>
  <c r="L12" i="114"/>
  <c r="J12" i="114"/>
  <c r="X10" i="114"/>
  <c r="V10" i="114"/>
  <c r="U10" i="114"/>
  <c r="Z98" i="113"/>
  <c r="B55" i="113" s="1"/>
  <c r="J55" i="113" s="1"/>
  <c r="V98" i="113"/>
  <c r="U98" i="113"/>
  <c r="P98" i="113"/>
  <c r="B50" i="113" s="1"/>
  <c r="J50" i="113" s="1"/>
  <c r="X97" i="113"/>
  <c r="Y97" i="113" s="1"/>
  <c r="S97" i="113"/>
  <c r="T97" i="113" s="1"/>
  <c r="X96" i="113"/>
  <c r="Y96" i="113" s="1"/>
  <c r="S96" i="113"/>
  <c r="T96" i="113" s="1"/>
  <c r="X95" i="113"/>
  <c r="Y95" i="113" s="1"/>
  <c r="S95" i="113"/>
  <c r="T95" i="113" s="1"/>
  <c r="X94" i="113"/>
  <c r="Y94" i="113" s="1"/>
  <c r="S94" i="113"/>
  <c r="T94" i="113" s="1"/>
  <c r="X93" i="113"/>
  <c r="Y93" i="113" s="1"/>
  <c r="S93" i="113"/>
  <c r="T93" i="113" s="1"/>
  <c r="X92" i="113"/>
  <c r="Y92" i="113" s="1"/>
  <c r="S92" i="113"/>
  <c r="T92" i="113" s="1"/>
  <c r="X91" i="113"/>
  <c r="Y91" i="113" s="1"/>
  <c r="S91" i="113"/>
  <c r="T91" i="113" s="1"/>
  <c r="X90" i="113"/>
  <c r="Y90" i="113" s="1"/>
  <c r="S90" i="113"/>
  <c r="T90" i="113" s="1"/>
  <c r="X89" i="113"/>
  <c r="Y89" i="113" s="1"/>
  <c r="S89" i="113"/>
  <c r="T89" i="113" s="1"/>
  <c r="X88" i="113"/>
  <c r="Y88" i="113" s="1"/>
  <c r="S88" i="113"/>
  <c r="T88" i="113" s="1"/>
  <c r="X87" i="113"/>
  <c r="Y87" i="113" s="1"/>
  <c r="S87" i="113"/>
  <c r="T87" i="113" s="1"/>
  <c r="X86" i="113"/>
  <c r="Y86" i="113" s="1"/>
  <c r="S86" i="113"/>
  <c r="T86" i="113" s="1"/>
  <c r="X85" i="113"/>
  <c r="Y85" i="113" s="1"/>
  <c r="S85" i="113"/>
  <c r="T85" i="113" s="1"/>
  <c r="X84" i="113"/>
  <c r="Y84" i="113" s="1"/>
  <c r="S84" i="113"/>
  <c r="T84" i="113" s="1"/>
  <c r="X83" i="113"/>
  <c r="Y83" i="113" s="1"/>
  <c r="S83" i="113"/>
  <c r="T83" i="113" s="1"/>
  <c r="X82" i="113"/>
  <c r="Y82" i="113" s="1"/>
  <c r="S82" i="113"/>
  <c r="T82" i="113" s="1"/>
  <c r="X81" i="113"/>
  <c r="Y81" i="113" s="1"/>
  <c r="S81" i="113"/>
  <c r="T81" i="113" s="1"/>
  <c r="X80" i="113"/>
  <c r="Y80" i="113" s="1"/>
  <c r="S80" i="113"/>
  <c r="T80" i="113" s="1"/>
  <c r="X79" i="113"/>
  <c r="Y79" i="113" s="1"/>
  <c r="S79" i="113"/>
  <c r="T79" i="113" s="1"/>
  <c r="H79" i="113"/>
  <c r="X78" i="113"/>
  <c r="S78" i="113"/>
  <c r="T75" i="113"/>
  <c r="B56" i="113" s="1"/>
  <c r="J56" i="113" s="1"/>
  <c r="R75" i="113"/>
  <c r="B49" i="113" s="1"/>
  <c r="J49" i="113" s="1"/>
  <c r="B70" i="113"/>
  <c r="T69" i="113"/>
  <c r="B54" i="113" s="1"/>
  <c r="J54" i="113" s="1"/>
  <c r="R69" i="113"/>
  <c r="B48" i="113" s="1"/>
  <c r="J48" i="113" s="1"/>
  <c r="J69" i="113"/>
  <c r="J64" i="113"/>
  <c r="T63" i="113"/>
  <c r="B53" i="113" s="1"/>
  <c r="J53" i="113" s="1"/>
  <c r="S63" i="113"/>
  <c r="B58" i="113" s="1"/>
  <c r="J58" i="113" s="1"/>
  <c r="R63" i="113"/>
  <c r="B47" i="113" s="1"/>
  <c r="J47" i="113" s="1"/>
  <c r="L62" i="113"/>
  <c r="J62" i="113"/>
  <c r="H62" i="113"/>
  <c r="J61" i="113"/>
  <c r="H61" i="113"/>
  <c r="J60" i="113"/>
  <c r="H60" i="113"/>
  <c r="D60" i="113"/>
  <c r="J59" i="113"/>
  <c r="G59" i="113"/>
  <c r="L59" i="113" s="1"/>
  <c r="H58" i="113"/>
  <c r="H57" i="113"/>
  <c r="H56" i="113"/>
  <c r="H55" i="113"/>
  <c r="H54" i="113"/>
  <c r="H53" i="113"/>
  <c r="H52" i="113"/>
  <c r="H51" i="113"/>
  <c r="H50" i="113"/>
  <c r="H49" i="113"/>
  <c r="H48" i="113"/>
  <c r="H47" i="113"/>
  <c r="H46" i="113"/>
  <c r="L45" i="113"/>
  <c r="J45" i="113"/>
  <c r="L44" i="113"/>
  <c r="L43" i="113"/>
  <c r="B43" i="113"/>
  <c r="T42" i="113"/>
  <c r="B52" i="113" s="1"/>
  <c r="S42" i="113"/>
  <c r="B57" i="113" s="1"/>
  <c r="R42" i="113"/>
  <c r="B46" i="113" s="1"/>
  <c r="L42" i="113"/>
  <c r="B42" i="113"/>
  <c r="J42" i="113" s="1"/>
  <c r="L41" i="113"/>
  <c r="J41" i="113"/>
  <c r="L40" i="113"/>
  <c r="B40" i="113"/>
  <c r="J40" i="113" s="1"/>
  <c r="L39" i="113"/>
  <c r="J39" i="113"/>
  <c r="L38" i="113"/>
  <c r="B38" i="113"/>
  <c r="B44" i="113" s="1"/>
  <c r="L37" i="113"/>
  <c r="J37" i="113"/>
  <c r="L36" i="113"/>
  <c r="L35" i="113"/>
  <c r="B35" i="113"/>
  <c r="L34" i="113"/>
  <c r="B34" i="113"/>
  <c r="J34" i="113" s="1"/>
  <c r="L33" i="113"/>
  <c r="J33" i="113"/>
  <c r="L32" i="113"/>
  <c r="B32" i="113"/>
  <c r="J32" i="113" s="1"/>
  <c r="L31" i="113"/>
  <c r="J31" i="113"/>
  <c r="L30" i="113"/>
  <c r="B30" i="113"/>
  <c r="B36" i="113" s="1"/>
  <c r="L29" i="113"/>
  <c r="J29" i="113"/>
  <c r="L28" i="113"/>
  <c r="L27" i="113"/>
  <c r="B27" i="113"/>
  <c r="L26" i="113"/>
  <c r="B26" i="113"/>
  <c r="J26" i="113" s="1"/>
  <c r="L25" i="113"/>
  <c r="J25" i="113"/>
  <c r="L24" i="113"/>
  <c r="B24" i="113"/>
  <c r="J24" i="113" s="1"/>
  <c r="L23" i="113"/>
  <c r="J23" i="113"/>
  <c r="L22" i="113"/>
  <c r="B22" i="113"/>
  <c r="B28" i="113" s="1"/>
  <c r="L21" i="113"/>
  <c r="J21" i="113"/>
  <c r="L20" i="113"/>
  <c r="L19" i="113"/>
  <c r="B19" i="113"/>
  <c r="L18" i="113"/>
  <c r="B18" i="113"/>
  <c r="J18" i="113" s="1"/>
  <c r="L17" i="113"/>
  <c r="J17" i="113"/>
  <c r="L16" i="113"/>
  <c r="B16" i="113"/>
  <c r="J16" i="113" s="1"/>
  <c r="L15" i="113"/>
  <c r="J15" i="113"/>
  <c r="L14" i="113"/>
  <c r="B14" i="113"/>
  <c r="B20" i="113" s="1"/>
  <c r="C12" i="109" s="1"/>
  <c r="L13" i="113"/>
  <c r="J13" i="113"/>
  <c r="L12" i="113"/>
  <c r="J12" i="113"/>
  <c r="X10" i="113"/>
  <c r="V10" i="113"/>
  <c r="U10" i="113"/>
  <c r="Z98" i="112"/>
  <c r="B55" i="112" s="1"/>
  <c r="J55" i="112" s="1"/>
  <c r="V98" i="112"/>
  <c r="U98" i="112"/>
  <c r="B51" i="112" s="1"/>
  <c r="J51" i="112" s="1"/>
  <c r="P98" i="112"/>
  <c r="B50" i="112" s="1"/>
  <c r="J50" i="112" s="1"/>
  <c r="X97" i="112"/>
  <c r="Y97" i="112" s="1"/>
  <c r="S97" i="112"/>
  <c r="T97" i="112" s="1"/>
  <c r="X96" i="112"/>
  <c r="Y96" i="112" s="1"/>
  <c r="S96" i="112"/>
  <c r="T96" i="112" s="1"/>
  <c r="X95" i="112"/>
  <c r="Y95" i="112" s="1"/>
  <c r="S95" i="112"/>
  <c r="T95" i="112" s="1"/>
  <c r="X94" i="112"/>
  <c r="Y94" i="112" s="1"/>
  <c r="S94" i="112"/>
  <c r="T94" i="112" s="1"/>
  <c r="X93" i="112"/>
  <c r="Y93" i="112" s="1"/>
  <c r="S93" i="112"/>
  <c r="T93" i="112" s="1"/>
  <c r="X92" i="112"/>
  <c r="Y92" i="112" s="1"/>
  <c r="S92" i="112"/>
  <c r="T92" i="112" s="1"/>
  <c r="X91" i="112"/>
  <c r="Y91" i="112" s="1"/>
  <c r="S91" i="112"/>
  <c r="T91" i="112" s="1"/>
  <c r="X90" i="112"/>
  <c r="Y90" i="112" s="1"/>
  <c r="S90" i="112"/>
  <c r="T90" i="112" s="1"/>
  <c r="X89" i="112"/>
  <c r="Y89" i="112" s="1"/>
  <c r="S89" i="112"/>
  <c r="T89" i="112" s="1"/>
  <c r="X88" i="112"/>
  <c r="Y88" i="112" s="1"/>
  <c r="S88" i="112"/>
  <c r="T88" i="112" s="1"/>
  <c r="X87" i="112"/>
  <c r="Y87" i="112" s="1"/>
  <c r="S87" i="112"/>
  <c r="T87" i="112" s="1"/>
  <c r="X86" i="112"/>
  <c r="Y86" i="112" s="1"/>
  <c r="S86" i="112"/>
  <c r="T86" i="112" s="1"/>
  <c r="X85" i="112"/>
  <c r="Y85" i="112" s="1"/>
  <c r="S85" i="112"/>
  <c r="T85" i="112" s="1"/>
  <c r="X84" i="112"/>
  <c r="Y84" i="112" s="1"/>
  <c r="S84" i="112"/>
  <c r="T84" i="112" s="1"/>
  <c r="X83" i="112"/>
  <c r="Y83" i="112" s="1"/>
  <c r="S83" i="112"/>
  <c r="T83" i="112" s="1"/>
  <c r="X82" i="112"/>
  <c r="Y82" i="112" s="1"/>
  <c r="S82" i="112"/>
  <c r="T82" i="112" s="1"/>
  <c r="X81" i="112"/>
  <c r="Y81" i="112" s="1"/>
  <c r="S81" i="112"/>
  <c r="T81" i="112" s="1"/>
  <c r="X80" i="112"/>
  <c r="Y80" i="112" s="1"/>
  <c r="S80" i="112"/>
  <c r="T80" i="112" s="1"/>
  <c r="X79" i="112"/>
  <c r="Y79" i="112" s="1"/>
  <c r="S79" i="112"/>
  <c r="T79" i="112" s="1"/>
  <c r="H79" i="112"/>
  <c r="X78" i="112"/>
  <c r="S78" i="112"/>
  <c r="T75" i="112"/>
  <c r="R75" i="112"/>
  <c r="B49" i="112" s="1"/>
  <c r="J49" i="112" s="1"/>
  <c r="B70" i="112"/>
  <c r="T69" i="112"/>
  <c r="B54" i="112" s="1"/>
  <c r="J54" i="112" s="1"/>
  <c r="R69" i="112"/>
  <c r="J69" i="112"/>
  <c r="J64" i="112"/>
  <c r="T63" i="112"/>
  <c r="B53" i="112" s="1"/>
  <c r="J53" i="112" s="1"/>
  <c r="S63" i="112"/>
  <c r="B58" i="112" s="1"/>
  <c r="J58" i="112" s="1"/>
  <c r="R63" i="112"/>
  <c r="B47" i="112" s="1"/>
  <c r="J47" i="112" s="1"/>
  <c r="L62" i="112"/>
  <c r="J62" i="112"/>
  <c r="H62" i="112"/>
  <c r="J61" i="112"/>
  <c r="H61" i="112"/>
  <c r="J60" i="112"/>
  <c r="H60" i="112"/>
  <c r="D60" i="112"/>
  <c r="J59" i="112"/>
  <c r="G59" i="112"/>
  <c r="L59" i="112" s="1"/>
  <c r="H58" i="112"/>
  <c r="H57" i="112"/>
  <c r="H56" i="112"/>
  <c r="B56" i="112"/>
  <c r="J56" i="112" s="1"/>
  <c r="H55" i="112"/>
  <c r="H54" i="112"/>
  <c r="H53" i="112"/>
  <c r="H52" i="112"/>
  <c r="H51" i="112"/>
  <c r="H50" i="112"/>
  <c r="H49" i="112"/>
  <c r="H48" i="112"/>
  <c r="B48" i="112"/>
  <c r="J48" i="112" s="1"/>
  <c r="H47" i="112"/>
  <c r="H46" i="112"/>
  <c r="L45" i="112"/>
  <c r="J45" i="112"/>
  <c r="L44" i="112"/>
  <c r="L43" i="112"/>
  <c r="B43" i="112"/>
  <c r="T42" i="112"/>
  <c r="B52" i="112" s="1"/>
  <c r="S42" i="112"/>
  <c r="B57" i="112" s="1"/>
  <c r="R42" i="112"/>
  <c r="B46" i="112" s="1"/>
  <c r="L42" i="112"/>
  <c r="B42" i="112"/>
  <c r="J42" i="112" s="1"/>
  <c r="L41" i="112"/>
  <c r="J41" i="112"/>
  <c r="L40" i="112"/>
  <c r="B40" i="112"/>
  <c r="J40" i="112" s="1"/>
  <c r="L39" i="112"/>
  <c r="J39" i="112"/>
  <c r="L38" i="112"/>
  <c r="B38" i="112"/>
  <c r="B44" i="112" s="1"/>
  <c r="L37" i="112"/>
  <c r="J37" i="112"/>
  <c r="L36" i="112"/>
  <c r="L35" i="112"/>
  <c r="B35" i="112"/>
  <c r="L34" i="112"/>
  <c r="B34" i="112"/>
  <c r="J34" i="112" s="1"/>
  <c r="L33" i="112"/>
  <c r="J33" i="112"/>
  <c r="L32" i="112"/>
  <c r="B32" i="112"/>
  <c r="J32" i="112" s="1"/>
  <c r="L31" i="112"/>
  <c r="J31" i="112"/>
  <c r="L30" i="112"/>
  <c r="B30" i="112"/>
  <c r="B36" i="112" s="1"/>
  <c r="L29" i="112"/>
  <c r="J29" i="112"/>
  <c r="L28" i="112"/>
  <c r="L27" i="112"/>
  <c r="B27" i="112"/>
  <c r="L26" i="112"/>
  <c r="B26" i="112"/>
  <c r="J26" i="112" s="1"/>
  <c r="L25" i="112"/>
  <c r="J25" i="112"/>
  <c r="L24" i="112"/>
  <c r="B24" i="112"/>
  <c r="J24" i="112" s="1"/>
  <c r="L23" i="112"/>
  <c r="J23" i="112"/>
  <c r="L22" i="112"/>
  <c r="B22" i="112"/>
  <c r="B28" i="112" s="1"/>
  <c r="L21" i="112"/>
  <c r="J21" i="112"/>
  <c r="L20" i="112"/>
  <c r="L19" i="112"/>
  <c r="B19" i="112"/>
  <c r="L18" i="112"/>
  <c r="B18" i="112"/>
  <c r="J18" i="112" s="1"/>
  <c r="L17" i="112"/>
  <c r="J17" i="112"/>
  <c r="L16" i="112"/>
  <c r="J16" i="112"/>
  <c r="L15" i="112"/>
  <c r="J15" i="112"/>
  <c r="L14" i="112"/>
  <c r="B14" i="112"/>
  <c r="B20" i="112" s="1"/>
  <c r="C11" i="109" s="1"/>
  <c r="L13" i="112"/>
  <c r="J13" i="112"/>
  <c r="L12" i="112"/>
  <c r="J12" i="112"/>
  <c r="X10" i="112"/>
  <c r="V10" i="112"/>
  <c r="U10" i="112"/>
  <c r="Z98" i="111"/>
  <c r="B55" i="111" s="1"/>
  <c r="J55" i="111" s="1"/>
  <c r="V98" i="111"/>
  <c r="U98" i="111"/>
  <c r="P98" i="111"/>
  <c r="B50" i="111" s="1"/>
  <c r="J50" i="111" s="1"/>
  <c r="X97" i="111"/>
  <c r="Y97" i="111" s="1"/>
  <c r="S97" i="111"/>
  <c r="T97" i="111" s="1"/>
  <c r="X96" i="111"/>
  <c r="Y96" i="111" s="1"/>
  <c r="S96" i="111"/>
  <c r="T96" i="111" s="1"/>
  <c r="X95" i="111"/>
  <c r="Y95" i="111" s="1"/>
  <c r="S95" i="111"/>
  <c r="T95" i="111" s="1"/>
  <c r="X94" i="111"/>
  <c r="Y94" i="111" s="1"/>
  <c r="S94" i="111"/>
  <c r="T94" i="111" s="1"/>
  <c r="X93" i="111"/>
  <c r="Y93" i="111" s="1"/>
  <c r="S93" i="111"/>
  <c r="T93" i="111" s="1"/>
  <c r="X92" i="111"/>
  <c r="Y92" i="111" s="1"/>
  <c r="S92" i="111"/>
  <c r="T92" i="111" s="1"/>
  <c r="X91" i="111"/>
  <c r="Y91" i="111" s="1"/>
  <c r="S91" i="111"/>
  <c r="T91" i="111" s="1"/>
  <c r="X90" i="111"/>
  <c r="Y90" i="111" s="1"/>
  <c r="S90" i="111"/>
  <c r="T90" i="111" s="1"/>
  <c r="X89" i="111"/>
  <c r="Y89" i="111" s="1"/>
  <c r="S89" i="111"/>
  <c r="T89" i="111" s="1"/>
  <c r="X88" i="111"/>
  <c r="Y88" i="111" s="1"/>
  <c r="S88" i="111"/>
  <c r="T88" i="111" s="1"/>
  <c r="X87" i="111"/>
  <c r="Y87" i="111" s="1"/>
  <c r="S87" i="111"/>
  <c r="T87" i="111" s="1"/>
  <c r="X86" i="111"/>
  <c r="Y86" i="111" s="1"/>
  <c r="S86" i="111"/>
  <c r="T86" i="111" s="1"/>
  <c r="X85" i="111"/>
  <c r="Y85" i="111" s="1"/>
  <c r="S85" i="111"/>
  <c r="T85" i="111" s="1"/>
  <c r="X84" i="111"/>
  <c r="Y84" i="111" s="1"/>
  <c r="S84" i="111"/>
  <c r="T84" i="111" s="1"/>
  <c r="X83" i="111"/>
  <c r="Y83" i="111" s="1"/>
  <c r="S83" i="111"/>
  <c r="T83" i="111" s="1"/>
  <c r="X82" i="111"/>
  <c r="Y82" i="111" s="1"/>
  <c r="S82" i="111"/>
  <c r="T82" i="111" s="1"/>
  <c r="X81" i="111"/>
  <c r="Y81" i="111" s="1"/>
  <c r="S81" i="111"/>
  <c r="T81" i="111" s="1"/>
  <c r="X80" i="111"/>
  <c r="Y80" i="111" s="1"/>
  <c r="S80" i="111"/>
  <c r="T80" i="111" s="1"/>
  <c r="X79" i="111"/>
  <c r="Y79" i="111" s="1"/>
  <c r="S79" i="111"/>
  <c r="T79" i="111" s="1"/>
  <c r="H79" i="111"/>
  <c r="X78" i="111"/>
  <c r="S78" i="111"/>
  <c r="T75" i="111"/>
  <c r="B56" i="111" s="1"/>
  <c r="J56" i="111" s="1"/>
  <c r="R75" i="111"/>
  <c r="B49" i="111" s="1"/>
  <c r="J49" i="111" s="1"/>
  <c r="B70" i="111"/>
  <c r="T69" i="111"/>
  <c r="B54" i="111" s="1"/>
  <c r="J54" i="111" s="1"/>
  <c r="R69" i="111"/>
  <c r="B48" i="111" s="1"/>
  <c r="J48" i="111" s="1"/>
  <c r="J69" i="111"/>
  <c r="J64" i="111"/>
  <c r="T63" i="111"/>
  <c r="B53" i="111" s="1"/>
  <c r="J53" i="111" s="1"/>
  <c r="S63" i="111"/>
  <c r="B58" i="111" s="1"/>
  <c r="J58" i="111" s="1"/>
  <c r="R63" i="111"/>
  <c r="L62" i="111"/>
  <c r="J62" i="111"/>
  <c r="H62" i="111"/>
  <c r="J61" i="111"/>
  <c r="H61" i="111"/>
  <c r="J60" i="111"/>
  <c r="H60" i="111"/>
  <c r="D60" i="111"/>
  <c r="J59" i="111"/>
  <c r="G59" i="111"/>
  <c r="L59" i="111" s="1"/>
  <c r="H58" i="111"/>
  <c r="H57" i="111"/>
  <c r="H56" i="111"/>
  <c r="H55" i="111"/>
  <c r="H54" i="111"/>
  <c r="H53" i="111"/>
  <c r="H52" i="111"/>
  <c r="H51" i="111"/>
  <c r="H50" i="111"/>
  <c r="H49" i="111"/>
  <c r="H48" i="111"/>
  <c r="H47" i="111"/>
  <c r="B47" i="111"/>
  <c r="J47" i="111" s="1"/>
  <c r="H46" i="111"/>
  <c r="L45" i="111"/>
  <c r="J45" i="111"/>
  <c r="L44" i="111"/>
  <c r="L43" i="111"/>
  <c r="B43" i="111"/>
  <c r="T42" i="111"/>
  <c r="B52" i="111" s="1"/>
  <c r="S42" i="111"/>
  <c r="B57" i="111" s="1"/>
  <c r="R42" i="111"/>
  <c r="B46" i="111" s="1"/>
  <c r="L42" i="111"/>
  <c r="B42" i="111"/>
  <c r="J42" i="111" s="1"/>
  <c r="L41" i="111"/>
  <c r="J41" i="111"/>
  <c r="L40" i="111"/>
  <c r="B40" i="111"/>
  <c r="J40" i="111" s="1"/>
  <c r="L39" i="111"/>
  <c r="J39" i="111"/>
  <c r="L38" i="111"/>
  <c r="B38" i="111"/>
  <c r="B44" i="111" s="1"/>
  <c r="L37" i="111"/>
  <c r="J37" i="111"/>
  <c r="L36" i="111"/>
  <c r="L35" i="111"/>
  <c r="B35" i="111"/>
  <c r="L34" i="111"/>
  <c r="B34" i="111"/>
  <c r="J34" i="111" s="1"/>
  <c r="L33" i="111"/>
  <c r="J33" i="111"/>
  <c r="L32" i="111"/>
  <c r="B32" i="111"/>
  <c r="J32" i="111" s="1"/>
  <c r="L31" i="111"/>
  <c r="J31" i="111"/>
  <c r="L30" i="111"/>
  <c r="B30" i="111"/>
  <c r="B36" i="111" s="1"/>
  <c r="L29" i="111"/>
  <c r="J29" i="111"/>
  <c r="L28" i="111"/>
  <c r="L27" i="111"/>
  <c r="B27" i="111"/>
  <c r="L26" i="111"/>
  <c r="B26" i="111"/>
  <c r="J26" i="111" s="1"/>
  <c r="L25" i="111"/>
  <c r="J25" i="111"/>
  <c r="L24" i="111"/>
  <c r="B24" i="111"/>
  <c r="J24" i="111" s="1"/>
  <c r="L23" i="111"/>
  <c r="J23" i="111"/>
  <c r="L22" i="111"/>
  <c r="B22" i="111"/>
  <c r="B28" i="111" s="1"/>
  <c r="L21" i="111"/>
  <c r="J21" i="111"/>
  <c r="L20" i="111"/>
  <c r="L19" i="111"/>
  <c r="B19" i="111"/>
  <c r="L18" i="111"/>
  <c r="B18" i="111"/>
  <c r="J18" i="111" s="1"/>
  <c r="L17" i="111"/>
  <c r="J17" i="111"/>
  <c r="L16" i="111"/>
  <c r="B16" i="111"/>
  <c r="J16" i="111" s="1"/>
  <c r="L15" i="111"/>
  <c r="J15" i="111"/>
  <c r="L14" i="111"/>
  <c r="B14" i="111"/>
  <c r="B20" i="111" s="1"/>
  <c r="C10" i="109" s="1"/>
  <c r="L13" i="111"/>
  <c r="J13" i="111"/>
  <c r="L12" i="111"/>
  <c r="J12" i="111"/>
  <c r="X10" i="111"/>
  <c r="V10" i="111"/>
  <c r="U10" i="111"/>
  <c r="Z98" i="110"/>
  <c r="B55" i="110" s="1"/>
  <c r="J55" i="110" s="1"/>
  <c r="V98" i="110"/>
  <c r="U98" i="110"/>
  <c r="P98" i="110"/>
  <c r="B50" i="110" s="1"/>
  <c r="J50" i="110" s="1"/>
  <c r="X97" i="110"/>
  <c r="Y97" i="110" s="1"/>
  <c r="S97" i="110"/>
  <c r="T97" i="110" s="1"/>
  <c r="X96" i="110"/>
  <c r="Y96" i="110" s="1"/>
  <c r="S96" i="110"/>
  <c r="T96" i="110" s="1"/>
  <c r="X95" i="110"/>
  <c r="Y95" i="110" s="1"/>
  <c r="S95" i="110"/>
  <c r="T95" i="110" s="1"/>
  <c r="X94" i="110"/>
  <c r="Y94" i="110" s="1"/>
  <c r="S94" i="110"/>
  <c r="T94" i="110" s="1"/>
  <c r="X93" i="110"/>
  <c r="Y93" i="110" s="1"/>
  <c r="S93" i="110"/>
  <c r="T93" i="110" s="1"/>
  <c r="X92" i="110"/>
  <c r="Y92" i="110" s="1"/>
  <c r="S92" i="110"/>
  <c r="T92" i="110" s="1"/>
  <c r="X91" i="110"/>
  <c r="Y91" i="110" s="1"/>
  <c r="S91" i="110"/>
  <c r="T91" i="110" s="1"/>
  <c r="X90" i="110"/>
  <c r="Y90" i="110" s="1"/>
  <c r="S90" i="110"/>
  <c r="T90" i="110" s="1"/>
  <c r="X89" i="110"/>
  <c r="Y89" i="110" s="1"/>
  <c r="S89" i="110"/>
  <c r="T89" i="110" s="1"/>
  <c r="X88" i="110"/>
  <c r="Y88" i="110" s="1"/>
  <c r="S88" i="110"/>
  <c r="T88" i="110" s="1"/>
  <c r="X87" i="110"/>
  <c r="Y87" i="110" s="1"/>
  <c r="S87" i="110"/>
  <c r="T87" i="110" s="1"/>
  <c r="X86" i="110"/>
  <c r="Y86" i="110" s="1"/>
  <c r="S86" i="110"/>
  <c r="T86" i="110" s="1"/>
  <c r="X85" i="110"/>
  <c r="Y85" i="110" s="1"/>
  <c r="S85" i="110"/>
  <c r="T85" i="110" s="1"/>
  <c r="X84" i="110"/>
  <c r="Y84" i="110" s="1"/>
  <c r="S84" i="110"/>
  <c r="T84" i="110" s="1"/>
  <c r="X83" i="110"/>
  <c r="Y83" i="110" s="1"/>
  <c r="S83" i="110"/>
  <c r="T83" i="110" s="1"/>
  <c r="X82" i="110"/>
  <c r="Y82" i="110" s="1"/>
  <c r="S82" i="110"/>
  <c r="T82" i="110" s="1"/>
  <c r="X81" i="110"/>
  <c r="Y81" i="110" s="1"/>
  <c r="S81" i="110"/>
  <c r="T81" i="110" s="1"/>
  <c r="X80" i="110"/>
  <c r="Y80" i="110" s="1"/>
  <c r="S80" i="110"/>
  <c r="T80" i="110" s="1"/>
  <c r="X79" i="110"/>
  <c r="Y79" i="110" s="1"/>
  <c r="S79" i="110"/>
  <c r="T79" i="110" s="1"/>
  <c r="X78" i="110"/>
  <c r="S78" i="110"/>
  <c r="T75" i="110"/>
  <c r="B56" i="110" s="1"/>
  <c r="J56" i="110" s="1"/>
  <c r="R75" i="110"/>
  <c r="B49" i="110" s="1"/>
  <c r="J49" i="110" s="1"/>
  <c r="B70" i="110"/>
  <c r="T69" i="110"/>
  <c r="R69" i="110"/>
  <c r="B48" i="110" s="1"/>
  <c r="J48" i="110" s="1"/>
  <c r="J69" i="110"/>
  <c r="J64" i="110"/>
  <c r="T63" i="110"/>
  <c r="S63" i="110"/>
  <c r="B58" i="110" s="1"/>
  <c r="J58" i="110" s="1"/>
  <c r="R63" i="110"/>
  <c r="B47" i="110" s="1"/>
  <c r="J47" i="110" s="1"/>
  <c r="L62" i="110"/>
  <c r="J62" i="110"/>
  <c r="H62" i="110"/>
  <c r="J61" i="110"/>
  <c r="H61" i="110"/>
  <c r="J60" i="110"/>
  <c r="H60" i="110"/>
  <c r="D60" i="110"/>
  <c r="J59" i="110"/>
  <c r="G59" i="110"/>
  <c r="L59" i="110" s="1"/>
  <c r="H58" i="110"/>
  <c r="H57" i="110"/>
  <c r="H56" i="110"/>
  <c r="H55" i="110"/>
  <c r="H54" i="110"/>
  <c r="B54" i="110"/>
  <c r="J54" i="110" s="1"/>
  <c r="H53" i="110"/>
  <c r="B53" i="110"/>
  <c r="J53" i="110" s="1"/>
  <c r="H52" i="110"/>
  <c r="H51" i="110"/>
  <c r="H50" i="110"/>
  <c r="H49" i="110"/>
  <c r="H48" i="110"/>
  <c r="H47" i="110"/>
  <c r="H46" i="110"/>
  <c r="L45" i="110"/>
  <c r="J45" i="110"/>
  <c r="L44" i="110"/>
  <c r="L43" i="110"/>
  <c r="B43" i="110"/>
  <c r="T42" i="110"/>
  <c r="B52" i="110" s="1"/>
  <c r="S42" i="110"/>
  <c r="B57" i="110" s="1"/>
  <c r="R42" i="110"/>
  <c r="B46" i="110" s="1"/>
  <c r="L42" i="110"/>
  <c r="B42" i="110"/>
  <c r="J42" i="110" s="1"/>
  <c r="L41" i="110"/>
  <c r="J41" i="110"/>
  <c r="L40" i="110"/>
  <c r="B40" i="110"/>
  <c r="J40" i="110" s="1"/>
  <c r="L39" i="110"/>
  <c r="J39" i="110"/>
  <c r="L38" i="110"/>
  <c r="B38" i="110"/>
  <c r="B44" i="110" s="1"/>
  <c r="L37" i="110"/>
  <c r="J37" i="110"/>
  <c r="L36" i="110"/>
  <c r="L35" i="110"/>
  <c r="B35" i="110"/>
  <c r="L34" i="110"/>
  <c r="B34" i="110"/>
  <c r="J34" i="110" s="1"/>
  <c r="L33" i="110"/>
  <c r="J33" i="110"/>
  <c r="L32" i="110"/>
  <c r="B32" i="110"/>
  <c r="J32" i="110" s="1"/>
  <c r="L31" i="110"/>
  <c r="J31" i="110"/>
  <c r="L30" i="110"/>
  <c r="B30" i="110"/>
  <c r="B36" i="110" s="1"/>
  <c r="L29" i="110"/>
  <c r="J29" i="110"/>
  <c r="L28" i="110"/>
  <c r="L27" i="110"/>
  <c r="B27" i="110"/>
  <c r="L26" i="110"/>
  <c r="B26" i="110"/>
  <c r="J26" i="110" s="1"/>
  <c r="L25" i="110"/>
  <c r="J25" i="110"/>
  <c r="L24" i="110"/>
  <c r="B24" i="110"/>
  <c r="J24" i="110" s="1"/>
  <c r="L23" i="110"/>
  <c r="J23" i="110"/>
  <c r="L22" i="110"/>
  <c r="B22" i="110"/>
  <c r="B28" i="110" s="1"/>
  <c r="L21" i="110"/>
  <c r="J21" i="110"/>
  <c r="L20" i="110"/>
  <c r="L19" i="110"/>
  <c r="B19" i="110"/>
  <c r="L18" i="110"/>
  <c r="B18" i="110"/>
  <c r="J18" i="110" s="1"/>
  <c r="L17" i="110"/>
  <c r="J17" i="110"/>
  <c r="L16" i="110"/>
  <c r="B16" i="110"/>
  <c r="J16" i="110" s="1"/>
  <c r="L15" i="110"/>
  <c r="J15" i="110"/>
  <c r="L14" i="110"/>
  <c r="B14" i="110"/>
  <c r="B20" i="110" s="1"/>
  <c r="C9" i="109" s="1"/>
  <c r="L13" i="110"/>
  <c r="J13" i="110"/>
  <c r="L12" i="110"/>
  <c r="J12" i="110"/>
  <c r="X10" i="110"/>
  <c r="V10" i="110"/>
  <c r="U10" i="110"/>
  <c r="H79" i="40"/>
  <c r="J69" i="40"/>
  <c r="B36" i="115" l="1"/>
  <c r="L36" i="115" s="1"/>
  <c r="L30" i="115"/>
  <c r="B51" i="120"/>
  <c r="J51" i="120" s="1"/>
  <c r="B51" i="127"/>
  <c r="J51" i="127" s="1"/>
  <c r="B20" i="133"/>
  <c r="C32" i="109" s="1"/>
  <c r="D52" i="132"/>
  <c r="B51" i="134"/>
  <c r="J51" i="134" s="1"/>
  <c r="B51" i="128"/>
  <c r="J51" i="128" s="1"/>
  <c r="B51" i="129"/>
  <c r="J51" i="129" s="1"/>
  <c r="B51" i="132"/>
  <c r="J51" i="132" s="1"/>
  <c r="B51" i="121"/>
  <c r="J51" i="121" s="1"/>
  <c r="X98" i="125"/>
  <c r="F52" i="117"/>
  <c r="D52" i="117"/>
  <c r="J53" i="117"/>
  <c r="F53" i="117"/>
  <c r="B51" i="119"/>
  <c r="J51" i="119" s="1"/>
  <c r="X98" i="131"/>
  <c r="B51" i="138"/>
  <c r="J51" i="138" s="1"/>
  <c r="B50" i="138"/>
  <c r="J50" i="138" s="1"/>
  <c r="B51" i="113"/>
  <c r="J51" i="113" s="1"/>
  <c r="B51" i="114"/>
  <c r="J51" i="114" s="1"/>
  <c r="B51" i="115"/>
  <c r="J51" i="115" s="1"/>
  <c r="B51" i="116"/>
  <c r="J51" i="116" s="1"/>
  <c r="B51" i="118"/>
  <c r="J51" i="118" s="1"/>
  <c r="B51" i="122"/>
  <c r="J51" i="122" s="1"/>
  <c r="B50" i="126"/>
  <c r="D50" i="126" s="1"/>
  <c r="F50" i="126" s="1"/>
  <c r="X98" i="128"/>
  <c r="B51" i="131"/>
  <c r="J51" i="131" s="1"/>
  <c r="B51" i="133"/>
  <c r="J51" i="133" s="1"/>
  <c r="B51" i="110"/>
  <c r="J51" i="110" s="1"/>
  <c r="B51" i="111"/>
  <c r="J51" i="111" s="1"/>
  <c r="B51" i="124"/>
  <c r="J51" i="124" s="1"/>
  <c r="B51" i="126"/>
  <c r="J51" i="126" s="1"/>
  <c r="B51" i="135"/>
  <c r="J51" i="135" s="1"/>
  <c r="B51" i="136"/>
  <c r="J51" i="136" s="1"/>
  <c r="B51" i="137"/>
  <c r="J51" i="137" s="1"/>
  <c r="S98" i="138"/>
  <c r="X98" i="139"/>
  <c r="B50" i="139"/>
  <c r="J50" i="139" s="1"/>
  <c r="B51" i="139"/>
  <c r="J51" i="139" s="1"/>
  <c r="D11" i="77"/>
  <c r="D13" i="77"/>
  <c r="D27" i="77"/>
  <c r="D31" i="77"/>
  <c r="D33" i="77"/>
  <c r="D35" i="77"/>
  <c r="D37" i="77"/>
  <c r="X98" i="137"/>
  <c r="B50" i="137"/>
  <c r="J50" i="137" s="1"/>
  <c r="S98" i="136"/>
  <c r="X98" i="135"/>
  <c r="B50" i="135"/>
  <c r="J50" i="135" s="1"/>
  <c r="S98" i="134"/>
  <c r="X98" i="133"/>
  <c r="B50" i="133"/>
  <c r="J50" i="133" s="1"/>
  <c r="S98" i="132"/>
  <c r="B51" i="130"/>
  <c r="J51" i="130" s="1"/>
  <c r="B50" i="130"/>
  <c r="J50" i="130" s="1"/>
  <c r="D29" i="77"/>
  <c r="B50" i="129"/>
  <c r="J50" i="129" s="1"/>
  <c r="S98" i="129"/>
  <c r="B50" i="128"/>
  <c r="J50" i="128" s="1"/>
  <c r="S98" i="127"/>
  <c r="D25" i="77"/>
  <c r="X98" i="126"/>
  <c r="J50" i="126"/>
  <c r="B51" i="117"/>
  <c r="J51" i="117" s="1"/>
  <c r="X98" i="122"/>
  <c r="B51" i="125"/>
  <c r="J51" i="125" s="1"/>
  <c r="S98" i="126"/>
  <c r="X98" i="127"/>
  <c r="S98" i="128"/>
  <c r="X98" i="129"/>
  <c r="X98" i="130"/>
  <c r="S98" i="131"/>
  <c r="X98" i="132"/>
  <c r="S98" i="133"/>
  <c r="X98" i="134"/>
  <c r="S98" i="135"/>
  <c r="X98" i="136"/>
  <c r="S98" i="137"/>
  <c r="X98" i="138"/>
  <c r="S98" i="139"/>
  <c r="D10" i="77"/>
  <c r="D12" i="77"/>
  <c r="D16" i="77"/>
  <c r="D20" i="77"/>
  <c r="D22" i="77"/>
  <c r="D24" i="77"/>
  <c r="D26" i="77"/>
  <c r="D28" i="77"/>
  <c r="D30" i="77"/>
  <c r="D32" i="77"/>
  <c r="D34" i="77"/>
  <c r="D36" i="77"/>
  <c r="D38" i="77"/>
  <c r="B50" i="125"/>
  <c r="J50" i="125" s="1"/>
  <c r="S98" i="125"/>
  <c r="X98" i="124"/>
  <c r="S98" i="124"/>
  <c r="D23" i="77"/>
  <c r="S98" i="123"/>
  <c r="D21" i="77"/>
  <c r="B50" i="122"/>
  <c r="J50" i="122" s="1"/>
  <c r="S98" i="122"/>
  <c r="B50" i="121"/>
  <c r="J50" i="121" s="1"/>
  <c r="X98" i="121"/>
  <c r="S98" i="121"/>
  <c r="D19" i="77"/>
  <c r="B50" i="120"/>
  <c r="J50" i="120" s="1"/>
  <c r="X98" i="120"/>
  <c r="S98" i="120"/>
  <c r="S98" i="115"/>
  <c r="D18" i="77"/>
  <c r="X98" i="119"/>
  <c r="S98" i="119"/>
  <c r="D17" i="77"/>
  <c r="X98" i="118"/>
  <c r="S98" i="118"/>
  <c r="B50" i="117"/>
  <c r="J50" i="117" s="1"/>
  <c r="X98" i="117"/>
  <c r="S98" i="117"/>
  <c r="S98" i="116"/>
  <c r="X98" i="116"/>
  <c r="D15" i="77"/>
  <c r="X98" i="115"/>
  <c r="D14" i="77"/>
  <c r="X98" i="114"/>
  <c r="S98" i="114"/>
  <c r="X98" i="113"/>
  <c r="X98" i="112"/>
  <c r="S98" i="112"/>
  <c r="X98" i="111"/>
  <c r="S98" i="111"/>
  <c r="X98" i="110"/>
  <c r="S98" i="110"/>
  <c r="D9" i="77"/>
  <c r="J28" i="110"/>
  <c r="E9" i="109"/>
  <c r="J27" i="110"/>
  <c r="D9" i="109"/>
  <c r="J44" i="110"/>
  <c r="I9" i="109"/>
  <c r="J19" i="111"/>
  <c r="B10" i="109"/>
  <c r="J36" i="111"/>
  <c r="G10" i="109"/>
  <c r="J35" i="111"/>
  <c r="F10" i="109"/>
  <c r="J43" i="111"/>
  <c r="H10" i="109"/>
  <c r="J28" i="112"/>
  <c r="E11" i="109"/>
  <c r="J27" i="112"/>
  <c r="D11" i="109"/>
  <c r="J44" i="112"/>
  <c r="I11" i="109"/>
  <c r="J19" i="113"/>
  <c r="B12" i="109"/>
  <c r="J36" i="113"/>
  <c r="G12" i="109"/>
  <c r="J35" i="113"/>
  <c r="F12" i="109"/>
  <c r="J43" i="113"/>
  <c r="H12" i="109"/>
  <c r="S98" i="113"/>
  <c r="J28" i="114"/>
  <c r="E13" i="109"/>
  <c r="J27" i="114"/>
  <c r="D13" i="109"/>
  <c r="J44" i="114"/>
  <c r="I13" i="109"/>
  <c r="J19" i="115"/>
  <c r="B14" i="109"/>
  <c r="J35" i="115"/>
  <c r="F14" i="109"/>
  <c r="J43" i="115"/>
  <c r="H14" i="109"/>
  <c r="J28" i="116"/>
  <c r="E15" i="109"/>
  <c r="J27" i="116"/>
  <c r="D15" i="109"/>
  <c r="J44" i="116"/>
  <c r="I15" i="109"/>
  <c r="J19" i="117"/>
  <c r="B16" i="109"/>
  <c r="J36" i="117"/>
  <c r="G16" i="109"/>
  <c r="J35" i="117"/>
  <c r="F16" i="109"/>
  <c r="J43" i="117"/>
  <c r="H16" i="109"/>
  <c r="J28" i="118"/>
  <c r="E17" i="109"/>
  <c r="J27" i="118"/>
  <c r="D17" i="109"/>
  <c r="J44" i="118"/>
  <c r="I17" i="109"/>
  <c r="J19" i="119"/>
  <c r="B18" i="109"/>
  <c r="J36" i="119"/>
  <c r="G18" i="109"/>
  <c r="J35" i="119"/>
  <c r="F18" i="109"/>
  <c r="J43" i="119"/>
  <c r="H18" i="109"/>
  <c r="J28" i="120"/>
  <c r="E19" i="109"/>
  <c r="J27" i="120"/>
  <c r="D19" i="109"/>
  <c r="J44" i="120"/>
  <c r="I19" i="109"/>
  <c r="J19" i="121"/>
  <c r="B20" i="109"/>
  <c r="J36" i="121"/>
  <c r="G20" i="109"/>
  <c r="J35" i="121"/>
  <c r="F20" i="109"/>
  <c r="J43" i="121"/>
  <c r="H20" i="109"/>
  <c r="J28" i="122"/>
  <c r="E21" i="109"/>
  <c r="J27" i="122"/>
  <c r="D21" i="109"/>
  <c r="J44" i="122"/>
  <c r="I21" i="109"/>
  <c r="J19" i="123"/>
  <c r="B22" i="109"/>
  <c r="J36" i="123"/>
  <c r="G22" i="109"/>
  <c r="J35" i="123"/>
  <c r="F22" i="109"/>
  <c r="J43" i="123"/>
  <c r="H22" i="109"/>
  <c r="J28" i="124"/>
  <c r="E23" i="109"/>
  <c r="J27" i="124"/>
  <c r="D23" i="109"/>
  <c r="J44" i="124"/>
  <c r="I23" i="109"/>
  <c r="J19" i="125"/>
  <c r="B24" i="109"/>
  <c r="J36" i="125"/>
  <c r="G24" i="109"/>
  <c r="J35" i="125"/>
  <c r="F24" i="109"/>
  <c r="J43" i="125"/>
  <c r="H24" i="109"/>
  <c r="J28" i="126"/>
  <c r="E25" i="109"/>
  <c r="J27" i="126"/>
  <c r="D25" i="109"/>
  <c r="J44" i="126"/>
  <c r="I25" i="109"/>
  <c r="J19" i="127"/>
  <c r="B26" i="109"/>
  <c r="J36" i="127"/>
  <c r="G26" i="109"/>
  <c r="J35" i="127"/>
  <c r="F26" i="109"/>
  <c r="J43" i="127"/>
  <c r="H26" i="109"/>
  <c r="J28" i="128"/>
  <c r="E27" i="109"/>
  <c r="J27" i="128"/>
  <c r="D27" i="109"/>
  <c r="J44" i="128"/>
  <c r="I27" i="109"/>
  <c r="J19" i="129"/>
  <c r="B28" i="109"/>
  <c r="J36" i="129"/>
  <c r="G28" i="109"/>
  <c r="J35" i="129"/>
  <c r="F28" i="109"/>
  <c r="J43" i="129"/>
  <c r="H28" i="109"/>
  <c r="J28" i="130"/>
  <c r="E29" i="109"/>
  <c r="J27" i="130"/>
  <c r="D29" i="109"/>
  <c r="J44" i="130"/>
  <c r="I29" i="109"/>
  <c r="J19" i="131"/>
  <c r="B30" i="109"/>
  <c r="J36" i="131"/>
  <c r="G30" i="109"/>
  <c r="J35" i="131"/>
  <c r="F30" i="109"/>
  <c r="J43" i="131"/>
  <c r="H30" i="109"/>
  <c r="J28" i="132"/>
  <c r="E31" i="109"/>
  <c r="J27" i="132"/>
  <c r="D31" i="109"/>
  <c r="J44" i="132"/>
  <c r="I31" i="109"/>
  <c r="J19" i="133"/>
  <c r="B32" i="109"/>
  <c r="J36" i="133"/>
  <c r="G32" i="109"/>
  <c r="J35" i="133"/>
  <c r="F32" i="109"/>
  <c r="J43" i="133"/>
  <c r="H32" i="109"/>
  <c r="J28" i="134"/>
  <c r="E33" i="109"/>
  <c r="J27" i="134"/>
  <c r="D33" i="109"/>
  <c r="J44" i="134"/>
  <c r="I33" i="109"/>
  <c r="J19" i="135"/>
  <c r="B34" i="109"/>
  <c r="J36" i="135"/>
  <c r="G34" i="109"/>
  <c r="J35" i="135"/>
  <c r="F34" i="109"/>
  <c r="J43" i="135"/>
  <c r="H34" i="109"/>
  <c r="J28" i="136"/>
  <c r="E35" i="109"/>
  <c r="J27" i="136"/>
  <c r="D35" i="109"/>
  <c r="J44" i="136"/>
  <c r="I35" i="109"/>
  <c r="J19" i="137"/>
  <c r="B36" i="109"/>
  <c r="J36" i="137"/>
  <c r="G36" i="109"/>
  <c r="J35" i="137"/>
  <c r="F36" i="109"/>
  <c r="J43" i="137"/>
  <c r="H36" i="109"/>
  <c r="J28" i="138"/>
  <c r="E37" i="109"/>
  <c r="J27" i="138"/>
  <c r="D37" i="109"/>
  <c r="J44" i="138"/>
  <c r="I37" i="109"/>
  <c r="J19" i="139"/>
  <c r="B38" i="109"/>
  <c r="J36" i="139"/>
  <c r="G38" i="109"/>
  <c r="J35" i="139"/>
  <c r="F38" i="109"/>
  <c r="J43" i="139"/>
  <c r="H38" i="109"/>
  <c r="J19" i="110"/>
  <c r="B9" i="109"/>
  <c r="J36" i="110"/>
  <c r="G9" i="109"/>
  <c r="J35" i="110"/>
  <c r="F9" i="109"/>
  <c r="J43" i="110"/>
  <c r="H9" i="109"/>
  <c r="J28" i="111"/>
  <c r="E10" i="109"/>
  <c r="J27" i="111"/>
  <c r="D10" i="109"/>
  <c r="J44" i="111"/>
  <c r="I10" i="109"/>
  <c r="J19" i="112"/>
  <c r="B11" i="109"/>
  <c r="J36" i="112"/>
  <c r="G11" i="109"/>
  <c r="J35" i="112"/>
  <c r="F11" i="109"/>
  <c r="J43" i="112"/>
  <c r="H11" i="109"/>
  <c r="J28" i="113"/>
  <c r="E12" i="109"/>
  <c r="J27" i="113"/>
  <c r="D12" i="109"/>
  <c r="J44" i="113"/>
  <c r="I12" i="109"/>
  <c r="J19" i="114"/>
  <c r="B13" i="109"/>
  <c r="J36" i="114"/>
  <c r="G13" i="109"/>
  <c r="J35" i="114"/>
  <c r="F13" i="109"/>
  <c r="J43" i="114"/>
  <c r="H13" i="109"/>
  <c r="J28" i="115"/>
  <c r="E14" i="109"/>
  <c r="J27" i="115"/>
  <c r="D14" i="109"/>
  <c r="J44" i="115"/>
  <c r="I14" i="109"/>
  <c r="J19" i="116"/>
  <c r="B15" i="109"/>
  <c r="J36" i="116"/>
  <c r="G15" i="109"/>
  <c r="J35" i="116"/>
  <c r="F15" i="109"/>
  <c r="J43" i="116"/>
  <c r="H15" i="109"/>
  <c r="J28" i="117"/>
  <c r="E16" i="109"/>
  <c r="J27" i="117"/>
  <c r="D16" i="109"/>
  <c r="J44" i="117"/>
  <c r="I16" i="109"/>
  <c r="J19" i="118"/>
  <c r="B17" i="109"/>
  <c r="J36" i="118"/>
  <c r="G17" i="109"/>
  <c r="J35" i="118"/>
  <c r="F17" i="109"/>
  <c r="J43" i="118"/>
  <c r="H17" i="109"/>
  <c r="J28" i="119"/>
  <c r="E18" i="109"/>
  <c r="J27" i="119"/>
  <c r="D18" i="109"/>
  <c r="J44" i="119"/>
  <c r="I18" i="109"/>
  <c r="J19" i="120"/>
  <c r="B19" i="109"/>
  <c r="J36" i="120"/>
  <c r="G19" i="109"/>
  <c r="J35" i="120"/>
  <c r="F19" i="109"/>
  <c r="J43" i="120"/>
  <c r="H19" i="109"/>
  <c r="J28" i="121"/>
  <c r="E20" i="109"/>
  <c r="J27" i="121"/>
  <c r="D20" i="109"/>
  <c r="J44" i="121"/>
  <c r="I20" i="109"/>
  <c r="J19" i="122"/>
  <c r="B21" i="109"/>
  <c r="J36" i="122"/>
  <c r="G21" i="109"/>
  <c r="J35" i="122"/>
  <c r="F21" i="109"/>
  <c r="J43" i="122"/>
  <c r="H21" i="109"/>
  <c r="J28" i="123"/>
  <c r="E22" i="109"/>
  <c r="J27" i="123"/>
  <c r="D22" i="109"/>
  <c r="J44" i="123"/>
  <c r="I22" i="109"/>
  <c r="X98" i="123"/>
  <c r="J19" i="124"/>
  <c r="B23" i="109"/>
  <c r="J36" i="124"/>
  <c r="G23" i="109"/>
  <c r="J35" i="124"/>
  <c r="F23" i="109"/>
  <c r="J43" i="124"/>
  <c r="H23" i="109"/>
  <c r="J28" i="125"/>
  <c r="E24" i="109"/>
  <c r="J27" i="125"/>
  <c r="D24" i="109"/>
  <c r="J44" i="125"/>
  <c r="I24" i="109"/>
  <c r="J19" i="126"/>
  <c r="B25" i="109"/>
  <c r="J36" i="126"/>
  <c r="G25" i="109"/>
  <c r="J35" i="126"/>
  <c r="F25" i="109"/>
  <c r="J43" i="126"/>
  <c r="H25" i="109"/>
  <c r="J28" i="127"/>
  <c r="E26" i="109"/>
  <c r="J27" i="127"/>
  <c r="D26" i="109"/>
  <c r="J44" i="127"/>
  <c r="I26" i="109"/>
  <c r="J19" i="128"/>
  <c r="B27" i="109"/>
  <c r="J36" i="128"/>
  <c r="G27" i="109"/>
  <c r="J35" i="128"/>
  <c r="F27" i="109"/>
  <c r="J43" i="128"/>
  <c r="H27" i="109"/>
  <c r="J28" i="129"/>
  <c r="E28" i="109"/>
  <c r="J27" i="129"/>
  <c r="D28" i="109"/>
  <c r="J44" i="129"/>
  <c r="I28" i="109"/>
  <c r="J19" i="130"/>
  <c r="B29" i="109"/>
  <c r="J36" i="130"/>
  <c r="G29" i="109"/>
  <c r="J35" i="130"/>
  <c r="F29" i="109"/>
  <c r="J43" i="130"/>
  <c r="H29" i="109"/>
  <c r="S98" i="130"/>
  <c r="J28" i="131"/>
  <c r="E30" i="109"/>
  <c r="J27" i="131"/>
  <c r="D30" i="109"/>
  <c r="J44" i="131"/>
  <c r="I30" i="109"/>
  <c r="J19" i="132"/>
  <c r="B31" i="109"/>
  <c r="J36" i="132"/>
  <c r="G31" i="109"/>
  <c r="J35" i="132"/>
  <c r="F31" i="109"/>
  <c r="J43" i="132"/>
  <c r="H31" i="109"/>
  <c r="J28" i="133"/>
  <c r="E32" i="109"/>
  <c r="J27" i="133"/>
  <c r="D32" i="109"/>
  <c r="J44" i="133"/>
  <c r="I32" i="109"/>
  <c r="J19" i="134"/>
  <c r="B33" i="109"/>
  <c r="J36" i="134"/>
  <c r="G33" i="109"/>
  <c r="J35" i="134"/>
  <c r="F33" i="109"/>
  <c r="J43" i="134"/>
  <c r="H33" i="109"/>
  <c r="J28" i="135"/>
  <c r="E34" i="109"/>
  <c r="J27" i="135"/>
  <c r="D34" i="109"/>
  <c r="J44" i="135"/>
  <c r="I34" i="109"/>
  <c r="J19" i="136"/>
  <c r="B35" i="109"/>
  <c r="J36" i="136"/>
  <c r="G35" i="109"/>
  <c r="J35" i="136"/>
  <c r="F35" i="109"/>
  <c r="J43" i="136"/>
  <c r="H35" i="109"/>
  <c r="J28" i="137"/>
  <c r="E36" i="109"/>
  <c r="J27" i="137"/>
  <c r="D36" i="109"/>
  <c r="J44" i="137"/>
  <c r="I36" i="109"/>
  <c r="J19" i="138"/>
  <c r="B37" i="109"/>
  <c r="J36" i="138"/>
  <c r="G37" i="109"/>
  <c r="J35" i="138"/>
  <c r="F37" i="109"/>
  <c r="J43" i="138"/>
  <c r="H37" i="109"/>
  <c r="J28" i="139"/>
  <c r="E38" i="109"/>
  <c r="J27" i="139"/>
  <c r="D38" i="109"/>
  <c r="J44" i="139"/>
  <c r="I38" i="109"/>
  <c r="J20" i="139"/>
  <c r="AA97" i="139"/>
  <c r="AA96" i="139"/>
  <c r="AA95" i="139"/>
  <c r="AA94" i="139"/>
  <c r="AA93" i="139"/>
  <c r="AA92" i="139"/>
  <c r="AA91" i="139"/>
  <c r="AA90" i="139"/>
  <c r="AA89" i="139"/>
  <c r="AA88" i="139"/>
  <c r="AA87" i="139"/>
  <c r="AA86" i="139"/>
  <c r="AA85" i="139"/>
  <c r="AA84" i="139"/>
  <c r="AA83" i="139"/>
  <c r="AA82" i="139"/>
  <c r="AA81" i="139"/>
  <c r="AA80" i="139"/>
  <c r="AA79" i="139"/>
  <c r="AA78" i="139"/>
  <c r="U74" i="139"/>
  <c r="U73" i="139"/>
  <c r="U72" i="139"/>
  <c r="U71" i="139"/>
  <c r="U70" i="139"/>
  <c r="U68" i="139"/>
  <c r="U67" i="139"/>
  <c r="U66" i="139"/>
  <c r="U65" i="139"/>
  <c r="U64" i="139"/>
  <c r="U62" i="139"/>
  <c r="U61" i="139"/>
  <c r="U60" i="139"/>
  <c r="U59" i="139"/>
  <c r="U58" i="139"/>
  <c r="U57" i="139"/>
  <c r="U56" i="139"/>
  <c r="U55" i="139"/>
  <c r="U54" i="139"/>
  <c r="U53" i="139"/>
  <c r="U52" i="139"/>
  <c r="U51" i="139"/>
  <c r="U50" i="139"/>
  <c r="U49" i="139"/>
  <c r="U48" i="139"/>
  <c r="U47" i="139"/>
  <c r="U46" i="139"/>
  <c r="U45" i="139"/>
  <c r="U44" i="139"/>
  <c r="U43" i="139"/>
  <c r="U41" i="139"/>
  <c r="U40" i="139"/>
  <c r="U39" i="139"/>
  <c r="U38" i="139"/>
  <c r="U37" i="139"/>
  <c r="U36" i="139"/>
  <c r="U35" i="139"/>
  <c r="U34" i="139"/>
  <c r="U33" i="139"/>
  <c r="U32" i="139"/>
  <c r="U31" i="139"/>
  <c r="U30" i="139"/>
  <c r="U29" i="139"/>
  <c r="U28" i="139"/>
  <c r="U27" i="139"/>
  <c r="U26" i="139"/>
  <c r="U25" i="139"/>
  <c r="U24" i="139"/>
  <c r="U23" i="139"/>
  <c r="U22" i="139"/>
  <c r="W74" i="139"/>
  <c r="Z74" i="139" s="1"/>
  <c r="V74" i="139"/>
  <c r="Y74" i="139" s="1"/>
  <c r="W73" i="139"/>
  <c r="Z73" i="139" s="1"/>
  <c r="V73" i="139"/>
  <c r="Y73" i="139" s="1"/>
  <c r="W72" i="139"/>
  <c r="Z72" i="139" s="1"/>
  <c r="V72" i="139"/>
  <c r="Y72" i="139" s="1"/>
  <c r="W71" i="139"/>
  <c r="Z71" i="139" s="1"/>
  <c r="V71" i="139"/>
  <c r="Y71" i="139" s="1"/>
  <c r="W70" i="139"/>
  <c r="V70" i="139"/>
  <c r="W68" i="139"/>
  <c r="Z68" i="139" s="1"/>
  <c r="V68" i="139"/>
  <c r="Y68" i="139" s="1"/>
  <c r="W67" i="139"/>
  <c r="Z67" i="139" s="1"/>
  <c r="V67" i="139"/>
  <c r="Y67" i="139" s="1"/>
  <c r="W66" i="139"/>
  <c r="Z66" i="139" s="1"/>
  <c r="V66" i="139"/>
  <c r="Y66" i="139" s="1"/>
  <c r="W65" i="139"/>
  <c r="Z65" i="139" s="1"/>
  <c r="V65" i="139"/>
  <c r="Y65" i="139" s="1"/>
  <c r="W64" i="139"/>
  <c r="V64" i="139"/>
  <c r="W62" i="139"/>
  <c r="Z62" i="139" s="1"/>
  <c r="V62" i="139"/>
  <c r="Y62" i="139" s="1"/>
  <c r="W61" i="139"/>
  <c r="Z61" i="139" s="1"/>
  <c r="V61" i="139"/>
  <c r="Y61" i="139" s="1"/>
  <c r="W60" i="139"/>
  <c r="Z60" i="139" s="1"/>
  <c r="V60" i="139"/>
  <c r="Y60" i="139" s="1"/>
  <c r="W59" i="139"/>
  <c r="Z59" i="139" s="1"/>
  <c r="V59" i="139"/>
  <c r="Y59" i="139" s="1"/>
  <c r="W58" i="139"/>
  <c r="Z58" i="139" s="1"/>
  <c r="V58" i="139"/>
  <c r="Y58" i="139" s="1"/>
  <c r="W57" i="139"/>
  <c r="Z57" i="139" s="1"/>
  <c r="V57" i="139"/>
  <c r="Y57" i="139" s="1"/>
  <c r="W56" i="139"/>
  <c r="Z56" i="139" s="1"/>
  <c r="V56" i="139"/>
  <c r="Y56" i="139" s="1"/>
  <c r="W55" i="139"/>
  <c r="Z55" i="139" s="1"/>
  <c r="V55" i="139"/>
  <c r="Y55" i="139" s="1"/>
  <c r="W54" i="139"/>
  <c r="Z54" i="139" s="1"/>
  <c r="V54" i="139"/>
  <c r="Y54" i="139" s="1"/>
  <c r="W53" i="139"/>
  <c r="Z53" i="139" s="1"/>
  <c r="V53" i="139"/>
  <c r="Y53" i="139" s="1"/>
  <c r="W52" i="139"/>
  <c r="Z52" i="139" s="1"/>
  <c r="V52" i="139"/>
  <c r="Y52" i="139" s="1"/>
  <c r="W51" i="139"/>
  <c r="Z51" i="139" s="1"/>
  <c r="V51" i="139"/>
  <c r="Y51" i="139" s="1"/>
  <c r="W50" i="139"/>
  <c r="Z50" i="139" s="1"/>
  <c r="V50" i="139"/>
  <c r="Y50" i="139" s="1"/>
  <c r="W49" i="139"/>
  <c r="Z49" i="139" s="1"/>
  <c r="V49" i="139"/>
  <c r="Y49" i="139" s="1"/>
  <c r="W48" i="139"/>
  <c r="Z48" i="139" s="1"/>
  <c r="V48" i="139"/>
  <c r="Y48" i="139" s="1"/>
  <c r="W47" i="139"/>
  <c r="Z47" i="139" s="1"/>
  <c r="V47" i="139"/>
  <c r="Y47" i="139" s="1"/>
  <c r="W46" i="139"/>
  <c r="Z46" i="139" s="1"/>
  <c r="V46" i="139"/>
  <c r="Y46" i="139" s="1"/>
  <c r="W45" i="139"/>
  <c r="Z45" i="139" s="1"/>
  <c r="V45" i="139"/>
  <c r="Y45" i="139" s="1"/>
  <c r="W44" i="139"/>
  <c r="Z44" i="139" s="1"/>
  <c r="V44" i="139"/>
  <c r="Y44" i="139" s="1"/>
  <c r="W43" i="139"/>
  <c r="V43" i="139"/>
  <c r="W41" i="139"/>
  <c r="Z41" i="139" s="1"/>
  <c r="V41" i="139"/>
  <c r="Y41" i="139" s="1"/>
  <c r="W40" i="139"/>
  <c r="Z40" i="139" s="1"/>
  <c r="V40" i="139"/>
  <c r="Y40" i="139" s="1"/>
  <c r="W39" i="139"/>
  <c r="Z39" i="139" s="1"/>
  <c r="V39" i="139"/>
  <c r="Y39" i="139" s="1"/>
  <c r="W38" i="139"/>
  <c r="Z38" i="139" s="1"/>
  <c r="V38" i="139"/>
  <c r="Y38" i="139" s="1"/>
  <c r="W37" i="139"/>
  <c r="Z37" i="139" s="1"/>
  <c r="V37" i="139"/>
  <c r="Y37" i="139" s="1"/>
  <c r="W36" i="139"/>
  <c r="Z36" i="139" s="1"/>
  <c r="V36" i="139"/>
  <c r="Y36" i="139" s="1"/>
  <c r="W35" i="139"/>
  <c r="Z35" i="139" s="1"/>
  <c r="V35" i="139"/>
  <c r="Y35" i="139" s="1"/>
  <c r="W34" i="139"/>
  <c r="Z34" i="139" s="1"/>
  <c r="V34" i="139"/>
  <c r="Y34" i="139" s="1"/>
  <c r="W33" i="139"/>
  <c r="Z33" i="139" s="1"/>
  <c r="V33" i="139"/>
  <c r="Y33" i="139" s="1"/>
  <c r="W32" i="139"/>
  <c r="Z32" i="139" s="1"/>
  <c r="V32" i="139"/>
  <c r="Y32" i="139" s="1"/>
  <c r="W31" i="139"/>
  <c r="Z31" i="139" s="1"/>
  <c r="V31" i="139"/>
  <c r="Y31" i="139" s="1"/>
  <c r="W30" i="139"/>
  <c r="Z30" i="139" s="1"/>
  <c r="V30" i="139"/>
  <c r="Y30" i="139" s="1"/>
  <c r="W29" i="139"/>
  <c r="Z29" i="139" s="1"/>
  <c r="V29" i="139"/>
  <c r="Y29" i="139" s="1"/>
  <c r="W28" i="139"/>
  <c r="Z28" i="139" s="1"/>
  <c r="V28" i="139"/>
  <c r="Y28" i="139" s="1"/>
  <c r="W27" i="139"/>
  <c r="Z27" i="139" s="1"/>
  <c r="V27" i="139"/>
  <c r="Y27" i="139" s="1"/>
  <c r="W26" i="139"/>
  <c r="Z26" i="139" s="1"/>
  <c r="V26" i="139"/>
  <c r="Y26" i="139" s="1"/>
  <c r="W25" i="139"/>
  <c r="Z25" i="139" s="1"/>
  <c r="V25" i="139"/>
  <c r="Y25" i="139" s="1"/>
  <c r="W24" i="139"/>
  <c r="Z24" i="139" s="1"/>
  <c r="V24" i="139"/>
  <c r="Y24" i="139" s="1"/>
  <c r="W23" i="139"/>
  <c r="Z23" i="139" s="1"/>
  <c r="V23" i="139"/>
  <c r="Y23" i="139" s="1"/>
  <c r="W22" i="139"/>
  <c r="Z22" i="139" s="1"/>
  <c r="V22" i="139"/>
  <c r="Y22" i="139" s="1"/>
  <c r="AB97" i="139"/>
  <c r="AB96" i="139"/>
  <c r="AB95" i="139"/>
  <c r="AB94" i="139"/>
  <c r="AB93" i="139"/>
  <c r="AB92" i="139"/>
  <c r="AB91" i="139"/>
  <c r="AB90" i="139"/>
  <c r="AB89" i="139"/>
  <c r="AB88" i="139"/>
  <c r="AB87" i="139"/>
  <c r="AB86" i="139"/>
  <c r="AB85" i="139"/>
  <c r="AB84" i="139"/>
  <c r="AB83" i="139"/>
  <c r="AB82" i="139"/>
  <c r="AB81" i="139"/>
  <c r="AB80" i="139"/>
  <c r="AB79" i="139"/>
  <c r="AB78" i="139"/>
  <c r="X74" i="139"/>
  <c r="X73" i="139"/>
  <c r="X72" i="139"/>
  <c r="X71" i="139"/>
  <c r="X70" i="139"/>
  <c r="X68" i="139"/>
  <c r="X67" i="139"/>
  <c r="X66" i="139"/>
  <c r="X65" i="139"/>
  <c r="X64" i="139"/>
  <c r="X62" i="139"/>
  <c r="X61" i="139"/>
  <c r="X60" i="139"/>
  <c r="X59" i="139"/>
  <c r="X58" i="139"/>
  <c r="X57" i="139"/>
  <c r="X56" i="139"/>
  <c r="X55" i="139"/>
  <c r="X54" i="139"/>
  <c r="X53" i="139"/>
  <c r="X52" i="139"/>
  <c r="X51" i="139"/>
  <c r="X50" i="139"/>
  <c r="X49" i="139"/>
  <c r="X48" i="139"/>
  <c r="X47" i="139"/>
  <c r="X46" i="139"/>
  <c r="X45" i="139"/>
  <c r="X44" i="139"/>
  <c r="X43" i="139"/>
  <c r="X41" i="139"/>
  <c r="X40" i="139"/>
  <c r="X39" i="139"/>
  <c r="X38" i="139"/>
  <c r="X37" i="139"/>
  <c r="X36" i="139"/>
  <c r="X35" i="139"/>
  <c r="X34" i="139"/>
  <c r="X33" i="139"/>
  <c r="X32" i="139"/>
  <c r="X31" i="139"/>
  <c r="X30" i="139"/>
  <c r="X29" i="139"/>
  <c r="X28" i="139"/>
  <c r="X27" i="139"/>
  <c r="X26" i="139"/>
  <c r="X25" i="139"/>
  <c r="X24" i="139"/>
  <c r="X23" i="139"/>
  <c r="X22" i="139"/>
  <c r="U12" i="139"/>
  <c r="V12" i="139"/>
  <c r="W12" i="139"/>
  <c r="X12" i="139"/>
  <c r="U13" i="139"/>
  <c r="V13" i="139"/>
  <c r="Y13" i="139" s="1"/>
  <c r="W13" i="139"/>
  <c r="Z13" i="139" s="1"/>
  <c r="X13" i="139"/>
  <c r="J14" i="139"/>
  <c r="U14" i="139"/>
  <c r="V14" i="139"/>
  <c r="Y14" i="139" s="1"/>
  <c r="W14" i="139"/>
  <c r="Z14" i="139" s="1"/>
  <c r="X14" i="139"/>
  <c r="U15" i="139"/>
  <c r="V15" i="139"/>
  <c r="Y15" i="139" s="1"/>
  <c r="W15" i="139"/>
  <c r="Z15" i="139" s="1"/>
  <c r="X15" i="139"/>
  <c r="U16" i="139"/>
  <c r="V16" i="139"/>
  <c r="Y16" i="139" s="1"/>
  <c r="W16" i="139"/>
  <c r="Z16" i="139" s="1"/>
  <c r="X16" i="139"/>
  <c r="U17" i="139"/>
  <c r="V17" i="139"/>
  <c r="Y17" i="139" s="1"/>
  <c r="W17" i="139"/>
  <c r="Z17" i="139" s="1"/>
  <c r="X17" i="139"/>
  <c r="U18" i="139"/>
  <c r="V18" i="139"/>
  <c r="Y18" i="139" s="1"/>
  <c r="W18" i="139"/>
  <c r="Z18" i="139" s="1"/>
  <c r="X18" i="139"/>
  <c r="U19" i="139"/>
  <c r="V19" i="139"/>
  <c r="Y19" i="139" s="1"/>
  <c r="W19" i="139"/>
  <c r="Z19" i="139" s="1"/>
  <c r="X19" i="139"/>
  <c r="U20" i="139"/>
  <c r="V20" i="139"/>
  <c r="Y20" i="139" s="1"/>
  <c r="W20" i="139"/>
  <c r="Z20" i="139" s="1"/>
  <c r="X20" i="139"/>
  <c r="U21" i="139"/>
  <c r="V21" i="139"/>
  <c r="Y21" i="139" s="1"/>
  <c r="W21" i="139"/>
  <c r="Z21" i="139" s="1"/>
  <c r="X21" i="139"/>
  <c r="J46" i="139"/>
  <c r="D46" i="139"/>
  <c r="J57" i="139"/>
  <c r="D57" i="139"/>
  <c r="F57" i="139" s="1"/>
  <c r="J52" i="139"/>
  <c r="F52" i="139"/>
  <c r="D52" i="139"/>
  <c r="J22" i="139"/>
  <c r="J30" i="139"/>
  <c r="J38" i="139"/>
  <c r="D47" i="139"/>
  <c r="F47" i="139" s="1"/>
  <c r="D48" i="139"/>
  <c r="F48" i="139" s="1"/>
  <c r="D49" i="139"/>
  <c r="F49" i="139" s="1"/>
  <c r="D53" i="139"/>
  <c r="F53" i="139"/>
  <c r="D54" i="139"/>
  <c r="F54" i="139"/>
  <c r="D55" i="139"/>
  <c r="F55" i="139"/>
  <c r="D56" i="139"/>
  <c r="F56" i="139"/>
  <c r="D58" i="139"/>
  <c r="F58" i="139" s="1"/>
  <c r="F60" i="139"/>
  <c r="G60" i="139" s="1"/>
  <c r="L60" i="139" s="1"/>
  <c r="T78" i="139"/>
  <c r="T98" i="139" s="1"/>
  <c r="G79" i="139" s="1"/>
  <c r="G86" i="139" s="1"/>
  <c r="H81" i="139" s="1"/>
  <c r="Y78" i="139"/>
  <c r="Y98" i="139" s="1"/>
  <c r="J20" i="138"/>
  <c r="AA97" i="138"/>
  <c r="AA96" i="138"/>
  <c r="AA95" i="138"/>
  <c r="AA94" i="138"/>
  <c r="AA93" i="138"/>
  <c r="AA92" i="138"/>
  <c r="AA91" i="138"/>
  <c r="AA90" i="138"/>
  <c r="AA89" i="138"/>
  <c r="AA88" i="138"/>
  <c r="AA87" i="138"/>
  <c r="AA86" i="138"/>
  <c r="AA85" i="138"/>
  <c r="AA84" i="138"/>
  <c r="AA83" i="138"/>
  <c r="AA82" i="138"/>
  <c r="AA81" i="138"/>
  <c r="AA80" i="138"/>
  <c r="AA79" i="138"/>
  <c r="AA78" i="138"/>
  <c r="U74" i="138"/>
  <c r="U73" i="138"/>
  <c r="U72" i="138"/>
  <c r="U71" i="138"/>
  <c r="U70" i="138"/>
  <c r="U68" i="138"/>
  <c r="U67" i="138"/>
  <c r="U66" i="138"/>
  <c r="U65" i="138"/>
  <c r="U64" i="138"/>
  <c r="U62" i="138"/>
  <c r="U61" i="138"/>
  <c r="U60" i="138"/>
  <c r="U59" i="138"/>
  <c r="U58" i="138"/>
  <c r="U57" i="138"/>
  <c r="U56" i="138"/>
  <c r="U55" i="138"/>
  <c r="U54" i="138"/>
  <c r="U53" i="138"/>
  <c r="U52" i="138"/>
  <c r="U51" i="138"/>
  <c r="U50" i="138"/>
  <c r="U49" i="138"/>
  <c r="U48" i="138"/>
  <c r="U47" i="138"/>
  <c r="U46" i="138"/>
  <c r="U45" i="138"/>
  <c r="U44" i="138"/>
  <c r="U43" i="138"/>
  <c r="U41" i="138"/>
  <c r="U40" i="138"/>
  <c r="U39" i="138"/>
  <c r="U38" i="138"/>
  <c r="U37" i="138"/>
  <c r="U36" i="138"/>
  <c r="U35" i="138"/>
  <c r="U34" i="138"/>
  <c r="U33" i="138"/>
  <c r="U32" i="138"/>
  <c r="U31" i="138"/>
  <c r="U30" i="138"/>
  <c r="U29" i="138"/>
  <c r="U28" i="138"/>
  <c r="U27" i="138"/>
  <c r="U26" i="138"/>
  <c r="U25" i="138"/>
  <c r="U24" i="138"/>
  <c r="U23" i="138"/>
  <c r="U22" i="138"/>
  <c r="W74" i="138"/>
  <c r="Z74" i="138" s="1"/>
  <c r="V74" i="138"/>
  <c r="Y74" i="138" s="1"/>
  <c r="W73" i="138"/>
  <c r="Z73" i="138" s="1"/>
  <c r="V73" i="138"/>
  <c r="Y73" i="138" s="1"/>
  <c r="W72" i="138"/>
  <c r="Z72" i="138" s="1"/>
  <c r="V72" i="138"/>
  <c r="Y72" i="138" s="1"/>
  <c r="W71" i="138"/>
  <c r="Z71" i="138" s="1"/>
  <c r="V71" i="138"/>
  <c r="Y71" i="138" s="1"/>
  <c r="W70" i="138"/>
  <c r="V70" i="138"/>
  <c r="W68" i="138"/>
  <c r="Z68" i="138" s="1"/>
  <c r="V68" i="138"/>
  <c r="Y68" i="138" s="1"/>
  <c r="W67" i="138"/>
  <c r="Z67" i="138" s="1"/>
  <c r="V67" i="138"/>
  <c r="Y67" i="138" s="1"/>
  <c r="W66" i="138"/>
  <c r="Z66" i="138" s="1"/>
  <c r="V66" i="138"/>
  <c r="Y66" i="138" s="1"/>
  <c r="W65" i="138"/>
  <c r="Z65" i="138" s="1"/>
  <c r="V65" i="138"/>
  <c r="Y65" i="138" s="1"/>
  <c r="W64" i="138"/>
  <c r="V64" i="138"/>
  <c r="W62" i="138"/>
  <c r="Z62" i="138" s="1"/>
  <c r="V62" i="138"/>
  <c r="Y62" i="138" s="1"/>
  <c r="W61" i="138"/>
  <c r="Z61" i="138" s="1"/>
  <c r="V61" i="138"/>
  <c r="Y61" i="138" s="1"/>
  <c r="W60" i="138"/>
  <c r="Z60" i="138" s="1"/>
  <c r="V60" i="138"/>
  <c r="Y60" i="138" s="1"/>
  <c r="W59" i="138"/>
  <c r="Z59" i="138" s="1"/>
  <c r="V59" i="138"/>
  <c r="Y59" i="138" s="1"/>
  <c r="W58" i="138"/>
  <c r="Z58" i="138" s="1"/>
  <c r="V58" i="138"/>
  <c r="Y58" i="138" s="1"/>
  <c r="W57" i="138"/>
  <c r="Z57" i="138" s="1"/>
  <c r="V57" i="138"/>
  <c r="Y57" i="138" s="1"/>
  <c r="W56" i="138"/>
  <c r="Z56" i="138" s="1"/>
  <c r="V56" i="138"/>
  <c r="Y56" i="138" s="1"/>
  <c r="W55" i="138"/>
  <c r="Z55" i="138" s="1"/>
  <c r="V55" i="138"/>
  <c r="Y55" i="138" s="1"/>
  <c r="W54" i="138"/>
  <c r="Z54" i="138" s="1"/>
  <c r="V54" i="138"/>
  <c r="Y54" i="138" s="1"/>
  <c r="W53" i="138"/>
  <c r="Z53" i="138" s="1"/>
  <c r="V53" i="138"/>
  <c r="Y53" i="138" s="1"/>
  <c r="W52" i="138"/>
  <c r="Z52" i="138" s="1"/>
  <c r="V52" i="138"/>
  <c r="Y52" i="138" s="1"/>
  <c r="W51" i="138"/>
  <c r="Z51" i="138" s="1"/>
  <c r="V51" i="138"/>
  <c r="Y51" i="138" s="1"/>
  <c r="W50" i="138"/>
  <c r="Z50" i="138" s="1"/>
  <c r="V50" i="138"/>
  <c r="Y50" i="138" s="1"/>
  <c r="W49" i="138"/>
  <c r="Z49" i="138" s="1"/>
  <c r="V49" i="138"/>
  <c r="Y49" i="138" s="1"/>
  <c r="W48" i="138"/>
  <c r="Z48" i="138" s="1"/>
  <c r="V48" i="138"/>
  <c r="Y48" i="138" s="1"/>
  <c r="W47" i="138"/>
  <c r="Z47" i="138" s="1"/>
  <c r="V47" i="138"/>
  <c r="Y47" i="138" s="1"/>
  <c r="W46" i="138"/>
  <c r="Z46" i="138" s="1"/>
  <c r="V46" i="138"/>
  <c r="Y46" i="138" s="1"/>
  <c r="W45" i="138"/>
  <c r="Z45" i="138" s="1"/>
  <c r="V45" i="138"/>
  <c r="Y45" i="138" s="1"/>
  <c r="W44" i="138"/>
  <c r="Z44" i="138" s="1"/>
  <c r="V44" i="138"/>
  <c r="Y44" i="138" s="1"/>
  <c r="W43" i="138"/>
  <c r="V43" i="138"/>
  <c r="W41" i="138"/>
  <c r="Z41" i="138" s="1"/>
  <c r="V41" i="138"/>
  <c r="Y41" i="138" s="1"/>
  <c r="W40" i="138"/>
  <c r="Z40" i="138" s="1"/>
  <c r="V40" i="138"/>
  <c r="Y40" i="138" s="1"/>
  <c r="W39" i="138"/>
  <c r="Z39" i="138" s="1"/>
  <c r="V39" i="138"/>
  <c r="Y39" i="138" s="1"/>
  <c r="W38" i="138"/>
  <c r="Z38" i="138" s="1"/>
  <c r="V38" i="138"/>
  <c r="Y38" i="138" s="1"/>
  <c r="W37" i="138"/>
  <c r="Z37" i="138" s="1"/>
  <c r="V37" i="138"/>
  <c r="Y37" i="138" s="1"/>
  <c r="W36" i="138"/>
  <c r="Z36" i="138" s="1"/>
  <c r="V36" i="138"/>
  <c r="Y36" i="138" s="1"/>
  <c r="W35" i="138"/>
  <c r="Z35" i="138" s="1"/>
  <c r="V35" i="138"/>
  <c r="Y35" i="138" s="1"/>
  <c r="W34" i="138"/>
  <c r="Z34" i="138" s="1"/>
  <c r="V34" i="138"/>
  <c r="Y34" i="138" s="1"/>
  <c r="W33" i="138"/>
  <c r="Z33" i="138" s="1"/>
  <c r="V33" i="138"/>
  <c r="Y33" i="138" s="1"/>
  <c r="W32" i="138"/>
  <c r="Z32" i="138" s="1"/>
  <c r="V32" i="138"/>
  <c r="Y32" i="138" s="1"/>
  <c r="W31" i="138"/>
  <c r="Z31" i="138" s="1"/>
  <c r="V31" i="138"/>
  <c r="Y31" i="138" s="1"/>
  <c r="W30" i="138"/>
  <c r="Z30" i="138" s="1"/>
  <c r="V30" i="138"/>
  <c r="Y30" i="138" s="1"/>
  <c r="W29" i="138"/>
  <c r="Z29" i="138" s="1"/>
  <c r="V29" i="138"/>
  <c r="Y29" i="138" s="1"/>
  <c r="W28" i="138"/>
  <c r="Z28" i="138" s="1"/>
  <c r="V28" i="138"/>
  <c r="Y28" i="138" s="1"/>
  <c r="W27" i="138"/>
  <c r="Z27" i="138" s="1"/>
  <c r="V27" i="138"/>
  <c r="Y27" i="138" s="1"/>
  <c r="W26" i="138"/>
  <c r="Z26" i="138" s="1"/>
  <c r="V26" i="138"/>
  <c r="Y26" i="138" s="1"/>
  <c r="W25" i="138"/>
  <c r="Z25" i="138" s="1"/>
  <c r="V25" i="138"/>
  <c r="Y25" i="138" s="1"/>
  <c r="W24" i="138"/>
  <c r="Z24" i="138" s="1"/>
  <c r="V24" i="138"/>
  <c r="Y24" i="138" s="1"/>
  <c r="W23" i="138"/>
  <c r="Z23" i="138" s="1"/>
  <c r="V23" i="138"/>
  <c r="Y23" i="138" s="1"/>
  <c r="W22" i="138"/>
  <c r="Z22" i="138" s="1"/>
  <c r="V22" i="138"/>
  <c r="Y22" i="138" s="1"/>
  <c r="AB97" i="138"/>
  <c r="AB96" i="138"/>
  <c r="AB95" i="138"/>
  <c r="AB94" i="138"/>
  <c r="AB93" i="138"/>
  <c r="AB92" i="138"/>
  <c r="AB91" i="138"/>
  <c r="AB90" i="138"/>
  <c r="AB89" i="138"/>
  <c r="AB88" i="138"/>
  <c r="AB87" i="138"/>
  <c r="AB86" i="138"/>
  <c r="AB85" i="138"/>
  <c r="AB84" i="138"/>
  <c r="AB83" i="138"/>
  <c r="AB82" i="138"/>
  <c r="AB81" i="138"/>
  <c r="AB80" i="138"/>
  <c r="AB79" i="138"/>
  <c r="AB78" i="138"/>
  <c r="X74" i="138"/>
  <c r="X73" i="138"/>
  <c r="X72" i="138"/>
  <c r="X71" i="138"/>
  <c r="X70" i="138"/>
  <c r="X68" i="138"/>
  <c r="X67" i="138"/>
  <c r="X66" i="138"/>
  <c r="X65" i="138"/>
  <c r="X64" i="138"/>
  <c r="X62" i="138"/>
  <c r="X61" i="138"/>
  <c r="X60" i="138"/>
  <c r="X59" i="138"/>
  <c r="X58" i="138"/>
  <c r="X57" i="138"/>
  <c r="X56" i="138"/>
  <c r="X55" i="138"/>
  <c r="X54" i="138"/>
  <c r="X53" i="138"/>
  <c r="X52" i="138"/>
  <c r="X51" i="138"/>
  <c r="X50" i="138"/>
  <c r="X49" i="138"/>
  <c r="X48" i="138"/>
  <c r="X47" i="138"/>
  <c r="X46" i="138"/>
  <c r="X45" i="138"/>
  <c r="X44" i="138"/>
  <c r="X43" i="138"/>
  <c r="X41" i="138"/>
  <c r="X40" i="138"/>
  <c r="X39" i="138"/>
  <c r="X38" i="138"/>
  <c r="X37" i="138"/>
  <c r="X36" i="138"/>
  <c r="X35" i="138"/>
  <c r="X34" i="138"/>
  <c r="X33" i="138"/>
  <c r="X32" i="138"/>
  <c r="X31" i="138"/>
  <c r="X30" i="138"/>
  <c r="X29" i="138"/>
  <c r="X28" i="138"/>
  <c r="X27" i="138"/>
  <c r="X26" i="138"/>
  <c r="X25" i="138"/>
  <c r="X24" i="138"/>
  <c r="X23" i="138"/>
  <c r="X22" i="138"/>
  <c r="U12" i="138"/>
  <c r="V12" i="138"/>
  <c r="W12" i="138"/>
  <c r="X12" i="138"/>
  <c r="U13" i="138"/>
  <c r="V13" i="138"/>
  <c r="Y13" i="138" s="1"/>
  <c r="W13" i="138"/>
  <c r="Z13" i="138" s="1"/>
  <c r="X13" i="138"/>
  <c r="J14" i="138"/>
  <c r="U14" i="138"/>
  <c r="V14" i="138"/>
  <c r="Y14" i="138" s="1"/>
  <c r="W14" i="138"/>
  <c r="Z14" i="138" s="1"/>
  <c r="X14" i="138"/>
  <c r="U15" i="138"/>
  <c r="V15" i="138"/>
  <c r="Y15" i="138" s="1"/>
  <c r="W15" i="138"/>
  <c r="Z15" i="138" s="1"/>
  <c r="X15" i="138"/>
  <c r="U16" i="138"/>
  <c r="V16" i="138"/>
  <c r="Y16" i="138" s="1"/>
  <c r="W16" i="138"/>
  <c r="Z16" i="138" s="1"/>
  <c r="X16" i="138"/>
  <c r="U17" i="138"/>
  <c r="V17" i="138"/>
  <c r="Y17" i="138" s="1"/>
  <c r="W17" i="138"/>
  <c r="Z17" i="138" s="1"/>
  <c r="X17" i="138"/>
  <c r="U18" i="138"/>
  <c r="V18" i="138"/>
  <c r="Y18" i="138" s="1"/>
  <c r="W18" i="138"/>
  <c r="Z18" i="138" s="1"/>
  <c r="X18" i="138"/>
  <c r="U19" i="138"/>
  <c r="V19" i="138"/>
  <c r="Y19" i="138" s="1"/>
  <c r="W19" i="138"/>
  <c r="Z19" i="138" s="1"/>
  <c r="X19" i="138"/>
  <c r="U20" i="138"/>
  <c r="V20" i="138"/>
  <c r="Y20" i="138" s="1"/>
  <c r="W20" i="138"/>
  <c r="Z20" i="138" s="1"/>
  <c r="X20" i="138"/>
  <c r="U21" i="138"/>
  <c r="V21" i="138"/>
  <c r="Y21" i="138" s="1"/>
  <c r="W21" i="138"/>
  <c r="Z21" i="138" s="1"/>
  <c r="X21" i="138"/>
  <c r="J46" i="138"/>
  <c r="D46" i="138"/>
  <c r="J57" i="138"/>
  <c r="D57" i="138"/>
  <c r="F57" i="138" s="1"/>
  <c r="J52" i="138"/>
  <c r="F52" i="138"/>
  <c r="D52" i="138"/>
  <c r="J22" i="138"/>
  <c r="J30" i="138"/>
  <c r="J38" i="138"/>
  <c r="D47" i="138"/>
  <c r="F47" i="138" s="1"/>
  <c r="D48" i="138"/>
  <c r="F48" i="138" s="1"/>
  <c r="D49" i="138"/>
  <c r="F49" i="138" s="1"/>
  <c r="D53" i="138"/>
  <c r="F53" i="138"/>
  <c r="D54" i="138"/>
  <c r="F54" i="138"/>
  <c r="D55" i="138"/>
  <c r="F55" i="138"/>
  <c r="D56" i="138"/>
  <c r="F56" i="138"/>
  <c r="D58" i="138"/>
  <c r="F58" i="138" s="1"/>
  <c r="F60" i="138"/>
  <c r="G60" i="138" s="1"/>
  <c r="L60" i="138" s="1"/>
  <c r="T78" i="138"/>
  <c r="T98" i="138" s="1"/>
  <c r="G86" i="138" s="1"/>
  <c r="H81" i="138" s="1"/>
  <c r="Y78" i="138"/>
  <c r="Y98" i="138" s="1"/>
  <c r="J20" i="137"/>
  <c r="AA97" i="137"/>
  <c r="AA96" i="137"/>
  <c r="AA95" i="137"/>
  <c r="AA94" i="137"/>
  <c r="AA93" i="137"/>
  <c r="AA92" i="137"/>
  <c r="AA91" i="137"/>
  <c r="AA90" i="137"/>
  <c r="AA89" i="137"/>
  <c r="AA88" i="137"/>
  <c r="AA87" i="137"/>
  <c r="AA86" i="137"/>
  <c r="AA85" i="137"/>
  <c r="AA84" i="137"/>
  <c r="AA83" i="137"/>
  <c r="AA82" i="137"/>
  <c r="AA81" i="137"/>
  <c r="AA80" i="137"/>
  <c r="AA79" i="137"/>
  <c r="AA78" i="137"/>
  <c r="U74" i="137"/>
  <c r="U73" i="137"/>
  <c r="U72" i="137"/>
  <c r="U71" i="137"/>
  <c r="U70" i="137"/>
  <c r="U68" i="137"/>
  <c r="U67" i="137"/>
  <c r="U66" i="137"/>
  <c r="U65" i="137"/>
  <c r="U64" i="137"/>
  <c r="U62" i="137"/>
  <c r="U61" i="137"/>
  <c r="U60" i="137"/>
  <c r="U59" i="137"/>
  <c r="U58" i="137"/>
  <c r="U57" i="137"/>
  <c r="U56" i="137"/>
  <c r="U55" i="137"/>
  <c r="U54" i="137"/>
  <c r="U53" i="137"/>
  <c r="U52" i="137"/>
  <c r="U51" i="137"/>
  <c r="U50" i="137"/>
  <c r="U49" i="137"/>
  <c r="U48" i="137"/>
  <c r="U47" i="137"/>
  <c r="U46" i="137"/>
  <c r="U45" i="137"/>
  <c r="U44" i="137"/>
  <c r="U43" i="137"/>
  <c r="U41" i="137"/>
  <c r="U40" i="137"/>
  <c r="U39" i="137"/>
  <c r="U38" i="137"/>
  <c r="U37" i="137"/>
  <c r="U36" i="137"/>
  <c r="U35" i="137"/>
  <c r="U34" i="137"/>
  <c r="U33" i="137"/>
  <c r="U32" i="137"/>
  <c r="U31" i="137"/>
  <c r="U30" i="137"/>
  <c r="U29" i="137"/>
  <c r="U28" i="137"/>
  <c r="U27" i="137"/>
  <c r="U26" i="137"/>
  <c r="U25" i="137"/>
  <c r="U24" i="137"/>
  <c r="U23" i="137"/>
  <c r="U22" i="137"/>
  <c r="W74" i="137"/>
  <c r="Z74" i="137" s="1"/>
  <c r="V74" i="137"/>
  <c r="Y74" i="137" s="1"/>
  <c r="W73" i="137"/>
  <c r="Z73" i="137" s="1"/>
  <c r="V73" i="137"/>
  <c r="Y73" i="137" s="1"/>
  <c r="W72" i="137"/>
  <c r="Z72" i="137" s="1"/>
  <c r="V72" i="137"/>
  <c r="Y72" i="137" s="1"/>
  <c r="W71" i="137"/>
  <c r="Z71" i="137" s="1"/>
  <c r="V71" i="137"/>
  <c r="Y71" i="137" s="1"/>
  <c r="W70" i="137"/>
  <c r="V70" i="137"/>
  <c r="W68" i="137"/>
  <c r="Z68" i="137" s="1"/>
  <c r="V68" i="137"/>
  <c r="Y68" i="137" s="1"/>
  <c r="W67" i="137"/>
  <c r="Z67" i="137" s="1"/>
  <c r="V67" i="137"/>
  <c r="Y67" i="137" s="1"/>
  <c r="W66" i="137"/>
  <c r="Z66" i="137" s="1"/>
  <c r="V66" i="137"/>
  <c r="Y66" i="137" s="1"/>
  <c r="W65" i="137"/>
  <c r="Z65" i="137" s="1"/>
  <c r="V65" i="137"/>
  <c r="Y65" i="137" s="1"/>
  <c r="W64" i="137"/>
  <c r="V64" i="137"/>
  <c r="W62" i="137"/>
  <c r="Z62" i="137" s="1"/>
  <c r="V62" i="137"/>
  <c r="Y62" i="137" s="1"/>
  <c r="W61" i="137"/>
  <c r="Z61" i="137" s="1"/>
  <c r="V61" i="137"/>
  <c r="Y61" i="137" s="1"/>
  <c r="W60" i="137"/>
  <c r="Z60" i="137" s="1"/>
  <c r="V60" i="137"/>
  <c r="Y60" i="137" s="1"/>
  <c r="W59" i="137"/>
  <c r="Z59" i="137" s="1"/>
  <c r="V59" i="137"/>
  <c r="Y59" i="137" s="1"/>
  <c r="W58" i="137"/>
  <c r="Z58" i="137" s="1"/>
  <c r="V58" i="137"/>
  <c r="Y58" i="137" s="1"/>
  <c r="W57" i="137"/>
  <c r="Z57" i="137" s="1"/>
  <c r="V57" i="137"/>
  <c r="Y57" i="137" s="1"/>
  <c r="W56" i="137"/>
  <c r="Z56" i="137" s="1"/>
  <c r="V56" i="137"/>
  <c r="Y56" i="137" s="1"/>
  <c r="W55" i="137"/>
  <c r="Z55" i="137" s="1"/>
  <c r="V55" i="137"/>
  <c r="Y55" i="137" s="1"/>
  <c r="W54" i="137"/>
  <c r="Z54" i="137" s="1"/>
  <c r="V54" i="137"/>
  <c r="Y54" i="137" s="1"/>
  <c r="W53" i="137"/>
  <c r="Z53" i="137" s="1"/>
  <c r="V53" i="137"/>
  <c r="Y53" i="137" s="1"/>
  <c r="W52" i="137"/>
  <c r="Z52" i="137" s="1"/>
  <c r="V52" i="137"/>
  <c r="Y52" i="137" s="1"/>
  <c r="W51" i="137"/>
  <c r="Z51" i="137" s="1"/>
  <c r="V51" i="137"/>
  <c r="Y51" i="137" s="1"/>
  <c r="W50" i="137"/>
  <c r="Z50" i="137" s="1"/>
  <c r="V50" i="137"/>
  <c r="Y50" i="137" s="1"/>
  <c r="W49" i="137"/>
  <c r="Z49" i="137" s="1"/>
  <c r="V49" i="137"/>
  <c r="Y49" i="137" s="1"/>
  <c r="W48" i="137"/>
  <c r="Z48" i="137" s="1"/>
  <c r="V48" i="137"/>
  <c r="Y48" i="137" s="1"/>
  <c r="W47" i="137"/>
  <c r="Z47" i="137" s="1"/>
  <c r="V47" i="137"/>
  <c r="Y47" i="137" s="1"/>
  <c r="W46" i="137"/>
  <c r="Z46" i="137" s="1"/>
  <c r="V46" i="137"/>
  <c r="Y46" i="137" s="1"/>
  <c r="W45" i="137"/>
  <c r="Z45" i="137" s="1"/>
  <c r="V45" i="137"/>
  <c r="Y45" i="137" s="1"/>
  <c r="W44" i="137"/>
  <c r="Z44" i="137" s="1"/>
  <c r="V44" i="137"/>
  <c r="Y44" i="137" s="1"/>
  <c r="W43" i="137"/>
  <c r="V43" i="137"/>
  <c r="W41" i="137"/>
  <c r="Z41" i="137" s="1"/>
  <c r="V41" i="137"/>
  <c r="Y41" i="137" s="1"/>
  <c r="W40" i="137"/>
  <c r="Z40" i="137" s="1"/>
  <c r="V40" i="137"/>
  <c r="Y40" i="137" s="1"/>
  <c r="W39" i="137"/>
  <c r="Z39" i="137" s="1"/>
  <c r="V39" i="137"/>
  <c r="Y39" i="137" s="1"/>
  <c r="W38" i="137"/>
  <c r="Z38" i="137" s="1"/>
  <c r="V38" i="137"/>
  <c r="Y38" i="137" s="1"/>
  <c r="W37" i="137"/>
  <c r="Z37" i="137" s="1"/>
  <c r="V37" i="137"/>
  <c r="Y37" i="137" s="1"/>
  <c r="W36" i="137"/>
  <c r="Z36" i="137" s="1"/>
  <c r="V36" i="137"/>
  <c r="Y36" i="137" s="1"/>
  <c r="W35" i="137"/>
  <c r="Z35" i="137" s="1"/>
  <c r="V35" i="137"/>
  <c r="Y35" i="137" s="1"/>
  <c r="W34" i="137"/>
  <c r="Z34" i="137" s="1"/>
  <c r="V34" i="137"/>
  <c r="Y34" i="137" s="1"/>
  <c r="W33" i="137"/>
  <c r="Z33" i="137" s="1"/>
  <c r="V33" i="137"/>
  <c r="Y33" i="137" s="1"/>
  <c r="W32" i="137"/>
  <c r="Z32" i="137" s="1"/>
  <c r="V32" i="137"/>
  <c r="Y32" i="137" s="1"/>
  <c r="W31" i="137"/>
  <c r="Z31" i="137" s="1"/>
  <c r="V31" i="137"/>
  <c r="Y31" i="137" s="1"/>
  <c r="W30" i="137"/>
  <c r="Z30" i="137" s="1"/>
  <c r="V30" i="137"/>
  <c r="Y30" i="137" s="1"/>
  <c r="W29" i="137"/>
  <c r="Z29" i="137" s="1"/>
  <c r="V29" i="137"/>
  <c r="Y29" i="137" s="1"/>
  <c r="W28" i="137"/>
  <c r="Z28" i="137" s="1"/>
  <c r="V28" i="137"/>
  <c r="Y28" i="137" s="1"/>
  <c r="W27" i="137"/>
  <c r="Z27" i="137" s="1"/>
  <c r="V27" i="137"/>
  <c r="Y27" i="137" s="1"/>
  <c r="W26" i="137"/>
  <c r="Z26" i="137" s="1"/>
  <c r="V26" i="137"/>
  <c r="Y26" i="137" s="1"/>
  <c r="W25" i="137"/>
  <c r="Z25" i="137" s="1"/>
  <c r="V25" i="137"/>
  <c r="Y25" i="137" s="1"/>
  <c r="W24" i="137"/>
  <c r="Z24" i="137" s="1"/>
  <c r="V24" i="137"/>
  <c r="Y24" i="137" s="1"/>
  <c r="W23" i="137"/>
  <c r="Z23" i="137" s="1"/>
  <c r="V23" i="137"/>
  <c r="Y23" i="137" s="1"/>
  <c r="W22" i="137"/>
  <c r="Z22" i="137" s="1"/>
  <c r="V22" i="137"/>
  <c r="Y22" i="137" s="1"/>
  <c r="AB97" i="137"/>
  <c r="AB96" i="137"/>
  <c r="AB95" i="137"/>
  <c r="AB94" i="137"/>
  <c r="AB93" i="137"/>
  <c r="AB92" i="137"/>
  <c r="AB91" i="137"/>
  <c r="AB90" i="137"/>
  <c r="AB89" i="137"/>
  <c r="AB88" i="137"/>
  <c r="AB87" i="137"/>
  <c r="AB86" i="137"/>
  <c r="AB85" i="137"/>
  <c r="AB84" i="137"/>
  <c r="AB83" i="137"/>
  <c r="AB82" i="137"/>
  <c r="AB81" i="137"/>
  <c r="AB80" i="137"/>
  <c r="AB79" i="137"/>
  <c r="AB78" i="137"/>
  <c r="X74" i="137"/>
  <c r="X73" i="137"/>
  <c r="X72" i="137"/>
  <c r="X71" i="137"/>
  <c r="X70" i="137"/>
  <c r="X68" i="137"/>
  <c r="X67" i="137"/>
  <c r="X66" i="137"/>
  <c r="X65" i="137"/>
  <c r="X64" i="137"/>
  <c r="X62" i="137"/>
  <c r="X61" i="137"/>
  <c r="X60" i="137"/>
  <c r="X59" i="137"/>
  <c r="X58" i="137"/>
  <c r="X57" i="137"/>
  <c r="X56" i="137"/>
  <c r="X55" i="137"/>
  <c r="X54" i="137"/>
  <c r="X53" i="137"/>
  <c r="X52" i="137"/>
  <c r="X51" i="137"/>
  <c r="X50" i="137"/>
  <c r="X49" i="137"/>
  <c r="X48" i="137"/>
  <c r="X47" i="137"/>
  <c r="X46" i="137"/>
  <c r="X45" i="137"/>
  <c r="X44" i="137"/>
  <c r="X43" i="137"/>
  <c r="X41" i="137"/>
  <c r="X40" i="137"/>
  <c r="X39" i="137"/>
  <c r="X38" i="137"/>
  <c r="X37" i="137"/>
  <c r="X36" i="137"/>
  <c r="X35" i="137"/>
  <c r="X34" i="137"/>
  <c r="X33" i="137"/>
  <c r="X32" i="137"/>
  <c r="X31" i="137"/>
  <c r="X30" i="137"/>
  <c r="X29" i="137"/>
  <c r="X28" i="137"/>
  <c r="X27" i="137"/>
  <c r="X26" i="137"/>
  <c r="X25" i="137"/>
  <c r="X24" i="137"/>
  <c r="X23" i="137"/>
  <c r="X22" i="137"/>
  <c r="U12" i="137"/>
  <c r="V12" i="137"/>
  <c r="W12" i="137"/>
  <c r="X12" i="137"/>
  <c r="U13" i="137"/>
  <c r="V13" i="137"/>
  <c r="Y13" i="137" s="1"/>
  <c r="W13" i="137"/>
  <c r="Z13" i="137" s="1"/>
  <c r="X13" i="137"/>
  <c r="J14" i="137"/>
  <c r="U14" i="137"/>
  <c r="V14" i="137"/>
  <c r="Y14" i="137" s="1"/>
  <c r="W14" i="137"/>
  <c r="Z14" i="137" s="1"/>
  <c r="X14" i="137"/>
  <c r="U15" i="137"/>
  <c r="V15" i="137"/>
  <c r="Y15" i="137" s="1"/>
  <c r="W15" i="137"/>
  <c r="Z15" i="137" s="1"/>
  <c r="X15" i="137"/>
  <c r="U16" i="137"/>
  <c r="V16" i="137"/>
  <c r="Y16" i="137" s="1"/>
  <c r="W16" i="137"/>
  <c r="Z16" i="137" s="1"/>
  <c r="X16" i="137"/>
  <c r="U17" i="137"/>
  <c r="V17" i="137"/>
  <c r="Y17" i="137" s="1"/>
  <c r="W17" i="137"/>
  <c r="Z17" i="137" s="1"/>
  <c r="X17" i="137"/>
  <c r="U18" i="137"/>
  <c r="V18" i="137"/>
  <c r="Y18" i="137" s="1"/>
  <c r="W18" i="137"/>
  <c r="Z18" i="137" s="1"/>
  <c r="X18" i="137"/>
  <c r="U19" i="137"/>
  <c r="V19" i="137"/>
  <c r="Y19" i="137" s="1"/>
  <c r="W19" i="137"/>
  <c r="Z19" i="137" s="1"/>
  <c r="X19" i="137"/>
  <c r="U20" i="137"/>
  <c r="V20" i="137"/>
  <c r="Y20" i="137" s="1"/>
  <c r="W20" i="137"/>
  <c r="Z20" i="137" s="1"/>
  <c r="X20" i="137"/>
  <c r="U21" i="137"/>
  <c r="V21" i="137"/>
  <c r="Y21" i="137" s="1"/>
  <c r="W21" i="137"/>
  <c r="Z21" i="137" s="1"/>
  <c r="X21" i="137"/>
  <c r="J46" i="137"/>
  <c r="D46" i="137"/>
  <c r="J57" i="137"/>
  <c r="D57" i="137"/>
  <c r="F57" i="137" s="1"/>
  <c r="J52" i="137"/>
  <c r="F52" i="137"/>
  <c r="D52" i="137"/>
  <c r="J22" i="137"/>
  <c r="J30" i="137"/>
  <c r="J38" i="137"/>
  <c r="D47" i="137"/>
  <c r="F47" i="137" s="1"/>
  <c r="D48" i="137"/>
  <c r="F48" i="137" s="1"/>
  <c r="D49" i="137"/>
  <c r="F49" i="137" s="1"/>
  <c r="D51" i="137"/>
  <c r="F51" i="137" s="1"/>
  <c r="D53" i="137"/>
  <c r="F53" i="137"/>
  <c r="D54" i="137"/>
  <c r="F54" i="137"/>
  <c r="D55" i="137"/>
  <c r="F55" i="137"/>
  <c r="D56" i="137"/>
  <c r="F56" i="137"/>
  <c r="D58" i="137"/>
  <c r="F58" i="137" s="1"/>
  <c r="F60" i="137"/>
  <c r="G60" i="137" s="1"/>
  <c r="L60" i="137" s="1"/>
  <c r="T78" i="137"/>
  <c r="T98" i="137" s="1"/>
  <c r="G86" i="137" s="1"/>
  <c r="H81" i="137" s="1"/>
  <c r="Y78" i="137"/>
  <c r="Y98" i="137" s="1"/>
  <c r="J20" i="136"/>
  <c r="AA97" i="136"/>
  <c r="AA96" i="136"/>
  <c r="AA95" i="136"/>
  <c r="AA94" i="136"/>
  <c r="AA93" i="136"/>
  <c r="AA92" i="136"/>
  <c r="AA91" i="136"/>
  <c r="AA90" i="136"/>
  <c r="AA89" i="136"/>
  <c r="AA88" i="136"/>
  <c r="AA87" i="136"/>
  <c r="AA86" i="136"/>
  <c r="AA85" i="136"/>
  <c r="AA84" i="136"/>
  <c r="AA83" i="136"/>
  <c r="AA82" i="136"/>
  <c r="AA81" i="136"/>
  <c r="AA80" i="136"/>
  <c r="AA79" i="136"/>
  <c r="AA78" i="136"/>
  <c r="U74" i="136"/>
  <c r="U73" i="136"/>
  <c r="U72" i="136"/>
  <c r="U71" i="136"/>
  <c r="U70" i="136"/>
  <c r="U68" i="136"/>
  <c r="U67" i="136"/>
  <c r="U66" i="136"/>
  <c r="U65" i="136"/>
  <c r="U64" i="136"/>
  <c r="U62" i="136"/>
  <c r="U61" i="136"/>
  <c r="U60" i="136"/>
  <c r="U59" i="136"/>
  <c r="U58" i="136"/>
  <c r="U57" i="136"/>
  <c r="U56" i="136"/>
  <c r="U55" i="136"/>
  <c r="U54" i="136"/>
  <c r="U53" i="136"/>
  <c r="U52" i="136"/>
  <c r="U51" i="136"/>
  <c r="U50" i="136"/>
  <c r="U49" i="136"/>
  <c r="U48" i="136"/>
  <c r="U47" i="136"/>
  <c r="U46" i="136"/>
  <c r="U45" i="136"/>
  <c r="U44" i="136"/>
  <c r="U43" i="136"/>
  <c r="U41" i="136"/>
  <c r="U40" i="136"/>
  <c r="U39" i="136"/>
  <c r="U38" i="136"/>
  <c r="U37" i="136"/>
  <c r="U36" i="136"/>
  <c r="U35" i="136"/>
  <c r="U34" i="136"/>
  <c r="U33" i="136"/>
  <c r="U32" i="136"/>
  <c r="U31" i="136"/>
  <c r="U30" i="136"/>
  <c r="U29" i="136"/>
  <c r="U28" i="136"/>
  <c r="U27" i="136"/>
  <c r="U26" i="136"/>
  <c r="U25" i="136"/>
  <c r="U24" i="136"/>
  <c r="U23" i="136"/>
  <c r="U22" i="136"/>
  <c r="W74" i="136"/>
  <c r="Z74" i="136" s="1"/>
  <c r="V74" i="136"/>
  <c r="Y74" i="136" s="1"/>
  <c r="W73" i="136"/>
  <c r="Z73" i="136" s="1"/>
  <c r="V73" i="136"/>
  <c r="Y73" i="136" s="1"/>
  <c r="W72" i="136"/>
  <c r="Z72" i="136" s="1"/>
  <c r="V72" i="136"/>
  <c r="Y72" i="136" s="1"/>
  <c r="W71" i="136"/>
  <c r="Z71" i="136" s="1"/>
  <c r="V71" i="136"/>
  <c r="Y71" i="136" s="1"/>
  <c r="W70" i="136"/>
  <c r="V70" i="136"/>
  <c r="W68" i="136"/>
  <c r="Z68" i="136" s="1"/>
  <c r="V68" i="136"/>
  <c r="Y68" i="136" s="1"/>
  <c r="W67" i="136"/>
  <c r="Z67" i="136" s="1"/>
  <c r="V67" i="136"/>
  <c r="Y67" i="136" s="1"/>
  <c r="W66" i="136"/>
  <c r="Z66" i="136" s="1"/>
  <c r="V66" i="136"/>
  <c r="Y66" i="136" s="1"/>
  <c r="W65" i="136"/>
  <c r="Z65" i="136" s="1"/>
  <c r="V65" i="136"/>
  <c r="Y65" i="136" s="1"/>
  <c r="W64" i="136"/>
  <c r="V64" i="136"/>
  <c r="W62" i="136"/>
  <c r="Z62" i="136" s="1"/>
  <c r="V62" i="136"/>
  <c r="Y62" i="136" s="1"/>
  <c r="W61" i="136"/>
  <c r="Z61" i="136" s="1"/>
  <c r="V61" i="136"/>
  <c r="Y61" i="136" s="1"/>
  <c r="W60" i="136"/>
  <c r="Z60" i="136" s="1"/>
  <c r="V60" i="136"/>
  <c r="Y60" i="136" s="1"/>
  <c r="W59" i="136"/>
  <c r="Z59" i="136" s="1"/>
  <c r="V59" i="136"/>
  <c r="Y59" i="136" s="1"/>
  <c r="W58" i="136"/>
  <c r="Z58" i="136" s="1"/>
  <c r="V58" i="136"/>
  <c r="Y58" i="136" s="1"/>
  <c r="W57" i="136"/>
  <c r="Z57" i="136" s="1"/>
  <c r="V57" i="136"/>
  <c r="Y57" i="136" s="1"/>
  <c r="W56" i="136"/>
  <c r="Z56" i="136" s="1"/>
  <c r="V56" i="136"/>
  <c r="Y56" i="136" s="1"/>
  <c r="W55" i="136"/>
  <c r="Z55" i="136" s="1"/>
  <c r="V55" i="136"/>
  <c r="Y55" i="136" s="1"/>
  <c r="W54" i="136"/>
  <c r="Z54" i="136" s="1"/>
  <c r="V54" i="136"/>
  <c r="Y54" i="136" s="1"/>
  <c r="W53" i="136"/>
  <c r="Z53" i="136" s="1"/>
  <c r="V53" i="136"/>
  <c r="Y53" i="136" s="1"/>
  <c r="W52" i="136"/>
  <c r="Z52" i="136" s="1"/>
  <c r="V52" i="136"/>
  <c r="Y52" i="136" s="1"/>
  <c r="W51" i="136"/>
  <c r="Z51" i="136" s="1"/>
  <c r="V51" i="136"/>
  <c r="Y51" i="136" s="1"/>
  <c r="W50" i="136"/>
  <c r="Z50" i="136" s="1"/>
  <c r="V50" i="136"/>
  <c r="Y50" i="136" s="1"/>
  <c r="W49" i="136"/>
  <c r="Z49" i="136" s="1"/>
  <c r="V49" i="136"/>
  <c r="Y49" i="136" s="1"/>
  <c r="W48" i="136"/>
  <c r="Z48" i="136" s="1"/>
  <c r="V48" i="136"/>
  <c r="Y48" i="136" s="1"/>
  <c r="W47" i="136"/>
  <c r="Z47" i="136" s="1"/>
  <c r="V47" i="136"/>
  <c r="Y47" i="136" s="1"/>
  <c r="W46" i="136"/>
  <c r="Z46" i="136" s="1"/>
  <c r="V46" i="136"/>
  <c r="Y46" i="136" s="1"/>
  <c r="W45" i="136"/>
  <c r="Z45" i="136" s="1"/>
  <c r="V45" i="136"/>
  <c r="Y45" i="136" s="1"/>
  <c r="W44" i="136"/>
  <c r="Z44" i="136" s="1"/>
  <c r="V44" i="136"/>
  <c r="Y44" i="136" s="1"/>
  <c r="W43" i="136"/>
  <c r="V43" i="136"/>
  <c r="W41" i="136"/>
  <c r="Z41" i="136" s="1"/>
  <c r="V41" i="136"/>
  <c r="Y41" i="136" s="1"/>
  <c r="W40" i="136"/>
  <c r="Z40" i="136" s="1"/>
  <c r="V40" i="136"/>
  <c r="Y40" i="136" s="1"/>
  <c r="W39" i="136"/>
  <c r="Z39" i="136" s="1"/>
  <c r="V39" i="136"/>
  <c r="Y39" i="136" s="1"/>
  <c r="W38" i="136"/>
  <c r="Z38" i="136" s="1"/>
  <c r="V38" i="136"/>
  <c r="Y38" i="136" s="1"/>
  <c r="W37" i="136"/>
  <c r="Z37" i="136" s="1"/>
  <c r="V37" i="136"/>
  <c r="Y37" i="136" s="1"/>
  <c r="W36" i="136"/>
  <c r="Z36" i="136" s="1"/>
  <c r="V36" i="136"/>
  <c r="Y36" i="136" s="1"/>
  <c r="W35" i="136"/>
  <c r="Z35" i="136" s="1"/>
  <c r="V35" i="136"/>
  <c r="Y35" i="136" s="1"/>
  <c r="W34" i="136"/>
  <c r="Z34" i="136" s="1"/>
  <c r="V34" i="136"/>
  <c r="Y34" i="136" s="1"/>
  <c r="W33" i="136"/>
  <c r="Z33" i="136" s="1"/>
  <c r="V33" i="136"/>
  <c r="Y33" i="136" s="1"/>
  <c r="W32" i="136"/>
  <c r="Z32" i="136" s="1"/>
  <c r="V32" i="136"/>
  <c r="Y32" i="136" s="1"/>
  <c r="W31" i="136"/>
  <c r="Z31" i="136" s="1"/>
  <c r="V31" i="136"/>
  <c r="Y31" i="136" s="1"/>
  <c r="W30" i="136"/>
  <c r="Z30" i="136" s="1"/>
  <c r="V30" i="136"/>
  <c r="Y30" i="136" s="1"/>
  <c r="W29" i="136"/>
  <c r="Z29" i="136" s="1"/>
  <c r="V29" i="136"/>
  <c r="Y29" i="136" s="1"/>
  <c r="W28" i="136"/>
  <c r="Z28" i="136" s="1"/>
  <c r="V28" i="136"/>
  <c r="Y28" i="136" s="1"/>
  <c r="W27" i="136"/>
  <c r="Z27" i="136" s="1"/>
  <c r="V27" i="136"/>
  <c r="Y27" i="136" s="1"/>
  <c r="W26" i="136"/>
  <c r="Z26" i="136" s="1"/>
  <c r="V26" i="136"/>
  <c r="Y26" i="136" s="1"/>
  <c r="W25" i="136"/>
  <c r="Z25" i="136" s="1"/>
  <c r="V25" i="136"/>
  <c r="Y25" i="136" s="1"/>
  <c r="W24" i="136"/>
  <c r="Z24" i="136" s="1"/>
  <c r="V24" i="136"/>
  <c r="Y24" i="136" s="1"/>
  <c r="W23" i="136"/>
  <c r="Z23" i="136" s="1"/>
  <c r="V23" i="136"/>
  <c r="Y23" i="136" s="1"/>
  <c r="W22" i="136"/>
  <c r="Z22" i="136" s="1"/>
  <c r="V22" i="136"/>
  <c r="Y22" i="136" s="1"/>
  <c r="AB97" i="136"/>
  <c r="AB96" i="136"/>
  <c r="AB95" i="136"/>
  <c r="AB94" i="136"/>
  <c r="AB93" i="136"/>
  <c r="AB92" i="136"/>
  <c r="AB91" i="136"/>
  <c r="AB90" i="136"/>
  <c r="AB89" i="136"/>
  <c r="AB88" i="136"/>
  <c r="AB87" i="136"/>
  <c r="AB86" i="136"/>
  <c r="AB85" i="136"/>
  <c r="AB84" i="136"/>
  <c r="AB83" i="136"/>
  <c r="AB82" i="136"/>
  <c r="AB81" i="136"/>
  <c r="AB80" i="136"/>
  <c r="AB79" i="136"/>
  <c r="AB78" i="136"/>
  <c r="X74" i="136"/>
  <c r="X73" i="136"/>
  <c r="X72" i="136"/>
  <c r="X71" i="136"/>
  <c r="X70" i="136"/>
  <c r="X68" i="136"/>
  <c r="X67" i="136"/>
  <c r="X66" i="136"/>
  <c r="X65" i="136"/>
  <c r="X64" i="136"/>
  <c r="X62" i="136"/>
  <c r="X61" i="136"/>
  <c r="X60" i="136"/>
  <c r="X59" i="136"/>
  <c r="X58" i="136"/>
  <c r="X57" i="136"/>
  <c r="X56" i="136"/>
  <c r="X55" i="136"/>
  <c r="X54" i="136"/>
  <c r="X53" i="136"/>
  <c r="X52" i="136"/>
  <c r="X51" i="136"/>
  <c r="X50" i="136"/>
  <c r="X49" i="136"/>
  <c r="X48" i="136"/>
  <c r="X47" i="136"/>
  <c r="X46" i="136"/>
  <c r="X45" i="136"/>
  <c r="X44" i="136"/>
  <c r="X43" i="136"/>
  <c r="X41" i="136"/>
  <c r="X40" i="136"/>
  <c r="X39" i="136"/>
  <c r="X38" i="136"/>
  <c r="X37" i="136"/>
  <c r="X36" i="136"/>
  <c r="X35" i="136"/>
  <c r="X34" i="136"/>
  <c r="X33" i="136"/>
  <c r="X32" i="136"/>
  <c r="X31" i="136"/>
  <c r="X30" i="136"/>
  <c r="X29" i="136"/>
  <c r="X28" i="136"/>
  <c r="X27" i="136"/>
  <c r="X26" i="136"/>
  <c r="X25" i="136"/>
  <c r="X24" i="136"/>
  <c r="X23" i="136"/>
  <c r="X22" i="136"/>
  <c r="U12" i="136"/>
  <c r="V12" i="136"/>
  <c r="W12" i="136"/>
  <c r="X12" i="136"/>
  <c r="U13" i="136"/>
  <c r="V13" i="136"/>
  <c r="Y13" i="136" s="1"/>
  <c r="W13" i="136"/>
  <c r="Z13" i="136" s="1"/>
  <c r="X13" i="136"/>
  <c r="J14" i="136"/>
  <c r="U14" i="136"/>
  <c r="V14" i="136"/>
  <c r="Y14" i="136" s="1"/>
  <c r="W14" i="136"/>
  <c r="Z14" i="136" s="1"/>
  <c r="X14" i="136"/>
  <c r="U15" i="136"/>
  <c r="V15" i="136"/>
  <c r="Y15" i="136" s="1"/>
  <c r="W15" i="136"/>
  <c r="Z15" i="136" s="1"/>
  <c r="X15" i="136"/>
  <c r="U16" i="136"/>
  <c r="V16" i="136"/>
  <c r="Y16" i="136" s="1"/>
  <c r="W16" i="136"/>
  <c r="Z16" i="136" s="1"/>
  <c r="X16" i="136"/>
  <c r="U17" i="136"/>
  <c r="V17" i="136"/>
  <c r="Y17" i="136" s="1"/>
  <c r="W17" i="136"/>
  <c r="Z17" i="136" s="1"/>
  <c r="X17" i="136"/>
  <c r="U18" i="136"/>
  <c r="V18" i="136"/>
  <c r="Y18" i="136" s="1"/>
  <c r="W18" i="136"/>
  <c r="Z18" i="136" s="1"/>
  <c r="X18" i="136"/>
  <c r="U19" i="136"/>
  <c r="V19" i="136"/>
  <c r="Y19" i="136" s="1"/>
  <c r="W19" i="136"/>
  <c r="Z19" i="136" s="1"/>
  <c r="X19" i="136"/>
  <c r="U20" i="136"/>
  <c r="V20" i="136"/>
  <c r="Y20" i="136" s="1"/>
  <c r="W20" i="136"/>
  <c r="Z20" i="136" s="1"/>
  <c r="X20" i="136"/>
  <c r="U21" i="136"/>
  <c r="V21" i="136"/>
  <c r="Y21" i="136" s="1"/>
  <c r="W21" i="136"/>
  <c r="Z21" i="136" s="1"/>
  <c r="X21" i="136"/>
  <c r="J46" i="136"/>
  <c r="D46" i="136"/>
  <c r="J57" i="136"/>
  <c r="D57" i="136"/>
  <c r="F57" i="136" s="1"/>
  <c r="J52" i="136"/>
  <c r="F52" i="136"/>
  <c r="D52" i="136"/>
  <c r="J22" i="136"/>
  <c r="J30" i="136"/>
  <c r="J38" i="136"/>
  <c r="D47" i="136"/>
  <c r="F47" i="136" s="1"/>
  <c r="D48" i="136"/>
  <c r="F48" i="136" s="1"/>
  <c r="D49" i="136"/>
  <c r="F49" i="136" s="1"/>
  <c r="D50" i="136"/>
  <c r="F50" i="136" s="1"/>
  <c r="D53" i="136"/>
  <c r="F53" i="136"/>
  <c r="D54" i="136"/>
  <c r="F54" i="136"/>
  <c r="D55" i="136"/>
  <c r="F55" i="136"/>
  <c r="D56" i="136"/>
  <c r="F56" i="136"/>
  <c r="D58" i="136"/>
  <c r="F58" i="136" s="1"/>
  <c r="F60" i="136"/>
  <c r="G60" i="136" s="1"/>
  <c r="L60" i="136" s="1"/>
  <c r="T78" i="136"/>
  <c r="T98" i="136" s="1"/>
  <c r="G79" i="136" s="1"/>
  <c r="G86" i="136" s="1"/>
  <c r="H81" i="136" s="1"/>
  <c r="Y78" i="136"/>
  <c r="Y98" i="136" s="1"/>
  <c r="J20" i="135"/>
  <c r="AA97" i="135"/>
  <c r="AA96" i="135"/>
  <c r="AA95" i="135"/>
  <c r="AA94" i="135"/>
  <c r="AA93" i="135"/>
  <c r="AA92" i="135"/>
  <c r="AA91" i="135"/>
  <c r="AA90" i="135"/>
  <c r="AA89" i="135"/>
  <c r="AA88" i="135"/>
  <c r="AA87" i="135"/>
  <c r="AA86" i="135"/>
  <c r="AA85" i="135"/>
  <c r="AA84" i="135"/>
  <c r="AA83" i="135"/>
  <c r="AA82" i="135"/>
  <c r="AA81" i="135"/>
  <c r="AA80" i="135"/>
  <c r="AA79" i="135"/>
  <c r="AA78" i="135"/>
  <c r="U74" i="135"/>
  <c r="U73" i="135"/>
  <c r="U72" i="135"/>
  <c r="U71" i="135"/>
  <c r="U70" i="135"/>
  <c r="U68" i="135"/>
  <c r="U67" i="135"/>
  <c r="U66" i="135"/>
  <c r="U65" i="135"/>
  <c r="U64" i="135"/>
  <c r="U62" i="135"/>
  <c r="U61" i="135"/>
  <c r="U60" i="135"/>
  <c r="U59" i="135"/>
  <c r="U58" i="135"/>
  <c r="U57" i="135"/>
  <c r="U56" i="135"/>
  <c r="U55" i="135"/>
  <c r="U54" i="135"/>
  <c r="U53" i="135"/>
  <c r="U52" i="135"/>
  <c r="U51" i="135"/>
  <c r="U50" i="135"/>
  <c r="U49" i="135"/>
  <c r="U48" i="135"/>
  <c r="U47" i="135"/>
  <c r="U46" i="135"/>
  <c r="U45" i="135"/>
  <c r="U44" i="135"/>
  <c r="U43" i="135"/>
  <c r="U41" i="135"/>
  <c r="U40" i="135"/>
  <c r="U39" i="135"/>
  <c r="U38" i="135"/>
  <c r="U37" i="135"/>
  <c r="U36" i="135"/>
  <c r="U35" i="135"/>
  <c r="U34" i="135"/>
  <c r="U33" i="135"/>
  <c r="U32" i="135"/>
  <c r="U31" i="135"/>
  <c r="U30" i="135"/>
  <c r="U29" i="135"/>
  <c r="U28" i="135"/>
  <c r="U27" i="135"/>
  <c r="U26" i="135"/>
  <c r="U25" i="135"/>
  <c r="U24" i="135"/>
  <c r="U23" i="135"/>
  <c r="U22" i="135"/>
  <c r="W74" i="135"/>
  <c r="Z74" i="135" s="1"/>
  <c r="V74" i="135"/>
  <c r="Y74" i="135" s="1"/>
  <c r="W73" i="135"/>
  <c r="Z73" i="135" s="1"/>
  <c r="V73" i="135"/>
  <c r="Y73" i="135" s="1"/>
  <c r="W72" i="135"/>
  <c r="Z72" i="135" s="1"/>
  <c r="V72" i="135"/>
  <c r="Y72" i="135" s="1"/>
  <c r="W71" i="135"/>
  <c r="Z71" i="135" s="1"/>
  <c r="V71" i="135"/>
  <c r="Y71" i="135" s="1"/>
  <c r="W70" i="135"/>
  <c r="V70" i="135"/>
  <c r="W68" i="135"/>
  <c r="Z68" i="135" s="1"/>
  <c r="V68" i="135"/>
  <c r="Y68" i="135" s="1"/>
  <c r="W67" i="135"/>
  <c r="Z67" i="135" s="1"/>
  <c r="V67" i="135"/>
  <c r="Y67" i="135" s="1"/>
  <c r="W66" i="135"/>
  <c r="Z66" i="135" s="1"/>
  <c r="V66" i="135"/>
  <c r="Y66" i="135" s="1"/>
  <c r="W65" i="135"/>
  <c r="Z65" i="135" s="1"/>
  <c r="V65" i="135"/>
  <c r="Y65" i="135" s="1"/>
  <c r="W64" i="135"/>
  <c r="V64" i="135"/>
  <c r="W62" i="135"/>
  <c r="Z62" i="135" s="1"/>
  <c r="V62" i="135"/>
  <c r="Y62" i="135" s="1"/>
  <c r="W61" i="135"/>
  <c r="Z61" i="135" s="1"/>
  <c r="V61" i="135"/>
  <c r="Y61" i="135" s="1"/>
  <c r="W60" i="135"/>
  <c r="Z60" i="135" s="1"/>
  <c r="V60" i="135"/>
  <c r="Y60" i="135" s="1"/>
  <c r="W59" i="135"/>
  <c r="Z59" i="135" s="1"/>
  <c r="V59" i="135"/>
  <c r="Y59" i="135" s="1"/>
  <c r="W58" i="135"/>
  <c r="Z58" i="135" s="1"/>
  <c r="V58" i="135"/>
  <c r="Y58" i="135" s="1"/>
  <c r="W57" i="135"/>
  <c r="Z57" i="135" s="1"/>
  <c r="V57" i="135"/>
  <c r="Y57" i="135" s="1"/>
  <c r="W56" i="135"/>
  <c r="Z56" i="135" s="1"/>
  <c r="V56" i="135"/>
  <c r="Y56" i="135" s="1"/>
  <c r="W55" i="135"/>
  <c r="Z55" i="135" s="1"/>
  <c r="V55" i="135"/>
  <c r="Y55" i="135" s="1"/>
  <c r="W54" i="135"/>
  <c r="Z54" i="135" s="1"/>
  <c r="V54" i="135"/>
  <c r="Y54" i="135" s="1"/>
  <c r="W53" i="135"/>
  <c r="Z53" i="135" s="1"/>
  <c r="V53" i="135"/>
  <c r="Y53" i="135" s="1"/>
  <c r="W52" i="135"/>
  <c r="Z52" i="135" s="1"/>
  <c r="V52" i="135"/>
  <c r="Y52" i="135" s="1"/>
  <c r="W51" i="135"/>
  <c r="Z51" i="135" s="1"/>
  <c r="V51" i="135"/>
  <c r="Y51" i="135" s="1"/>
  <c r="W50" i="135"/>
  <c r="Z50" i="135" s="1"/>
  <c r="V50" i="135"/>
  <c r="Y50" i="135" s="1"/>
  <c r="W49" i="135"/>
  <c r="Z49" i="135" s="1"/>
  <c r="V49" i="135"/>
  <c r="Y49" i="135" s="1"/>
  <c r="W48" i="135"/>
  <c r="Z48" i="135" s="1"/>
  <c r="V48" i="135"/>
  <c r="Y48" i="135" s="1"/>
  <c r="W47" i="135"/>
  <c r="Z47" i="135" s="1"/>
  <c r="V47" i="135"/>
  <c r="Y47" i="135" s="1"/>
  <c r="W46" i="135"/>
  <c r="Z46" i="135" s="1"/>
  <c r="V46" i="135"/>
  <c r="Y46" i="135" s="1"/>
  <c r="W45" i="135"/>
  <c r="Z45" i="135" s="1"/>
  <c r="V45" i="135"/>
  <c r="Y45" i="135" s="1"/>
  <c r="W44" i="135"/>
  <c r="Z44" i="135" s="1"/>
  <c r="V44" i="135"/>
  <c r="Y44" i="135" s="1"/>
  <c r="W43" i="135"/>
  <c r="V43" i="135"/>
  <c r="W41" i="135"/>
  <c r="Z41" i="135" s="1"/>
  <c r="V41" i="135"/>
  <c r="Y41" i="135" s="1"/>
  <c r="W40" i="135"/>
  <c r="Z40" i="135" s="1"/>
  <c r="V40" i="135"/>
  <c r="Y40" i="135" s="1"/>
  <c r="W39" i="135"/>
  <c r="Z39" i="135" s="1"/>
  <c r="V39" i="135"/>
  <c r="Y39" i="135" s="1"/>
  <c r="W38" i="135"/>
  <c r="Z38" i="135" s="1"/>
  <c r="V38" i="135"/>
  <c r="Y38" i="135" s="1"/>
  <c r="W37" i="135"/>
  <c r="Z37" i="135" s="1"/>
  <c r="V37" i="135"/>
  <c r="Y37" i="135" s="1"/>
  <c r="W36" i="135"/>
  <c r="Z36" i="135" s="1"/>
  <c r="V36" i="135"/>
  <c r="Y36" i="135" s="1"/>
  <c r="W35" i="135"/>
  <c r="Z35" i="135" s="1"/>
  <c r="V35" i="135"/>
  <c r="Y35" i="135" s="1"/>
  <c r="W34" i="135"/>
  <c r="Z34" i="135" s="1"/>
  <c r="V34" i="135"/>
  <c r="Y34" i="135" s="1"/>
  <c r="W33" i="135"/>
  <c r="Z33" i="135" s="1"/>
  <c r="V33" i="135"/>
  <c r="Y33" i="135" s="1"/>
  <c r="W32" i="135"/>
  <c r="Z32" i="135" s="1"/>
  <c r="V32" i="135"/>
  <c r="Y32" i="135" s="1"/>
  <c r="W31" i="135"/>
  <c r="Z31" i="135" s="1"/>
  <c r="V31" i="135"/>
  <c r="Y31" i="135" s="1"/>
  <c r="W30" i="135"/>
  <c r="Z30" i="135" s="1"/>
  <c r="V30" i="135"/>
  <c r="Y30" i="135" s="1"/>
  <c r="W29" i="135"/>
  <c r="Z29" i="135" s="1"/>
  <c r="V29" i="135"/>
  <c r="Y29" i="135" s="1"/>
  <c r="W28" i="135"/>
  <c r="Z28" i="135" s="1"/>
  <c r="V28" i="135"/>
  <c r="Y28" i="135" s="1"/>
  <c r="W27" i="135"/>
  <c r="Z27" i="135" s="1"/>
  <c r="V27" i="135"/>
  <c r="Y27" i="135" s="1"/>
  <c r="W26" i="135"/>
  <c r="Z26" i="135" s="1"/>
  <c r="V26" i="135"/>
  <c r="Y26" i="135" s="1"/>
  <c r="W25" i="135"/>
  <c r="Z25" i="135" s="1"/>
  <c r="V25" i="135"/>
  <c r="Y25" i="135" s="1"/>
  <c r="W24" i="135"/>
  <c r="Z24" i="135" s="1"/>
  <c r="V24" i="135"/>
  <c r="Y24" i="135" s="1"/>
  <c r="W23" i="135"/>
  <c r="Z23" i="135" s="1"/>
  <c r="V23" i="135"/>
  <c r="Y23" i="135" s="1"/>
  <c r="W22" i="135"/>
  <c r="Z22" i="135" s="1"/>
  <c r="V22" i="135"/>
  <c r="Y22" i="135" s="1"/>
  <c r="AB97" i="135"/>
  <c r="AB96" i="135"/>
  <c r="AB95" i="135"/>
  <c r="AB94" i="135"/>
  <c r="AB93" i="135"/>
  <c r="AB92" i="135"/>
  <c r="AB91" i="135"/>
  <c r="AB90" i="135"/>
  <c r="AB89" i="135"/>
  <c r="AB88" i="135"/>
  <c r="AB87" i="135"/>
  <c r="AB86" i="135"/>
  <c r="AB85" i="135"/>
  <c r="AB84" i="135"/>
  <c r="AB83" i="135"/>
  <c r="AB82" i="135"/>
  <c r="AB81" i="135"/>
  <c r="AB80" i="135"/>
  <c r="AB79" i="135"/>
  <c r="AB78" i="135"/>
  <c r="X74" i="135"/>
  <c r="X73" i="135"/>
  <c r="X72" i="135"/>
  <c r="X71" i="135"/>
  <c r="X70" i="135"/>
  <c r="X68" i="135"/>
  <c r="X67" i="135"/>
  <c r="X66" i="135"/>
  <c r="X65" i="135"/>
  <c r="X64" i="135"/>
  <c r="X62" i="135"/>
  <c r="X61" i="135"/>
  <c r="X60" i="135"/>
  <c r="X59" i="135"/>
  <c r="X58" i="135"/>
  <c r="X57" i="135"/>
  <c r="X56" i="135"/>
  <c r="X55" i="135"/>
  <c r="X54" i="135"/>
  <c r="X53" i="135"/>
  <c r="X52" i="135"/>
  <c r="X51" i="135"/>
  <c r="X50" i="135"/>
  <c r="X49" i="135"/>
  <c r="X48" i="135"/>
  <c r="X47" i="135"/>
  <c r="X46" i="135"/>
  <c r="X45" i="135"/>
  <c r="X44" i="135"/>
  <c r="X43" i="135"/>
  <c r="X41" i="135"/>
  <c r="X40" i="135"/>
  <c r="X39" i="135"/>
  <c r="X38" i="135"/>
  <c r="X37" i="135"/>
  <c r="X36" i="135"/>
  <c r="X35" i="135"/>
  <c r="X34" i="135"/>
  <c r="X33" i="135"/>
  <c r="X32" i="135"/>
  <c r="X31" i="135"/>
  <c r="X30" i="135"/>
  <c r="X29" i="135"/>
  <c r="X28" i="135"/>
  <c r="X27" i="135"/>
  <c r="X26" i="135"/>
  <c r="X25" i="135"/>
  <c r="X24" i="135"/>
  <c r="X23" i="135"/>
  <c r="X22" i="135"/>
  <c r="U12" i="135"/>
  <c r="V12" i="135"/>
  <c r="W12" i="135"/>
  <c r="X12" i="135"/>
  <c r="U13" i="135"/>
  <c r="V13" i="135"/>
  <c r="Y13" i="135" s="1"/>
  <c r="W13" i="135"/>
  <c r="Z13" i="135" s="1"/>
  <c r="X13" i="135"/>
  <c r="J14" i="135"/>
  <c r="U14" i="135"/>
  <c r="V14" i="135"/>
  <c r="Y14" i="135" s="1"/>
  <c r="W14" i="135"/>
  <c r="Z14" i="135" s="1"/>
  <c r="X14" i="135"/>
  <c r="U15" i="135"/>
  <c r="V15" i="135"/>
  <c r="Y15" i="135" s="1"/>
  <c r="W15" i="135"/>
  <c r="Z15" i="135" s="1"/>
  <c r="X15" i="135"/>
  <c r="U16" i="135"/>
  <c r="V16" i="135"/>
  <c r="Y16" i="135" s="1"/>
  <c r="W16" i="135"/>
  <c r="Z16" i="135" s="1"/>
  <c r="X16" i="135"/>
  <c r="U17" i="135"/>
  <c r="V17" i="135"/>
  <c r="Y17" i="135" s="1"/>
  <c r="W17" i="135"/>
  <c r="Z17" i="135" s="1"/>
  <c r="X17" i="135"/>
  <c r="U18" i="135"/>
  <c r="V18" i="135"/>
  <c r="Y18" i="135" s="1"/>
  <c r="W18" i="135"/>
  <c r="Z18" i="135" s="1"/>
  <c r="X18" i="135"/>
  <c r="U19" i="135"/>
  <c r="V19" i="135"/>
  <c r="Y19" i="135" s="1"/>
  <c r="W19" i="135"/>
  <c r="Z19" i="135" s="1"/>
  <c r="X19" i="135"/>
  <c r="U20" i="135"/>
  <c r="V20" i="135"/>
  <c r="Y20" i="135" s="1"/>
  <c r="W20" i="135"/>
  <c r="Z20" i="135" s="1"/>
  <c r="X20" i="135"/>
  <c r="U21" i="135"/>
  <c r="V21" i="135"/>
  <c r="Y21" i="135" s="1"/>
  <c r="W21" i="135"/>
  <c r="Z21" i="135" s="1"/>
  <c r="X21" i="135"/>
  <c r="J46" i="135"/>
  <c r="D46" i="135"/>
  <c r="J57" i="135"/>
  <c r="D57" i="135"/>
  <c r="F57" i="135" s="1"/>
  <c r="J52" i="135"/>
  <c r="F52" i="135"/>
  <c r="D52" i="135"/>
  <c r="J22" i="135"/>
  <c r="J30" i="135"/>
  <c r="J38" i="135"/>
  <c r="D47" i="135"/>
  <c r="F47" i="135" s="1"/>
  <c r="D48" i="135"/>
  <c r="F48" i="135" s="1"/>
  <c r="D49" i="135"/>
  <c r="F49" i="135" s="1"/>
  <c r="D53" i="135"/>
  <c r="F53" i="135"/>
  <c r="D54" i="135"/>
  <c r="F54" i="135"/>
  <c r="D55" i="135"/>
  <c r="F55" i="135"/>
  <c r="D56" i="135"/>
  <c r="F56" i="135"/>
  <c r="D58" i="135"/>
  <c r="F58" i="135" s="1"/>
  <c r="F60" i="135"/>
  <c r="G60" i="135" s="1"/>
  <c r="L60" i="135" s="1"/>
  <c r="T78" i="135"/>
  <c r="T98" i="135" s="1"/>
  <c r="G86" i="135" s="1"/>
  <c r="H81" i="135" s="1"/>
  <c r="Y78" i="135"/>
  <c r="Y98" i="135" s="1"/>
  <c r="J20" i="134"/>
  <c r="AA97" i="134"/>
  <c r="AA96" i="134"/>
  <c r="AA95" i="134"/>
  <c r="AA94" i="134"/>
  <c r="AA93" i="134"/>
  <c r="AA92" i="134"/>
  <c r="AA91" i="134"/>
  <c r="AA90" i="134"/>
  <c r="AA89" i="134"/>
  <c r="AA88" i="134"/>
  <c r="AA87" i="134"/>
  <c r="AA86" i="134"/>
  <c r="AA85" i="134"/>
  <c r="AA84" i="134"/>
  <c r="AA83" i="134"/>
  <c r="AA82" i="134"/>
  <c r="AA81" i="134"/>
  <c r="AA80" i="134"/>
  <c r="AA79" i="134"/>
  <c r="AA78" i="134"/>
  <c r="U74" i="134"/>
  <c r="U73" i="134"/>
  <c r="U72" i="134"/>
  <c r="U71" i="134"/>
  <c r="U70" i="134"/>
  <c r="U68" i="134"/>
  <c r="U67" i="134"/>
  <c r="U66" i="134"/>
  <c r="U65" i="134"/>
  <c r="U64" i="134"/>
  <c r="U62" i="134"/>
  <c r="U61" i="134"/>
  <c r="U60" i="134"/>
  <c r="U59" i="134"/>
  <c r="U58" i="134"/>
  <c r="U57" i="134"/>
  <c r="U56" i="134"/>
  <c r="U55" i="134"/>
  <c r="U54" i="134"/>
  <c r="U53" i="134"/>
  <c r="U52" i="134"/>
  <c r="U51" i="134"/>
  <c r="U50" i="134"/>
  <c r="U49" i="134"/>
  <c r="U48" i="134"/>
  <c r="U47" i="134"/>
  <c r="U46" i="134"/>
  <c r="U45" i="134"/>
  <c r="U44" i="134"/>
  <c r="U43" i="134"/>
  <c r="U41" i="134"/>
  <c r="U40" i="134"/>
  <c r="U39" i="134"/>
  <c r="U38" i="134"/>
  <c r="U37" i="134"/>
  <c r="U36" i="134"/>
  <c r="U35" i="134"/>
  <c r="U34" i="134"/>
  <c r="U33" i="134"/>
  <c r="U32" i="134"/>
  <c r="U31" i="134"/>
  <c r="U30" i="134"/>
  <c r="U29" i="134"/>
  <c r="U28" i="134"/>
  <c r="U27" i="134"/>
  <c r="U26" i="134"/>
  <c r="U25" i="134"/>
  <c r="U24" i="134"/>
  <c r="U23" i="134"/>
  <c r="U22" i="134"/>
  <c r="W74" i="134"/>
  <c r="Z74" i="134" s="1"/>
  <c r="V74" i="134"/>
  <c r="Y74" i="134" s="1"/>
  <c r="W73" i="134"/>
  <c r="Z73" i="134" s="1"/>
  <c r="V73" i="134"/>
  <c r="Y73" i="134" s="1"/>
  <c r="W72" i="134"/>
  <c r="Z72" i="134" s="1"/>
  <c r="V72" i="134"/>
  <c r="Y72" i="134" s="1"/>
  <c r="W71" i="134"/>
  <c r="Z71" i="134" s="1"/>
  <c r="V71" i="134"/>
  <c r="Y71" i="134" s="1"/>
  <c r="W70" i="134"/>
  <c r="V70" i="134"/>
  <c r="W68" i="134"/>
  <c r="Z68" i="134" s="1"/>
  <c r="V68" i="134"/>
  <c r="Y68" i="134" s="1"/>
  <c r="W67" i="134"/>
  <c r="Z67" i="134" s="1"/>
  <c r="V67" i="134"/>
  <c r="Y67" i="134" s="1"/>
  <c r="W66" i="134"/>
  <c r="Z66" i="134" s="1"/>
  <c r="V66" i="134"/>
  <c r="Y66" i="134" s="1"/>
  <c r="W65" i="134"/>
  <c r="Z65" i="134" s="1"/>
  <c r="V65" i="134"/>
  <c r="Y65" i="134" s="1"/>
  <c r="W64" i="134"/>
  <c r="V64" i="134"/>
  <c r="W62" i="134"/>
  <c r="Z62" i="134" s="1"/>
  <c r="V62" i="134"/>
  <c r="Y62" i="134" s="1"/>
  <c r="W61" i="134"/>
  <c r="Z61" i="134" s="1"/>
  <c r="V61" i="134"/>
  <c r="Y61" i="134" s="1"/>
  <c r="W60" i="134"/>
  <c r="Z60" i="134" s="1"/>
  <c r="V60" i="134"/>
  <c r="Y60" i="134" s="1"/>
  <c r="W59" i="134"/>
  <c r="Z59" i="134" s="1"/>
  <c r="V59" i="134"/>
  <c r="Y59" i="134" s="1"/>
  <c r="W58" i="134"/>
  <c r="Z58" i="134" s="1"/>
  <c r="V58" i="134"/>
  <c r="Y58" i="134" s="1"/>
  <c r="W57" i="134"/>
  <c r="Z57" i="134" s="1"/>
  <c r="V57" i="134"/>
  <c r="Y57" i="134" s="1"/>
  <c r="W56" i="134"/>
  <c r="Z56" i="134" s="1"/>
  <c r="V56" i="134"/>
  <c r="Y56" i="134" s="1"/>
  <c r="W55" i="134"/>
  <c r="Z55" i="134" s="1"/>
  <c r="V55" i="134"/>
  <c r="Y55" i="134" s="1"/>
  <c r="W54" i="134"/>
  <c r="Z54" i="134" s="1"/>
  <c r="V54" i="134"/>
  <c r="Y54" i="134" s="1"/>
  <c r="W53" i="134"/>
  <c r="Z53" i="134" s="1"/>
  <c r="V53" i="134"/>
  <c r="Y53" i="134" s="1"/>
  <c r="W52" i="134"/>
  <c r="Z52" i="134" s="1"/>
  <c r="V52" i="134"/>
  <c r="Y52" i="134" s="1"/>
  <c r="W51" i="134"/>
  <c r="Z51" i="134" s="1"/>
  <c r="V51" i="134"/>
  <c r="Y51" i="134" s="1"/>
  <c r="W50" i="134"/>
  <c r="Z50" i="134" s="1"/>
  <c r="V50" i="134"/>
  <c r="Y50" i="134" s="1"/>
  <c r="W49" i="134"/>
  <c r="Z49" i="134" s="1"/>
  <c r="V49" i="134"/>
  <c r="Y49" i="134" s="1"/>
  <c r="W48" i="134"/>
  <c r="Z48" i="134" s="1"/>
  <c r="V48" i="134"/>
  <c r="Y48" i="134" s="1"/>
  <c r="W47" i="134"/>
  <c r="Z47" i="134" s="1"/>
  <c r="V47" i="134"/>
  <c r="Y47" i="134" s="1"/>
  <c r="W46" i="134"/>
  <c r="Z46" i="134" s="1"/>
  <c r="V46" i="134"/>
  <c r="Y46" i="134" s="1"/>
  <c r="W45" i="134"/>
  <c r="Z45" i="134" s="1"/>
  <c r="V45" i="134"/>
  <c r="Y45" i="134" s="1"/>
  <c r="W44" i="134"/>
  <c r="Z44" i="134" s="1"/>
  <c r="V44" i="134"/>
  <c r="Y44" i="134" s="1"/>
  <c r="W43" i="134"/>
  <c r="V43" i="134"/>
  <c r="W41" i="134"/>
  <c r="Z41" i="134" s="1"/>
  <c r="V41" i="134"/>
  <c r="Y41" i="134" s="1"/>
  <c r="W40" i="134"/>
  <c r="Z40" i="134" s="1"/>
  <c r="V40" i="134"/>
  <c r="Y40" i="134" s="1"/>
  <c r="W39" i="134"/>
  <c r="Z39" i="134" s="1"/>
  <c r="V39" i="134"/>
  <c r="Y39" i="134" s="1"/>
  <c r="W38" i="134"/>
  <c r="Z38" i="134" s="1"/>
  <c r="V38" i="134"/>
  <c r="Y38" i="134" s="1"/>
  <c r="W37" i="134"/>
  <c r="Z37" i="134" s="1"/>
  <c r="V37" i="134"/>
  <c r="Y37" i="134" s="1"/>
  <c r="W36" i="134"/>
  <c r="Z36" i="134" s="1"/>
  <c r="V36" i="134"/>
  <c r="Y36" i="134" s="1"/>
  <c r="W35" i="134"/>
  <c r="Z35" i="134" s="1"/>
  <c r="V35" i="134"/>
  <c r="Y35" i="134" s="1"/>
  <c r="W34" i="134"/>
  <c r="Z34" i="134" s="1"/>
  <c r="V34" i="134"/>
  <c r="Y34" i="134" s="1"/>
  <c r="W33" i="134"/>
  <c r="Z33" i="134" s="1"/>
  <c r="V33" i="134"/>
  <c r="Y33" i="134" s="1"/>
  <c r="W32" i="134"/>
  <c r="Z32" i="134" s="1"/>
  <c r="V32" i="134"/>
  <c r="Y32" i="134" s="1"/>
  <c r="W31" i="134"/>
  <c r="Z31" i="134" s="1"/>
  <c r="V31" i="134"/>
  <c r="Y31" i="134" s="1"/>
  <c r="W30" i="134"/>
  <c r="Z30" i="134" s="1"/>
  <c r="V30" i="134"/>
  <c r="Y30" i="134" s="1"/>
  <c r="W29" i="134"/>
  <c r="Z29" i="134" s="1"/>
  <c r="V29" i="134"/>
  <c r="Y29" i="134" s="1"/>
  <c r="W28" i="134"/>
  <c r="Z28" i="134" s="1"/>
  <c r="V28" i="134"/>
  <c r="Y28" i="134" s="1"/>
  <c r="W27" i="134"/>
  <c r="Z27" i="134" s="1"/>
  <c r="V27" i="134"/>
  <c r="Y27" i="134" s="1"/>
  <c r="W26" i="134"/>
  <c r="Z26" i="134" s="1"/>
  <c r="V26" i="134"/>
  <c r="Y26" i="134" s="1"/>
  <c r="W25" i="134"/>
  <c r="Z25" i="134" s="1"/>
  <c r="V25" i="134"/>
  <c r="Y25" i="134" s="1"/>
  <c r="W24" i="134"/>
  <c r="Z24" i="134" s="1"/>
  <c r="V24" i="134"/>
  <c r="Y24" i="134" s="1"/>
  <c r="W23" i="134"/>
  <c r="Z23" i="134" s="1"/>
  <c r="V23" i="134"/>
  <c r="Y23" i="134" s="1"/>
  <c r="W22" i="134"/>
  <c r="Z22" i="134" s="1"/>
  <c r="V22" i="134"/>
  <c r="Y22" i="134" s="1"/>
  <c r="AB97" i="134"/>
  <c r="AB96" i="134"/>
  <c r="AB95" i="134"/>
  <c r="AB94" i="134"/>
  <c r="AB93" i="134"/>
  <c r="AB92" i="134"/>
  <c r="AB91" i="134"/>
  <c r="AB90" i="134"/>
  <c r="AB89" i="134"/>
  <c r="AB88" i="134"/>
  <c r="AB87" i="134"/>
  <c r="AB86" i="134"/>
  <c r="AB85" i="134"/>
  <c r="AB84" i="134"/>
  <c r="AB83" i="134"/>
  <c r="AB82" i="134"/>
  <c r="AB81" i="134"/>
  <c r="AB80" i="134"/>
  <c r="AB79" i="134"/>
  <c r="AB78" i="134"/>
  <c r="X74" i="134"/>
  <c r="X73" i="134"/>
  <c r="X72" i="134"/>
  <c r="X71" i="134"/>
  <c r="X70" i="134"/>
  <c r="X68" i="134"/>
  <c r="X67" i="134"/>
  <c r="X66" i="134"/>
  <c r="X65" i="134"/>
  <c r="X64" i="134"/>
  <c r="X62" i="134"/>
  <c r="X61" i="134"/>
  <c r="X60" i="134"/>
  <c r="X59" i="134"/>
  <c r="X58" i="134"/>
  <c r="X57" i="134"/>
  <c r="X56" i="134"/>
  <c r="X55" i="134"/>
  <c r="X54" i="134"/>
  <c r="X53" i="134"/>
  <c r="X52" i="134"/>
  <c r="X51" i="134"/>
  <c r="X50" i="134"/>
  <c r="X49" i="134"/>
  <c r="X48" i="134"/>
  <c r="X47" i="134"/>
  <c r="X46" i="134"/>
  <c r="X45" i="134"/>
  <c r="X44" i="134"/>
  <c r="X43" i="134"/>
  <c r="X41" i="134"/>
  <c r="X40" i="134"/>
  <c r="X39" i="134"/>
  <c r="X38" i="134"/>
  <c r="X37" i="134"/>
  <c r="X36" i="134"/>
  <c r="X35" i="134"/>
  <c r="X34" i="134"/>
  <c r="X33" i="134"/>
  <c r="X32" i="134"/>
  <c r="X31" i="134"/>
  <c r="X30" i="134"/>
  <c r="X29" i="134"/>
  <c r="X28" i="134"/>
  <c r="X27" i="134"/>
  <c r="X26" i="134"/>
  <c r="X25" i="134"/>
  <c r="X24" i="134"/>
  <c r="X23" i="134"/>
  <c r="X22" i="134"/>
  <c r="U12" i="134"/>
  <c r="V12" i="134"/>
  <c r="W12" i="134"/>
  <c r="X12" i="134"/>
  <c r="U13" i="134"/>
  <c r="V13" i="134"/>
  <c r="Y13" i="134" s="1"/>
  <c r="W13" i="134"/>
  <c r="Z13" i="134" s="1"/>
  <c r="X13" i="134"/>
  <c r="J14" i="134"/>
  <c r="U14" i="134"/>
  <c r="V14" i="134"/>
  <c r="Y14" i="134" s="1"/>
  <c r="W14" i="134"/>
  <c r="Z14" i="134" s="1"/>
  <c r="X14" i="134"/>
  <c r="U15" i="134"/>
  <c r="V15" i="134"/>
  <c r="Y15" i="134" s="1"/>
  <c r="W15" i="134"/>
  <c r="Z15" i="134" s="1"/>
  <c r="X15" i="134"/>
  <c r="U16" i="134"/>
  <c r="V16" i="134"/>
  <c r="Y16" i="134" s="1"/>
  <c r="W16" i="134"/>
  <c r="Z16" i="134" s="1"/>
  <c r="X16" i="134"/>
  <c r="U17" i="134"/>
  <c r="V17" i="134"/>
  <c r="Y17" i="134" s="1"/>
  <c r="W17" i="134"/>
  <c r="Z17" i="134" s="1"/>
  <c r="X17" i="134"/>
  <c r="U18" i="134"/>
  <c r="V18" i="134"/>
  <c r="Y18" i="134" s="1"/>
  <c r="W18" i="134"/>
  <c r="Z18" i="134" s="1"/>
  <c r="X18" i="134"/>
  <c r="U19" i="134"/>
  <c r="V19" i="134"/>
  <c r="Y19" i="134" s="1"/>
  <c r="W19" i="134"/>
  <c r="Z19" i="134" s="1"/>
  <c r="X19" i="134"/>
  <c r="U20" i="134"/>
  <c r="V20" i="134"/>
  <c r="Y20" i="134" s="1"/>
  <c r="W20" i="134"/>
  <c r="Z20" i="134" s="1"/>
  <c r="X20" i="134"/>
  <c r="U21" i="134"/>
  <c r="V21" i="134"/>
  <c r="Y21" i="134" s="1"/>
  <c r="W21" i="134"/>
  <c r="Z21" i="134" s="1"/>
  <c r="X21" i="134"/>
  <c r="J46" i="134"/>
  <c r="D46" i="134"/>
  <c r="J57" i="134"/>
  <c r="D57" i="134"/>
  <c r="F57" i="134" s="1"/>
  <c r="J52" i="134"/>
  <c r="F52" i="134"/>
  <c r="D52" i="134"/>
  <c r="J22" i="134"/>
  <c r="J30" i="134"/>
  <c r="J38" i="134"/>
  <c r="D47" i="134"/>
  <c r="F47" i="134" s="1"/>
  <c r="D48" i="134"/>
  <c r="F48" i="134" s="1"/>
  <c r="D49" i="134"/>
  <c r="F49" i="134" s="1"/>
  <c r="D50" i="134"/>
  <c r="F50" i="134" s="1"/>
  <c r="D53" i="134"/>
  <c r="F53" i="134"/>
  <c r="D54" i="134"/>
  <c r="F54" i="134"/>
  <c r="D55" i="134"/>
  <c r="F55" i="134"/>
  <c r="D56" i="134"/>
  <c r="F56" i="134"/>
  <c r="D58" i="134"/>
  <c r="F58" i="134" s="1"/>
  <c r="F60" i="134"/>
  <c r="G60" i="134" s="1"/>
  <c r="L60" i="134" s="1"/>
  <c r="T78" i="134"/>
  <c r="T98" i="134" s="1"/>
  <c r="G86" i="134" s="1"/>
  <c r="H81" i="134" s="1"/>
  <c r="Y78" i="134"/>
  <c r="Y98" i="134" s="1"/>
  <c r="J20" i="133"/>
  <c r="AA97" i="133"/>
  <c r="AA96" i="133"/>
  <c r="AA95" i="133"/>
  <c r="AA94" i="133"/>
  <c r="AA93" i="133"/>
  <c r="AA92" i="133"/>
  <c r="AA91" i="133"/>
  <c r="AA90" i="133"/>
  <c r="AA89" i="133"/>
  <c r="AA88" i="133"/>
  <c r="AA87" i="133"/>
  <c r="AA86" i="133"/>
  <c r="AA85" i="133"/>
  <c r="AA84" i="133"/>
  <c r="AA83" i="133"/>
  <c r="AA82" i="133"/>
  <c r="AA81" i="133"/>
  <c r="AA80" i="133"/>
  <c r="AA79" i="133"/>
  <c r="AA78" i="133"/>
  <c r="U74" i="133"/>
  <c r="U73" i="133"/>
  <c r="U72" i="133"/>
  <c r="U71" i="133"/>
  <c r="U70" i="133"/>
  <c r="U68" i="133"/>
  <c r="U67" i="133"/>
  <c r="U66" i="133"/>
  <c r="U65" i="133"/>
  <c r="U64" i="133"/>
  <c r="U62" i="133"/>
  <c r="U61" i="133"/>
  <c r="U60" i="133"/>
  <c r="U59" i="133"/>
  <c r="U58" i="133"/>
  <c r="U57" i="133"/>
  <c r="U56" i="133"/>
  <c r="U55" i="133"/>
  <c r="U54" i="133"/>
  <c r="U53" i="133"/>
  <c r="U52" i="133"/>
  <c r="U51" i="133"/>
  <c r="U50" i="133"/>
  <c r="U49" i="133"/>
  <c r="U48" i="133"/>
  <c r="U47" i="133"/>
  <c r="U46" i="133"/>
  <c r="U45" i="133"/>
  <c r="U44" i="133"/>
  <c r="U43" i="133"/>
  <c r="U41" i="133"/>
  <c r="U40" i="133"/>
  <c r="U39" i="133"/>
  <c r="U38" i="133"/>
  <c r="U37" i="133"/>
  <c r="U36" i="133"/>
  <c r="U35" i="133"/>
  <c r="U34" i="133"/>
  <c r="U33" i="133"/>
  <c r="U32" i="133"/>
  <c r="U31" i="133"/>
  <c r="U30" i="133"/>
  <c r="U29" i="133"/>
  <c r="U28" i="133"/>
  <c r="U27" i="133"/>
  <c r="U26" i="133"/>
  <c r="U25" i="133"/>
  <c r="U24" i="133"/>
  <c r="U23" i="133"/>
  <c r="U22" i="133"/>
  <c r="W74" i="133"/>
  <c r="Z74" i="133" s="1"/>
  <c r="V74" i="133"/>
  <c r="Y74" i="133" s="1"/>
  <c r="W73" i="133"/>
  <c r="Z73" i="133" s="1"/>
  <c r="V73" i="133"/>
  <c r="Y73" i="133" s="1"/>
  <c r="W72" i="133"/>
  <c r="Z72" i="133" s="1"/>
  <c r="V72" i="133"/>
  <c r="Y72" i="133" s="1"/>
  <c r="W71" i="133"/>
  <c r="Z71" i="133" s="1"/>
  <c r="V71" i="133"/>
  <c r="Y71" i="133" s="1"/>
  <c r="W70" i="133"/>
  <c r="V70" i="133"/>
  <c r="W68" i="133"/>
  <c r="Z68" i="133" s="1"/>
  <c r="V68" i="133"/>
  <c r="Y68" i="133" s="1"/>
  <c r="W67" i="133"/>
  <c r="Z67" i="133" s="1"/>
  <c r="V67" i="133"/>
  <c r="Y67" i="133" s="1"/>
  <c r="W66" i="133"/>
  <c r="Z66" i="133" s="1"/>
  <c r="V66" i="133"/>
  <c r="Y66" i="133" s="1"/>
  <c r="W65" i="133"/>
  <c r="Z65" i="133" s="1"/>
  <c r="V65" i="133"/>
  <c r="Y65" i="133" s="1"/>
  <c r="W64" i="133"/>
  <c r="V64" i="133"/>
  <c r="W62" i="133"/>
  <c r="Z62" i="133" s="1"/>
  <c r="V62" i="133"/>
  <c r="Y62" i="133" s="1"/>
  <c r="W61" i="133"/>
  <c r="Z61" i="133" s="1"/>
  <c r="V61" i="133"/>
  <c r="Y61" i="133" s="1"/>
  <c r="W60" i="133"/>
  <c r="Z60" i="133" s="1"/>
  <c r="V60" i="133"/>
  <c r="Y60" i="133" s="1"/>
  <c r="W59" i="133"/>
  <c r="Z59" i="133" s="1"/>
  <c r="V59" i="133"/>
  <c r="Y59" i="133" s="1"/>
  <c r="W58" i="133"/>
  <c r="Z58" i="133" s="1"/>
  <c r="V58" i="133"/>
  <c r="Y58" i="133" s="1"/>
  <c r="W57" i="133"/>
  <c r="Z57" i="133" s="1"/>
  <c r="V57" i="133"/>
  <c r="Y57" i="133" s="1"/>
  <c r="W56" i="133"/>
  <c r="Z56" i="133" s="1"/>
  <c r="V56" i="133"/>
  <c r="Y56" i="133" s="1"/>
  <c r="W55" i="133"/>
  <c r="Z55" i="133" s="1"/>
  <c r="V55" i="133"/>
  <c r="Y55" i="133" s="1"/>
  <c r="W54" i="133"/>
  <c r="Z54" i="133" s="1"/>
  <c r="V54" i="133"/>
  <c r="Y54" i="133" s="1"/>
  <c r="W53" i="133"/>
  <c r="Z53" i="133" s="1"/>
  <c r="V53" i="133"/>
  <c r="Y53" i="133" s="1"/>
  <c r="W52" i="133"/>
  <c r="Z52" i="133" s="1"/>
  <c r="V52" i="133"/>
  <c r="Y52" i="133" s="1"/>
  <c r="W51" i="133"/>
  <c r="Z51" i="133" s="1"/>
  <c r="V51" i="133"/>
  <c r="Y51" i="133" s="1"/>
  <c r="W50" i="133"/>
  <c r="Z50" i="133" s="1"/>
  <c r="V50" i="133"/>
  <c r="Y50" i="133" s="1"/>
  <c r="W49" i="133"/>
  <c r="Z49" i="133" s="1"/>
  <c r="V49" i="133"/>
  <c r="Y49" i="133" s="1"/>
  <c r="W48" i="133"/>
  <c r="Z48" i="133" s="1"/>
  <c r="V48" i="133"/>
  <c r="Y48" i="133" s="1"/>
  <c r="W47" i="133"/>
  <c r="Z47" i="133" s="1"/>
  <c r="V47" i="133"/>
  <c r="Y47" i="133" s="1"/>
  <c r="W46" i="133"/>
  <c r="Z46" i="133" s="1"/>
  <c r="V46" i="133"/>
  <c r="Y46" i="133" s="1"/>
  <c r="W45" i="133"/>
  <c r="Z45" i="133" s="1"/>
  <c r="V45" i="133"/>
  <c r="Y45" i="133" s="1"/>
  <c r="W44" i="133"/>
  <c r="Z44" i="133" s="1"/>
  <c r="V44" i="133"/>
  <c r="Y44" i="133" s="1"/>
  <c r="W43" i="133"/>
  <c r="V43" i="133"/>
  <c r="W41" i="133"/>
  <c r="Z41" i="133" s="1"/>
  <c r="V41" i="133"/>
  <c r="Y41" i="133" s="1"/>
  <c r="W40" i="133"/>
  <c r="Z40" i="133" s="1"/>
  <c r="V40" i="133"/>
  <c r="Y40" i="133" s="1"/>
  <c r="W39" i="133"/>
  <c r="Z39" i="133" s="1"/>
  <c r="V39" i="133"/>
  <c r="Y39" i="133" s="1"/>
  <c r="W38" i="133"/>
  <c r="Z38" i="133" s="1"/>
  <c r="V38" i="133"/>
  <c r="Y38" i="133" s="1"/>
  <c r="W37" i="133"/>
  <c r="Z37" i="133" s="1"/>
  <c r="V37" i="133"/>
  <c r="Y37" i="133" s="1"/>
  <c r="W36" i="133"/>
  <c r="Z36" i="133" s="1"/>
  <c r="V36" i="133"/>
  <c r="Y36" i="133" s="1"/>
  <c r="W35" i="133"/>
  <c r="Z35" i="133" s="1"/>
  <c r="V35" i="133"/>
  <c r="Y35" i="133" s="1"/>
  <c r="W34" i="133"/>
  <c r="Z34" i="133" s="1"/>
  <c r="V34" i="133"/>
  <c r="Y34" i="133" s="1"/>
  <c r="W33" i="133"/>
  <c r="Z33" i="133" s="1"/>
  <c r="V33" i="133"/>
  <c r="Y33" i="133" s="1"/>
  <c r="W32" i="133"/>
  <c r="Z32" i="133" s="1"/>
  <c r="V32" i="133"/>
  <c r="Y32" i="133" s="1"/>
  <c r="W31" i="133"/>
  <c r="Z31" i="133" s="1"/>
  <c r="V31" i="133"/>
  <c r="Y31" i="133" s="1"/>
  <c r="W30" i="133"/>
  <c r="Z30" i="133" s="1"/>
  <c r="V30" i="133"/>
  <c r="Y30" i="133" s="1"/>
  <c r="W29" i="133"/>
  <c r="Z29" i="133" s="1"/>
  <c r="V29" i="133"/>
  <c r="Y29" i="133" s="1"/>
  <c r="W28" i="133"/>
  <c r="Z28" i="133" s="1"/>
  <c r="V28" i="133"/>
  <c r="Y28" i="133" s="1"/>
  <c r="W27" i="133"/>
  <c r="Z27" i="133" s="1"/>
  <c r="V27" i="133"/>
  <c r="Y27" i="133" s="1"/>
  <c r="W26" i="133"/>
  <c r="Z26" i="133" s="1"/>
  <c r="V26" i="133"/>
  <c r="Y26" i="133" s="1"/>
  <c r="W25" i="133"/>
  <c r="Z25" i="133" s="1"/>
  <c r="V25" i="133"/>
  <c r="Y25" i="133" s="1"/>
  <c r="W24" i="133"/>
  <c r="Z24" i="133" s="1"/>
  <c r="V24" i="133"/>
  <c r="Y24" i="133" s="1"/>
  <c r="W23" i="133"/>
  <c r="Z23" i="133" s="1"/>
  <c r="V23" i="133"/>
  <c r="Y23" i="133" s="1"/>
  <c r="W22" i="133"/>
  <c r="Z22" i="133" s="1"/>
  <c r="V22" i="133"/>
  <c r="Y22" i="133" s="1"/>
  <c r="AB97" i="133"/>
  <c r="AB96" i="133"/>
  <c r="AB95" i="133"/>
  <c r="AB94" i="133"/>
  <c r="AB93" i="133"/>
  <c r="AB92" i="133"/>
  <c r="AB91" i="133"/>
  <c r="AB90" i="133"/>
  <c r="AB89" i="133"/>
  <c r="AB88" i="133"/>
  <c r="AB87" i="133"/>
  <c r="AB86" i="133"/>
  <c r="AB85" i="133"/>
  <c r="AB84" i="133"/>
  <c r="AB83" i="133"/>
  <c r="AB82" i="133"/>
  <c r="AB81" i="133"/>
  <c r="AB80" i="133"/>
  <c r="AB79" i="133"/>
  <c r="AB78" i="133"/>
  <c r="X74" i="133"/>
  <c r="X73" i="133"/>
  <c r="X72" i="133"/>
  <c r="X71" i="133"/>
  <c r="X70" i="133"/>
  <c r="X68" i="133"/>
  <c r="X67" i="133"/>
  <c r="X66" i="133"/>
  <c r="X65" i="133"/>
  <c r="X64" i="133"/>
  <c r="X62" i="133"/>
  <c r="X61" i="133"/>
  <c r="X60" i="133"/>
  <c r="X59" i="133"/>
  <c r="X58" i="133"/>
  <c r="X57" i="133"/>
  <c r="X56" i="133"/>
  <c r="X55" i="133"/>
  <c r="X54" i="133"/>
  <c r="X53" i="133"/>
  <c r="X52" i="133"/>
  <c r="X51" i="133"/>
  <c r="X50" i="133"/>
  <c r="X49" i="133"/>
  <c r="X48" i="133"/>
  <c r="X47" i="133"/>
  <c r="X46" i="133"/>
  <c r="X45" i="133"/>
  <c r="X44" i="133"/>
  <c r="X43" i="133"/>
  <c r="X41" i="133"/>
  <c r="X40" i="133"/>
  <c r="X39" i="133"/>
  <c r="X38" i="133"/>
  <c r="X37" i="133"/>
  <c r="X36" i="133"/>
  <c r="X35" i="133"/>
  <c r="X34" i="133"/>
  <c r="X33" i="133"/>
  <c r="X32" i="133"/>
  <c r="X31" i="133"/>
  <c r="X30" i="133"/>
  <c r="X29" i="133"/>
  <c r="X28" i="133"/>
  <c r="X27" i="133"/>
  <c r="X26" i="133"/>
  <c r="X25" i="133"/>
  <c r="X24" i="133"/>
  <c r="X23" i="133"/>
  <c r="X22" i="133"/>
  <c r="U12" i="133"/>
  <c r="V12" i="133"/>
  <c r="W12" i="133"/>
  <c r="X12" i="133"/>
  <c r="U13" i="133"/>
  <c r="V13" i="133"/>
  <c r="Y13" i="133" s="1"/>
  <c r="W13" i="133"/>
  <c r="Z13" i="133" s="1"/>
  <c r="X13" i="133"/>
  <c r="J14" i="133"/>
  <c r="U14" i="133"/>
  <c r="V14" i="133"/>
  <c r="Y14" i="133" s="1"/>
  <c r="W14" i="133"/>
  <c r="Z14" i="133" s="1"/>
  <c r="X14" i="133"/>
  <c r="U15" i="133"/>
  <c r="V15" i="133"/>
  <c r="Y15" i="133" s="1"/>
  <c r="W15" i="133"/>
  <c r="Z15" i="133" s="1"/>
  <c r="X15" i="133"/>
  <c r="U16" i="133"/>
  <c r="V16" i="133"/>
  <c r="Y16" i="133" s="1"/>
  <c r="W16" i="133"/>
  <c r="Z16" i="133" s="1"/>
  <c r="X16" i="133"/>
  <c r="U17" i="133"/>
  <c r="V17" i="133"/>
  <c r="Y17" i="133" s="1"/>
  <c r="W17" i="133"/>
  <c r="Z17" i="133" s="1"/>
  <c r="X17" i="133"/>
  <c r="U18" i="133"/>
  <c r="V18" i="133"/>
  <c r="Y18" i="133" s="1"/>
  <c r="W18" i="133"/>
  <c r="Z18" i="133" s="1"/>
  <c r="X18" i="133"/>
  <c r="U19" i="133"/>
  <c r="V19" i="133"/>
  <c r="Y19" i="133" s="1"/>
  <c r="W19" i="133"/>
  <c r="Z19" i="133" s="1"/>
  <c r="X19" i="133"/>
  <c r="U20" i="133"/>
  <c r="V20" i="133"/>
  <c r="Y20" i="133" s="1"/>
  <c r="W20" i="133"/>
  <c r="Z20" i="133" s="1"/>
  <c r="X20" i="133"/>
  <c r="U21" i="133"/>
  <c r="V21" i="133"/>
  <c r="Y21" i="133" s="1"/>
  <c r="W21" i="133"/>
  <c r="Z21" i="133" s="1"/>
  <c r="X21" i="133"/>
  <c r="J46" i="133"/>
  <c r="D46" i="133"/>
  <c r="J57" i="133"/>
  <c r="D57" i="133"/>
  <c r="F57" i="133" s="1"/>
  <c r="J52" i="133"/>
  <c r="F52" i="133"/>
  <c r="D52" i="133"/>
  <c r="J22" i="133"/>
  <c r="J30" i="133"/>
  <c r="J38" i="133"/>
  <c r="D47" i="133"/>
  <c r="F47" i="133" s="1"/>
  <c r="D48" i="133"/>
  <c r="F48" i="133" s="1"/>
  <c r="D49" i="133"/>
  <c r="F49" i="133" s="1"/>
  <c r="D53" i="133"/>
  <c r="F53" i="133"/>
  <c r="D54" i="133"/>
  <c r="F54" i="133"/>
  <c r="D55" i="133"/>
  <c r="F55" i="133"/>
  <c r="D56" i="133"/>
  <c r="F56" i="133"/>
  <c r="D58" i="133"/>
  <c r="F58" i="133" s="1"/>
  <c r="F60" i="133"/>
  <c r="G60" i="133" s="1"/>
  <c r="L60" i="133" s="1"/>
  <c r="T78" i="133"/>
  <c r="T98" i="133" s="1"/>
  <c r="Y78" i="133"/>
  <c r="Y98" i="133" s="1"/>
  <c r="J20" i="132"/>
  <c r="AA97" i="132"/>
  <c r="AA96" i="132"/>
  <c r="AA95" i="132"/>
  <c r="AA94" i="132"/>
  <c r="AA93" i="132"/>
  <c r="AA92" i="132"/>
  <c r="AA91" i="132"/>
  <c r="AA90" i="132"/>
  <c r="AA89" i="132"/>
  <c r="AA88" i="132"/>
  <c r="AA87" i="132"/>
  <c r="AA86" i="132"/>
  <c r="AA85" i="132"/>
  <c r="AA83" i="132"/>
  <c r="AA82" i="132"/>
  <c r="AA81" i="132"/>
  <c r="AA80" i="132"/>
  <c r="AA79" i="132"/>
  <c r="AA78" i="132"/>
  <c r="U74" i="132"/>
  <c r="U73" i="132"/>
  <c r="U72" i="132"/>
  <c r="U71" i="132"/>
  <c r="U70" i="132"/>
  <c r="U68" i="132"/>
  <c r="U67" i="132"/>
  <c r="U66" i="132"/>
  <c r="U65" i="132"/>
  <c r="U64" i="132"/>
  <c r="U62" i="132"/>
  <c r="U61" i="132"/>
  <c r="U60" i="132"/>
  <c r="U59" i="132"/>
  <c r="U58" i="132"/>
  <c r="U57" i="132"/>
  <c r="U56" i="132"/>
  <c r="U55" i="132"/>
  <c r="U54" i="132"/>
  <c r="U53" i="132"/>
  <c r="U52" i="132"/>
  <c r="U51" i="132"/>
  <c r="U50" i="132"/>
  <c r="U49" i="132"/>
  <c r="U48" i="132"/>
  <c r="U47" i="132"/>
  <c r="U46" i="132"/>
  <c r="U45" i="132"/>
  <c r="U44" i="132"/>
  <c r="U43" i="132"/>
  <c r="U41" i="132"/>
  <c r="U40" i="132"/>
  <c r="U39" i="132"/>
  <c r="U38" i="132"/>
  <c r="U37" i="132"/>
  <c r="U36" i="132"/>
  <c r="U35" i="132"/>
  <c r="U34" i="132"/>
  <c r="U33" i="132"/>
  <c r="U32" i="132"/>
  <c r="U31" i="132"/>
  <c r="U30" i="132"/>
  <c r="U29" i="132"/>
  <c r="U28" i="132"/>
  <c r="U27" i="132"/>
  <c r="U26" i="132"/>
  <c r="U25" i="132"/>
  <c r="U24" i="132"/>
  <c r="U23" i="132"/>
  <c r="U22" i="132"/>
  <c r="W74" i="132"/>
  <c r="Z74" i="132" s="1"/>
  <c r="V74" i="132"/>
  <c r="Y74" i="132" s="1"/>
  <c r="W73" i="132"/>
  <c r="Z73" i="132" s="1"/>
  <c r="V73" i="132"/>
  <c r="Y73" i="132" s="1"/>
  <c r="W72" i="132"/>
  <c r="Z72" i="132" s="1"/>
  <c r="V72" i="132"/>
  <c r="Y72" i="132" s="1"/>
  <c r="W71" i="132"/>
  <c r="Z71" i="132" s="1"/>
  <c r="V71" i="132"/>
  <c r="Y71" i="132" s="1"/>
  <c r="W70" i="132"/>
  <c r="V70" i="132"/>
  <c r="W68" i="132"/>
  <c r="Z68" i="132" s="1"/>
  <c r="V68" i="132"/>
  <c r="Y68" i="132" s="1"/>
  <c r="W67" i="132"/>
  <c r="Z67" i="132" s="1"/>
  <c r="V67" i="132"/>
  <c r="Y67" i="132" s="1"/>
  <c r="W66" i="132"/>
  <c r="Z66" i="132" s="1"/>
  <c r="V66" i="132"/>
  <c r="Y66" i="132" s="1"/>
  <c r="W65" i="132"/>
  <c r="Z65" i="132" s="1"/>
  <c r="V65" i="132"/>
  <c r="Y65" i="132" s="1"/>
  <c r="W64" i="132"/>
  <c r="V64" i="132"/>
  <c r="W62" i="132"/>
  <c r="Z62" i="132" s="1"/>
  <c r="V62" i="132"/>
  <c r="Y62" i="132" s="1"/>
  <c r="W61" i="132"/>
  <c r="Z61" i="132" s="1"/>
  <c r="V61" i="132"/>
  <c r="Y61" i="132" s="1"/>
  <c r="W60" i="132"/>
  <c r="Z60" i="132" s="1"/>
  <c r="V60" i="132"/>
  <c r="Y60" i="132" s="1"/>
  <c r="W59" i="132"/>
  <c r="Z59" i="132" s="1"/>
  <c r="V59" i="132"/>
  <c r="Y59" i="132" s="1"/>
  <c r="W58" i="132"/>
  <c r="Z58" i="132" s="1"/>
  <c r="V58" i="132"/>
  <c r="Y58" i="132" s="1"/>
  <c r="W57" i="132"/>
  <c r="Z57" i="132" s="1"/>
  <c r="V57" i="132"/>
  <c r="Y57" i="132" s="1"/>
  <c r="W56" i="132"/>
  <c r="Z56" i="132" s="1"/>
  <c r="V56" i="132"/>
  <c r="Y56" i="132" s="1"/>
  <c r="W55" i="132"/>
  <c r="Z55" i="132" s="1"/>
  <c r="V55" i="132"/>
  <c r="Y55" i="132" s="1"/>
  <c r="W54" i="132"/>
  <c r="Z54" i="132" s="1"/>
  <c r="V54" i="132"/>
  <c r="Y54" i="132" s="1"/>
  <c r="W53" i="132"/>
  <c r="Z53" i="132" s="1"/>
  <c r="V53" i="132"/>
  <c r="Y53" i="132" s="1"/>
  <c r="W52" i="132"/>
  <c r="Z52" i="132" s="1"/>
  <c r="V52" i="132"/>
  <c r="Y52" i="132" s="1"/>
  <c r="W51" i="132"/>
  <c r="Z51" i="132" s="1"/>
  <c r="V51" i="132"/>
  <c r="Y51" i="132" s="1"/>
  <c r="W50" i="132"/>
  <c r="Z50" i="132" s="1"/>
  <c r="V50" i="132"/>
  <c r="Y50" i="132" s="1"/>
  <c r="W49" i="132"/>
  <c r="Z49" i="132" s="1"/>
  <c r="V49" i="132"/>
  <c r="Y49" i="132" s="1"/>
  <c r="W48" i="132"/>
  <c r="Z48" i="132" s="1"/>
  <c r="V48" i="132"/>
  <c r="Y48" i="132" s="1"/>
  <c r="W47" i="132"/>
  <c r="Z47" i="132" s="1"/>
  <c r="V47" i="132"/>
  <c r="Y47" i="132" s="1"/>
  <c r="W46" i="132"/>
  <c r="Z46" i="132" s="1"/>
  <c r="V46" i="132"/>
  <c r="Y46" i="132" s="1"/>
  <c r="W45" i="132"/>
  <c r="Z45" i="132" s="1"/>
  <c r="V45" i="132"/>
  <c r="Y45" i="132" s="1"/>
  <c r="W44" i="132"/>
  <c r="Z44" i="132" s="1"/>
  <c r="V44" i="132"/>
  <c r="Y44" i="132" s="1"/>
  <c r="W43" i="132"/>
  <c r="V43" i="132"/>
  <c r="W41" i="132"/>
  <c r="Z41" i="132" s="1"/>
  <c r="V41" i="132"/>
  <c r="Y41" i="132" s="1"/>
  <c r="W40" i="132"/>
  <c r="Z40" i="132" s="1"/>
  <c r="V40" i="132"/>
  <c r="Y40" i="132" s="1"/>
  <c r="W39" i="132"/>
  <c r="Z39" i="132" s="1"/>
  <c r="V39" i="132"/>
  <c r="Y39" i="132" s="1"/>
  <c r="W38" i="132"/>
  <c r="Z38" i="132" s="1"/>
  <c r="V38" i="132"/>
  <c r="Y38" i="132" s="1"/>
  <c r="W37" i="132"/>
  <c r="Z37" i="132" s="1"/>
  <c r="V37" i="132"/>
  <c r="Y37" i="132" s="1"/>
  <c r="W36" i="132"/>
  <c r="Z36" i="132" s="1"/>
  <c r="V36" i="132"/>
  <c r="Y36" i="132" s="1"/>
  <c r="W35" i="132"/>
  <c r="Z35" i="132" s="1"/>
  <c r="V35" i="132"/>
  <c r="Y35" i="132" s="1"/>
  <c r="W34" i="132"/>
  <c r="Z34" i="132" s="1"/>
  <c r="V34" i="132"/>
  <c r="Y34" i="132" s="1"/>
  <c r="W33" i="132"/>
  <c r="Z33" i="132" s="1"/>
  <c r="V33" i="132"/>
  <c r="Y33" i="132" s="1"/>
  <c r="W32" i="132"/>
  <c r="Z32" i="132" s="1"/>
  <c r="V32" i="132"/>
  <c r="Y32" i="132" s="1"/>
  <c r="W31" i="132"/>
  <c r="Z31" i="132" s="1"/>
  <c r="V31" i="132"/>
  <c r="Y31" i="132" s="1"/>
  <c r="W30" i="132"/>
  <c r="Z30" i="132" s="1"/>
  <c r="V30" i="132"/>
  <c r="Y30" i="132" s="1"/>
  <c r="W29" i="132"/>
  <c r="Z29" i="132" s="1"/>
  <c r="V29" i="132"/>
  <c r="Y29" i="132" s="1"/>
  <c r="W28" i="132"/>
  <c r="Z28" i="132" s="1"/>
  <c r="V28" i="132"/>
  <c r="Y28" i="132" s="1"/>
  <c r="W27" i="132"/>
  <c r="Z27" i="132" s="1"/>
  <c r="V27" i="132"/>
  <c r="Y27" i="132" s="1"/>
  <c r="W26" i="132"/>
  <c r="Z26" i="132" s="1"/>
  <c r="V26" i="132"/>
  <c r="Y26" i="132" s="1"/>
  <c r="W25" i="132"/>
  <c r="Z25" i="132" s="1"/>
  <c r="V25" i="132"/>
  <c r="Y25" i="132" s="1"/>
  <c r="W24" i="132"/>
  <c r="Z24" i="132" s="1"/>
  <c r="V24" i="132"/>
  <c r="Y24" i="132" s="1"/>
  <c r="W23" i="132"/>
  <c r="Z23" i="132" s="1"/>
  <c r="V23" i="132"/>
  <c r="Y23" i="132" s="1"/>
  <c r="W22" i="132"/>
  <c r="Z22" i="132" s="1"/>
  <c r="V22" i="132"/>
  <c r="Y22" i="132" s="1"/>
  <c r="AB97" i="132"/>
  <c r="AB96" i="132"/>
  <c r="AB95" i="132"/>
  <c r="AB94" i="132"/>
  <c r="AB93" i="132"/>
  <c r="AB92" i="132"/>
  <c r="AB91" i="132"/>
  <c r="AB90" i="132"/>
  <c r="AB89" i="132"/>
  <c r="AB88" i="132"/>
  <c r="AB87" i="132"/>
  <c r="AB86" i="132"/>
  <c r="AB85" i="132"/>
  <c r="AB84" i="132"/>
  <c r="AB83" i="132"/>
  <c r="AB82" i="132"/>
  <c r="AB81" i="132"/>
  <c r="AB80" i="132"/>
  <c r="AB79" i="132"/>
  <c r="AB78" i="132"/>
  <c r="X74" i="132"/>
  <c r="X73" i="132"/>
  <c r="X72" i="132"/>
  <c r="X71" i="132"/>
  <c r="X70" i="132"/>
  <c r="X68" i="132"/>
  <c r="X67" i="132"/>
  <c r="X66" i="132"/>
  <c r="X65" i="132"/>
  <c r="X64" i="132"/>
  <c r="X62" i="132"/>
  <c r="X61" i="132"/>
  <c r="X60" i="132"/>
  <c r="X59" i="132"/>
  <c r="X58" i="132"/>
  <c r="X57" i="132"/>
  <c r="X56" i="132"/>
  <c r="X55" i="132"/>
  <c r="X54" i="132"/>
  <c r="X53" i="132"/>
  <c r="X52" i="132"/>
  <c r="X51" i="132"/>
  <c r="X50" i="132"/>
  <c r="X49" i="132"/>
  <c r="X48" i="132"/>
  <c r="X47" i="132"/>
  <c r="X46" i="132"/>
  <c r="X45" i="132"/>
  <c r="X44" i="132"/>
  <c r="X43" i="132"/>
  <c r="X41" i="132"/>
  <c r="X40" i="132"/>
  <c r="X39" i="132"/>
  <c r="X38" i="132"/>
  <c r="X37" i="132"/>
  <c r="X36" i="132"/>
  <c r="X35" i="132"/>
  <c r="X34" i="132"/>
  <c r="X33" i="132"/>
  <c r="X32" i="132"/>
  <c r="X31" i="132"/>
  <c r="X30" i="132"/>
  <c r="X29" i="132"/>
  <c r="X28" i="132"/>
  <c r="X27" i="132"/>
  <c r="X26" i="132"/>
  <c r="X25" i="132"/>
  <c r="X24" i="132"/>
  <c r="X23" i="132"/>
  <c r="X22" i="132"/>
  <c r="U12" i="132"/>
  <c r="V12" i="132"/>
  <c r="W12" i="132"/>
  <c r="X12" i="132"/>
  <c r="U13" i="132"/>
  <c r="V13" i="132"/>
  <c r="Y13" i="132" s="1"/>
  <c r="W13" i="132"/>
  <c r="Z13" i="132" s="1"/>
  <c r="X13" i="132"/>
  <c r="J14" i="132"/>
  <c r="U14" i="132"/>
  <c r="V14" i="132"/>
  <c r="Y14" i="132" s="1"/>
  <c r="W14" i="132"/>
  <c r="Z14" i="132" s="1"/>
  <c r="X14" i="132"/>
  <c r="U15" i="132"/>
  <c r="V15" i="132"/>
  <c r="Y15" i="132" s="1"/>
  <c r="W15" i="132"/>
  <c r="Z15" i="132" s="1"/>
  <c r="X15" i="132"/>
  <c r="U16" i="132"/>
  <c r="V16" i="132"/>
  <c r="Y16" i="132" s="1"/>
  <c r="W16" i="132"/>
  <c r="Z16" i="132" s="1"/>
  <c r="X16" i="132"/>
  <c r="U17" i="132"/>
  <c r="V17" i="132"/>
  <c r="Y17" i="132" s="1"/>
  <c r="W17" i="132"/>
  <c r="Z17" i="132" s="1"/>
  <c r="X17" i="132"/>
  <c r="U18" i="132"/>
  <c r="V18" i="132"/>
  <c r="Y18" i="132" s="1"/>
  <c r="W18" i="132"/>
  <c r="Z18" i="132" s="1"/>
  <c r="X18" i="132"/>
  <c r="U19" i="132"/>
  <c r="V19" i="132"/>
  <c r="Y19" i="132" s="1"/>
  <c r="W19" i="132"/>
  <c r="Z19" i="132" s="1"/>
  <c r="X19" i="132"/>
  <c r="U20" i="132"/>
  <c r="V20" i="132"/>
  <c r="Y20" i="132" s="1"/>
  <c r="W20" i="132"/>
  <c r="Z20" i="132" s="1"/>
  <c r="X20" i="132"/>
  <c r="U21" i="132"/>
  <c r="V21" i="132"/>
  <c r="Y21" i="132" s="1"/>
  <c r="W21" i="132"/>
  <c r="Z21" i="132" s="1"/>
  <c r="X21" i="132"/>
  <c r="J46" i="132"/>
  <c r="D46" i="132"/>
  <c r="J57" i="132"/>
  <c r="D57" i="132"/>
  <c r="F57" i="132" s="1"/>
  <c r="J52" i="132"/>
  <c r="F52" i="132"/>
  <c r="G52" i="132" s="1"/>
  <c r="L52" i="132" s="1"/>
  <c r="J22" i="132"/>
  <c r="J30" i="132"/>
  <c r="J38" i="132"/>
  <c r="D47" i="132"/>
  <c r="F47" i="132" s="1"/>
  <c r="D48" i="132"/>
  <c r="F48" i="132" s="1"/>
  <c r="D49" i="132"/>
  <c r="F49" i="132" s="1"/>
  <c r="D50" i="132"/>
  <c r="F50" i="132" s="1"/>
  <c r="D53" i="132"/>
  <c r="F53" i="132"/>
  <c r="G53" i="132"/>
  <c r="D54" i="132"/>
  <c r="F54" i="132"/>
  <c r="G54" i="132" s="1"/>
  <c r="D55" i="132"/>
  <c r="F55" i="132"/>
  <c r="G55" i="132" s="1"/>
  <c r="D56" i="132"/>
  <c r="F56" i="132"/>
  <c r="D58" i="132"/>
  <c r="F58" i="132" s="1"/>
  <c r="F60" i="132"/>
  <c r="G60" i="132" s="1"/>
  <c r="L60" i="132" s="1"/>
  <c r="T78" i="132"/>
  <c r="T98" i="132" s="1"/>
  <c r="G86" i="132" s="1"/>
  <c r="H81" i="132" s="1"/>
  <c r="Y78" i="132"/>
  <c r="Y98" i="132" s="1"/>
  <c r="J20" i="131"/>
  <c r="AA97" i="131"/>
  <c r="AA96" i="131"/>
  <c r="AA95" i="131"/>
  <c r="AA94" i="131"/>
  <c r="AA93" i="131"/>
  <c r="AA92" i="131"/>
  <c r="AA91" i="131"/>
  <c r="AA90" i="131"/>
  <c r="AA89" i="131"/>
  <c r="AA88" i="131"/>
  <c r="AA87" i="131"/>
  <c r="AA86" i="131"/>
  <c r="AA85" i="131"/>
  <c r="AA84" i="131"/>
  <c r="AA83" i="131"/>
  <c r="AA82" i="131"/>
  <c r="AA81" i="131"/>
  <c r="AA80" i="131"/>
  <c r="AA79" i="131"/>
  <c r="AA78" i="131"/>
  <c r="U74" i="131"/>
  <c r="U73" i="131"/>
  <c r="U72" i="131"/>
  <c r="U71" i="131"/>
  <c r="U70" i="131"/>
  <c r="U68" i="131"/>
  <c r="U67" i="131"/>
  <c r="U66" i="131"/>
  <c r="U65" i="131"/>
  <c r="U64" i="131"/>
  <c r="U62" i="131"/>
  <c r="U61" i="131"/>
  <c r="U60" i="131"/>
  <c r="U59" i="131"/>
  <c r="U58" i="131"/>
  <c r="U57" i="131"/>
  <c r="U56" i="131"/>
  <c r="U55" i="131"/>
  <c r="U54" i="131"/>
  <c r="U53" i="131"/>
  <c r="U52" i="131"/>
  <c r="U51" i="131"/>
  <c r="U50" i="131"/>
  <c r="U49" i="131"/>
  <c r="U48" i="131"/>
  <c r="U47" i="131"/>
  <c r="U46" i="131"/>
  <c r="U45" i="131"/>
  <c r="U44" i="131"/>
  <c r="U43" i="131"/>
  <c r="U41" i="131"/>
  <c r="U40" i="131"/>
  <c r="U39" i="131"/>
  <c r="U38" i="131"/>
  <c r="U37" i="131"/>
  <c r="U36" i="131"/>
  <c r="U35" i="131"/>
  <c r="U34" i="131"/>
  <c r="U33" i="131"/>
  <c r="U32" i="131"/>
  <c r="U31" i="131"/>
  <c r="U30" i="131"/>
  <c r="U29" i="131"/>
  <c r="U28" i="131"/>
  <c r="U27" i="131"/>
  <c r="U26" i="131"/>
  <c r="U25" i="131"/>
  <c r="U24" i="131"/>
  <c r="U23" i="131"/>
  <c r="U22" i="131"/>
  <c r="W74" i="131"/>
  <c r="Z74" i="131" s="1"/>
  <c r="V74" i="131"/>
  <c r="Y74" i="131" s="1"/>
  <c r="W73" i="131"/>
  <c r="Z73" i="131" s="1"/>
  <c r="V73" i="131"/>
  <c r="Y73" i="131" s="1"/>
  <c r="W72" i="131"/>
  <c r="Z72" i="131" s="1"/>
  <c r="V72" i="131"/>
  <c r="Y72" i="131" s="1"/>
  <c r="W71" i="131"/>
  <c r="Z71" i="131" s="1"/>
  <c r="V71" i="131"/>
  <c r="Y71" i="131" s="1"/>
  <c r="W70" i="131"/>
  <c r="V70" i="131"/>
  <c r="W68" i="131"/>
  <c r="Z68" i="131" s="1"/>
  <c r="V68" i="131"/>
  <c r="Y68" i="131" s="1"/>
  <c r="W67" i="131"/>
  <c r="Z67" i="131" s="1"/>
  <c r="V67" i="131"/>
  <c r="Y67" i="131" s="1"/>
  <c r="W66" i="131"/>
  <c r="Z66" i="131" s="1"/>
  <c r="V66" i="131"/>
  <c r="Y66" i="131" s="1"/>
  <c r="W65" i="131"/>
  <c r="Z65" i="131" s="1"/>
  <c r="V65" i="131"/>
  <c r="Y65" i="131" s="1"/>
  <c r="W64" i="131"/>
  <c r="V64" i="131"/>
  <c r="W62" i="131"/>
  <c r="Z62" i="131" s="1"/>
  <c r="V62" i="131"/>
  <c r="Y62" i="131" s="1"/>
  <c r="W61" i="131"/>
  <c r="Z61" i="131" s="1"/>
  <c r="V61" i="131"/>
  <c r="Y61" i="131" s="1"/>
  <c r="W60" i="131"/>
  <c r="Z60" i="131" s="1"/>
  <c r="V60" i="131"/>
  <c r="Y60" i="131" s="1"/>
  <c r="W59" i="131"/>
  <c r="Z59" i="131" s="1"/>
  <c r="V59" i="131"/>
  <c r="Y59" i="131" s="1"/>
  <c r="W58" i="131"/>
  <c r="Z58" i="131" s="1"/>
  <c r="V58" i="131"/>
  <c r="Y58" i="131" s="1"/>
  <c r="W57" i="131"/>
  <c r="Z57" i="131" s="1"/>
  <c r="V57" i="131"/>
  <c r="Y57" i="131" s="1"/>
  <c r="W56" i="131"/>
  <c r="Z56" i="131" s="1"/>
  <c r="V56" i="131"/>
  <c r="Y56" i="131" s="1"/>
  <c r="W55" i="131"/>
  <c r="Z55" i="131" s="1"/>
  <c r="V55" i="131"/>
  <c r="Y55" i="131" s="1"/>
  <c r="W54" i="131"/>
  <c r="Z54" i="131" s="1"/>
  <c r="V54" i="131"/>
  <c r="Y54" i="131" s="1"/>
  <c r="W53" i="131"/>
  <c r="Z53" i="131" s="1"/>
  <c r="V53" i="131"/>
  <c r="Y53" i="131" s="1"/>
  <c r="W52" i="131"/>
  <c r="Z52" i="131" s="1"/>
  <c r="V52" i="131"/>
  <c r="Y52" i="131" s="1"/>
  <c r="W51" i="131"/>
  <c r="Z51" i="131" s="1"/>
  <c r="V51" i="131"/>
  <c r="Y51" i="131" s="1"/>
  <c r="W50" i="131"/>
  <c r="Z50" i="131" s="1"/>
  <c r="V50" i="131"/>
  <c r="Y50" i="131" s="1"/>
  <c r="W49" i="131"/>
  <c r="Z49" i="131" s="1"/>
  <c r="V49" i="131"/>
  <c r="Y49" i="131" s="1"/>
  <c r="W48" i="131"/>
  <c r="Z48" i="131" s="1"/>
  <c r="V48" i="131"/>
  <c r="Y48" i="131" s="1"/>
  <c r="W47" i="131"/>
  <c r="Z47" i="131" s="1"/>
  <c r="V47" i="131"/>
  <c r="Y47" i="131" s="1"/>
  <c r="W46" i="131"/>
  <c r="Z46" i="131" s="1"/>
  <c r="V46" i="131"/>
  <c r="Y46" i="131" s="1"/>
  <c r="W45" i="131"/>
  <c r="Z45" i="131" s="1"/>
  <c r="V45" i="131"/>
  <c r="Y45" i="131" s="1"/>
  <c r="W44" i="131"/>
  <c r="Z44" i="131" s="1"/>
  <c r="V44" i="131"/>
  <c r="Y44" i="131" s="1"/>
  <c r="W43" i="131"/>
  <c r="V43" i="131"/>
  <c r="W41" i="131"/>
  <c r="Z41" i="131" s="1"/>
  <c r="V41" i="131"/>
  <c r="Y41" i="131" s="1"/>
  <c r="W40" i="131"/>
  <c r="Z40" i="131" s="1"/>
  <c r="V40" i="131"/>
  <c r="Y40" i="131" s="1"/>
  <c r="W39" i="131"/>
  <c r="Z39" i="131" s="1"/>
  <c r="V39" i="131"/>
  <c r="Y39" i="131" s="1"/>
  <c r="W38" i="131"/>
  <c r="Z38" i="131" s="1"/>
  <c r="V38" i="131"/>
  <c r="Y38" i="131" s="1"/>
  <c r="W37" i="131"/>
  <c r="Z37" i="131" s="1"/>
  <c r="V37" i="131"/>
  <c r="Y37" i="131" s="1"/>
  <c r="W36" i="131"/>
  <c r="Z36" i="131" s="1"/>
  <c r="V36" i="131"/>
  <c r="Y36" i="131" s="1"/>
  <c r="W35" i="131"/>
  <c r="Z35" i="131" s="1"/>
  <c r="V35" i="131"/>
  <c r="Y35" i="131" s="1"/>
  <c r="W34" i="131"/>
  <c r="Z34" i="131" s="1"/>
  <c r="V34" i="131"/>
  <c r="Y34" i="131" s="1"/>
  <c r="W33" i="131"/>
  <c r="Z33" i="131" s="1"/>
  <c r="V33" i="131"/>
  <c r="Y33" i="131" s="1"/>
  <c r="W32" i="131"/>
  <c r="Z32" i="131" s="1"/>
  <c r="V32" i="131"/>
  <c r="Y32" i="131" s="1"/>
  <c r="W31" i="131"/>
  <c r="Z31" i="131" s="1"/>
  <c r="V31" i="131"/>
  <c r="Y31" i="131" s="1"/>
  <c r="W30" i="131"/>
  <c r="Z30" i="131" s="1"/>
  <c r="V30" i="131"/>
  <c r="Y30" i="131" s="1"/>
  <c r="W29" i="131"/>
  <c r="Z29" i="131" s="1"/>
  <c r="V29" i="131"/>
  <c r="Y29" i="131" s="1"/>
  <c r="W28" i="131"/>
  <c r="Z28" i="131" s="1"/>
  <c r="V28" i="131"/>
  <c r="Y28" i="131" s="1"/>
  <c r="W27" i="131"/>
  <c r="Z27" i="131" s="1"/>
  <c r="V27" i="131"/>
  <c r="Y27" i="131" s="1"/>
  <c r="W26" i="131"/>
  <c r="Z26" i="131" s="1"/>
  <c r="V26" i="131"/>
  <c r="Y26" i="131" s="1"/>
  <c r="W25" i="131"/>
  <c r="Z25" i="131" s="1"/>
  <c r="V25" i="131"/>
  <c r="Y25" i="131" s="1"/>
  <c r="W24" i="131"/>
  <c r="Z24" i="131" s="1"/>
  <c r="V24" i="131"/>
  <c r="Y24" i="131" s="1"/>
  <c r="W23" i="131"/>
  <c r="Z23" i="131" s="1"/>
  <c r="V23" i="131"/>
  <c r="Y23" i="131" s="1"/>
  <c r="W22" i="131"/>
  <c r="Z22" i="131" s="1"/>
  <c r="V22" i="131"/>
  <c r="Y22" i="131" s="1"/>
  <c r="AB97" i="131"/>
  <c r="AB96" i="131"/>
  <c r="AB95" i="131"/>
  <c r="AB94" i="131"/>
  <c r="AB93" i="131"/>
  <c r="AB92" i="131"/>
  <c r="AB91" i="131"/>
  <c r="AB90" i="131"/>
  <c r="AB89" i="131"/>
  <c r="AB88" i="131"/>
  <c r="AB87" i="131"/>
  <c r="AB86" i="131"/>
  <c r="AB85" i="131"/>
  <c r="AB84" i="131"/>
  <c r="AB83" i="131"/>
  <c r="AB82" i="131"/>
  <c r="AB81" i="131"/>
  <c r="AB80" i="131"/>
  <c r="AB79" i="131"/>
  <c r="AB78" i="131"/>
  <c r="X74" i="131"/>
  <c r="X73" i="131"/>
  <c r="X72" i="131"/>
  <c r="X71" i="131"/>
  <c r="X70" i="131"/>
  <c r="X68" i="131"/>
  <c r="X67" i="131"/>
  <c r="X66" i="131"/>
  <c r="X65" i="131"/>
  <c r="X64" i="131"/>
  <c r="X62" i="131"/>
  <c r="X61" i="131"/>
  <c r="X60" i="131"/>
  <c r="X59" i="131"/>
  <c r="X58" i="131"/>
  <c r="X57" i="131"/>
  <c r="X56" i="131"/>
  <c r="X55" i="131"/>
  <c r="X54" i="131"/>
  <c r="X53" i="131"/>
  <c r="X52" i="131"/>
  <c r="X51" i="131"/>
  <c r="X50" i="131"/>
  <c r="X49" i="131"/>
  <c r="X48" i="131"/>
  <c r="X47" i="131"/>
  <c r="X46" i="131"/>
  <c r="X45" i="131"/>
  <c r="X44" i="131"/>
  <c r="X43" i="131"/>
  <c r="X41" i="131"/>
  <c r="X40" i="131"/>
  <c r="X39" i="131"/>
  <c r="X38" i="131"/>
  <c r="X37" i="131"/>
  <c r="X36" i="131"/>
  <c r="X35" i="131"/>
  <c r="X34" i="131"/>
  <c r="X33" i="131"/>
  <c r="X32" i="131"/>
  <c r="X31" i="131"/>
  <c r="X30" i="131"/>
  <c r="X29" i="131"/>
  <c r="X28" i="131"/>
  <c r="X27" i="131"/>
  <c r="X26" i="131"/>
  <c r="X25" i="131"/>
  <c r="X24" i="131"/>
  <c r="X23" i="131"/>
  <c r="X22" i="131"/>
  <c r="U12" i="131"/>
  <c r="V12" i="131"/>
  <c r="W12" i="131"/>
  <c r="X12" i="131"/>
  <c r="U13" i="131"/>
  <c r="V13" i="131"/>
  <c r="Y13" i="131" s="1"/>
  <c r="W13" i="131"/>
  <c r="Z13" i="131" s="1"/>
  <c r="X13" i="131"/>
  <c r="J14" i="131"/>
  <c r="U14" i="131"/>
  <c r="V14" i="131"/>
  <c r="Y14" i="131" s="1"/>
  <c r="W14" i="131"/>
  <c r="Z14" i="131" s="1"/>
  <c r="X14" i="131"/>
  <c r="U15" i="131"/>
  <c r="V15" i="131"/>
  <c r="Y15" i="131" s="1"/>
  <c r="W15" i="131"/>
  <c r="Z15" i="131" s="1"/>
  <c r="X15" i="131"/>
  <c r="U16" i="131"/>
  <c r="V16" i="131"/>
  <c r="Y16" i="131" s="1"/>
  <c r="W16" i="131"/>
  <c r="Z16" i="131" s="1"/>
  <c r="X16" i="131"/>
  <c r="U17" i="131"/>
  <c r="V17" i="131"/>
  <c r="Y17" i="131" s="1"/>
  <c r="W17" i="131"/>
  <c r="Z17" i="131" s="1"/>
  <c r="X17" i="131"/>
  <c r="U18" i="131"/>
  <c r="V18" i="131"/>
  <c r="Y18" i="131" s="1"/>
  <c r="W18" i="131"/>
  <c r="Z18" i="131" s="1"/>
  <c r="X18" i="131"/>
  <c r="U19" i="131"/>
  <c r="V19" i="131"/>
  <c r="Y19" i="131" s="1"/>
  <c r="W19" i="131"/>
  <c r="Z19" i="131" s="1"/>
  <c r="X19" i="131"/>
  <c r="U20" i="131"/>
  <c r="V20" i="131"/>
  <c r="Y20" i="131" s="1"/>
  <c r="W20" i="131"/>
  <c r="Z20" i="131" s="1"/>
  <c r="X20" i="131"/>
  <c r="U21" i="131"/>
  <c r="V21" i="131"/>
  <c r="Y21" i="131" s="1"/>
  <c r="W21" i="131"/>
  <c r="Z21" i="131" s="1"/>
  <c r="X21" i="131"/>
  <c r="J46" i="131"/>
  <c r="D46" i="131"/>
  <c r="J57" i="131"/>
  <c r="D57" i="131"/>
  <c r="F57" i="131" s="1"/>
  <c r="J52" i="131"/>
  <c r="F52" i="131"/>
  <c r="D52" i="131"/>
  <c r="J22" i="131"/>
  <c r="J30" i="131"/>
  <c r="J38" i="131"/>
  <c r="D47" i="131"/>
  <c r="F47" i="131" s="1"/>
  <c r="D48" i="131"/>
  <c r="F48" i="131" s="1"/>
  <c r="D49" i="131"/>
  <c r="F49" i="131" s="1"/>
  <c r="D50" i="131"/>
  <c r="F50" i="131" s="1"/>
  <c r="D53" i="131"/>
  <c r="F53" i="131"/>
  <c r="D54" i="131"/>
  <c r="F54" i="131"/>
  <c r="D55" i="131"/>
  <c r="F55" i="131"/>
  <c r="D56" i="131"/>
  <c r="F56" i="131"/>
  <c r="D58" i="131"/>
  <c r="F58" i="131" s="1"/>
  <c r="F60" i="131"/>
  <c r="G60" i="131" s="1"/>
  <c r="L60" i="131" s="1"/>
  <c r="T78" i="131"/>
  <c r="T98" i="131" s="1"/>
  <c r="G86" i="131" s="1"/>
  <c r="H81" i="131" s="1"/>
  <c r="Y78" i="131"/>
  <c r="Y98" i="131" s="1"/>
  <c r="J20" i="130"/>
  <c r="AA97" i="130"/>
  <c r="AA96" i="130"/>
  <c r="AA95" i="130"/>
  <c r="AA94" i="130"/>
  <c r="AA93" i="130"/>
  <c r="AA92" i="130"/>
  <c r="AA91" i="130"/>
  <c r="AA90" i="130"/>
  <c r="AA89" i="130"/>
  <c r="AA88" i="130"/>
  <c r="AA87" i="130"/>
  <c r="AA86" i="130"/>
  <c r="AA85" i="130"/>
  <c r="AA84" i="130"/>
  <c r="AA83" i="130"/>
  <c r="AA82" i="130"/>
  <c r="AA81" i="130"/>
  <c r="AA80" i="130"/>
  <c r="AA79" i="130"/>
  <c r="AA78" i="130"/>
  <c r="U74" i="130"/>
  <c r="U73" i="130"/>
  <c r="U72" i="130"/>
  <c r="U71" i="130"/>
  <c r="U70" i="130"/>
  <c r="U68" i="130"/>
  <c r="U67" i="130"/>
  <c r="U66" i="130"/>
  <c r="U65" i="130"/>
  <c r="U64" i="130"/>
  <c r="U62" i="130"/>
  <c r="U61" i="130"/>
  <c r="U60" i="130"/>
  <c r="U59" i="130"/>
  <c r="U58" i="130"/>
  <c r="U57" i="130"/>
  <c r="U56" i="130"/>
  <c r="U55" i="130"/>
  <c r="U54" i="130"/>
  <c r="U53" i="130"/>
  <c r="U52" i="130"/>
  <c r="U51" i="130"/>
  <c r="U50" i="130"/>
  <c r="U49" i="130"/>
  <c r="U48" i="130"/>
  <c r="U47" i="130"/>
  <c r="U46" i="130"/>
  <c r="U45" i="130"/>
  <c r="U44" i="130"/>
  <c r="U43" i="130"/>
  <c r="U41" i="130"/>
  <c r="U40" i="130"/>
  <c r="U39" i="130"/>
  <c r="U38" i="130"/>
  <c r="U37" i="130"/>
  <c r="U36" i="130"/>
  <c r="U35" i="130"/>
  <c r="U34" i="130"/>
  <c r="U33" i="130"/>
  <c r="U32" i="130"/>
  <c r="U31" i="130"/>
  <c r="U30" i="130"/>
  <c r="U29" i="130"/>
  <c r="U28" i="130"/>
  <c r="U27" i="130"/>
  <c r="U26" i="130"/>
  <c r="U25" i="130"/>
  <c r="U24" i="130"/>
  <c r="U23" i="130"/>
  <c r="U22" i="130"/>
  <c r="W74" i="130"/>
  <c r="Z74" i="130" s="1"/>
  <c r="V74" i="130"/>
  <c r="Y74" i="130" s="1"/>
  <c r="W73" i="130"/>
  <c r="Z73" i="130" s="1"/>
  <c r="V73" i="130"/>
  <c r="Y73" i="130" s="1"/>
  <c r="W72" i="130"/>
  <c r="Z72" i="130" s="1"/>
  <c r="V72" i="130"/>
  <c r="Y72" i="130" s="1"/>
  <c r="W71" i="130"/>
  <c r="Z71" i="130" s="1"/>
  <c r="V71" i="130"/>
  <c r="Y71" i="130" s="1"/>
  <c r="W70" i="130"/>
  <c r="V70" i="130"/>
  <c r="W68" i="130"/>
  <c r="Z68" i="130" s="1"/>
  <c r="V68" i="130"/>
  <c r="Y68" i="130" s="1"/>
  <c r="W67" i="130"/>
  <c r="Z67" i="130" s="1"/>
  <c r="V67" i="130"/>
  <c r="Y67" i="130" s="1"/>
  <c r="W66" i="130"/>
  <c r="Z66" i="130" s="1"/>
  <c r="V66" i="130"/>
  <c r="Y66" i="130" s="1"/>
  <c r="W65" i="130"/>
  <c r="Z65" i="130" s="1"/>
  <c r="V65" i="130"/>
  <c r="Y65" i="130" s="1"/>
  <c r="W64" i="130"/>
  <c r="V64" i="130"/>
  <c r="W62" i="130"/>
  <c r="Z62" i="130" s="1"/>
  <c r="V62" i="130"/>
  <c r="Y62" i="130" s="1"/>
  <c r="W61" i="130"/>
  <c r="Z61" i="130" s="1"/>
  <c r="V61" i="130"/>
  <c r="Y61" i="130" s="1"/>
  <c r="W60" i="130"/>
  <c r="Z60" i="130" s="1"/>
  <c r="V60" i="130"/>
  <c r="Y60" i="130" s="1"/>
  <c r="W59" i="130"/>
  <c r="Z59" i="130" s="1"/>
  <c r="V59" i="130"/>
  <c r="Y59" i="130" s="1"/>
  <c r="W58" i="130"/>
  <c r="Z58" i="130" s="1"/>
  <c r="V58" i="130"/>
  <c r="Y58" i="130" s="1"/>
  <c r="W57" i="130"/>
  <c r="Z57" i="130" s="1"/>
  <c r="V57" i="130"/>
  <c r="Y57" i="130" s="1"/>
  <c r="W56" i="130"/>
  <c r="Z56" i="130" s="1"/>
  <c r="V56" i="130"/>
  <c r="Y56" i="130" s="1"/>
  <c r="W55" i="130"/>
  <c r="Z55" i="130" s="1"/>
  <c r="V55" i="130"/>
  <c r="Y55" i="130" s="1"/>
  <c r="W54" i="130"/>
  <c r="Z54" i="130" s="1"/>
  <c r="V54" i="130"/>
  <c r="Y54" i="130" s="1"/>
  <c r="W53" i="130"/>
  <c r="Z53" i="130" s="1"/>
  <c r="V53" i="130"/>
  <c r="Y53" i="130" s="1"/>
  <c r="W52" i="130"/>
  <c r="Z52" i="130" s="1"/>
  <c r="V52" i="130"/>
  <c r="Y52" i="130" s="1"/>
  <c r="W51" i="130"/>
  <c r="Z51" i="130" s="1"/>
  <c r="V51" i="130"/>
  <c r="Y51" i="130" s="1"/>
  <c r="W50" i="130"/>
  <c r="Z50" i="130" s="1"/>
  <c r="V50" i="130"/>
  <c r="Y50" i="130" s="1"/>
  <c r="W49" i="130"/>
  <c r="Z49" i="130" s="1"/>
  <c r="V49" i="130"/>
  <c r="Y49" i="130" s="1"/>
  <c r="W48" i="130"/>
  <c r="Z48" i="130" s="1"/>
  <c r="V48" i="130"/>
  <c r="Y48" i="130" s="1"/>
  <c r="W47" i="130"/>
  <c r="Z47" i="130" s="1"/>
  <c r="V47" i="130"/>
  <c r="Y47" i="130" s="1"/>
  <c r="W46" i="130"/>
  <c r="Z46" i="130" s="1"/>
  <c r="V46" i="130"/>
  <c r="Y46" i="130" s="1"/>
  <c r="W45" i="130"/>
  <c r="Z45" i="130" s="1"/>
  <c r="V45" i="130"/>
  <c r="Y45" i="130" s="1"/>
  <c r="W44" i="130"/>
  <c r="Z44" i="130" s="1"/>
  <c r="V44" i="130"/>
  <c r="Y44" i="130" s="1"/>
  <c r="W43" i="130"/>
  <c r="V43" i="130"/>
  <c r="W41" i="130"/>
  <c r="Z41" i="130" s="1"/>
  <c r="V41" i="130"/>
  <c r="Y41" i="130" s="1"/>
  <c r="W40" i="130"/>
  <c r="Z40" i="130" s="1"/>
  <c r="V40" i="130"/>
  <c r="Y40" i="130" s="1"/>
  <c r="W39" i="130"/>
  <c r="Z39" i="130" s="1"/>
  <c r="V39" i="130"/>
  <c r="Y39" i="130" s="1"/>
  <c r="W38" i="130"/>
  <c r="Z38" i="130" s="1"/>
  <c r="V38" i="130"/>
  <c r="Y38" i="130" s="1"/>
  <c r="W37" i="130"/>
  <c r="Z37" i="130" s="1"/>
  <c r="V37" i="130"/>
  <c r="Y37" i="130" s="1"/>
  <c r="W36" i="130"/>
  <c r="Z36" i="130" s="1"/>
  <c r="V36" i="130"/>
  <c r="Y36" i="130" s="1"/>
  <c r="W35" i="130"/>
  <c r="Z35" i="130" s="1"/>
  <c r="V35" i="130"/>
  <c r="Y35" i="130" s="1"/>
  <c r="W34" i="130"/>
  <c r="Z34" i="130" s="1"/>
  <c r="V34" i="130"/>
  <c r="Y34" i="130" s="1"/>
  <c r="W33" i="130"/>
  <c r="Z33" i="130" s="1"/>
  <c r="V33" i="130"/>
  <c r="Y33" i="130" s="1"/>
  <c r="W32" i="130"/>
  <c r="Z32" i="130" s="1"/>
  <c r="V32" i="130"/>
  <c r="Y32" i="130" s="1"/>
  <c r="W31" i="130"/>
  <c r="Z31" i="130" s="1"/>
  <c r="V31" i="130"/>
  <c r="Y31" i="130" s="1"/>
  <c r="W30" i="130"/>
  <c r="Z30" i="130" s="1"/>
  <c r="V30" i="130"/>
  <c r="Y30" i="130" s="1"/>
  <c r="W29" i="130"/>
  <c r="Z29" i="130" s="1"/>
  <c r="V29" i="130"/>
  <c r="Y29" i="130" s="1"/>
  <c r="W28" i="130"/>
  <c r="Z28" i="130" s="1"/>
  <c r="V28" i="130"/>
  <c r="Y28" i="130" s="1"/>
  <c r="W27" i="130"/>
  <c r="Z27" i="130" s="1"/>
  <c r="V27" i="130"/>
  <c r="Y27" i="130" s="1"/>
  <c r="W26" i="130"/>
  <c r="Z26" i="130" s="1"/>
  <c r="V26" i="130"/>
  <c r="Y26" i="130" s="1"/>
  <c r="W25" i="130"/>
  <c r="Z25" i="130" s="1"/>
  <c r="V25" i="130"/>
  <c r="Y25" i="130" s="1"/>
  <c r="W24" i="130"/>
  <c r="Z24" i="130" s="1"/>
  <c r="V24" i="130"/>
  <c r="Y24" i="130" s="1"/>
  <c r="W23" i="130"/>
  <c r="Z23" i="130" s="1"/>
  <c r="V23" i="130"/>
  <c r="Y23" i="130" s="1"/>
  <c r="W22" i="130"/>
  <c r="Z22" i="130" s="1"/>
  <c r="V22" i="130"/>
  <c r="Y22" i="130" s="1"/>
  <c r="AB97" i="130"/>
  <c r="AB96" i="130"/>
  <c r="AB95" i="130"/>
  <c r="AB94" i="130"/>
  <c r="AB93" i="130"/>
  <c r="AB92" i="130"/>
  <c r="AB91" i="130"/>
  <c r="AB90" i="130"/>
  <c r="AB89" i="130"/>
  <c r="AB88" i="130"/>
  <c r="AB87" i="130"/>
  <c r="AB86" i="130"/>
  <c r="AB85" i="130"/>
  <c r="AB84" i="130"/>
  <c r="AB83" i="130"/>
  <c r="AB82" i="130"/>
  <c r="AB81" i="130"/>
  <c r="AB80" i="130"/>
  <c r="AB79" i="130"/>
  <c r="AB78" i="130"/>
  <c r="X74" i="130"/>
  <c r="X73" i="130"/>
  <c r="X72" i="130"/>
  <c r="X71" i="130"/>
  <c r="X70" i="130"/>
  <c r="X68" i="130"/>
  <c r="X67" i="130"/>
  <c r="X66" i="130"/>
  <c r="X65" i="130"/>
  <c r="X64" i="130"/>
  <c r="X62" i="130"/>
  <c r="X61" i="130"/>
  <c r="X60" i="130"/>
  <c r="X59" i="130"/>
  <c r="X58" i="130"/>
  <c r="X57" i="130"/>
  <c r="X56" i="130"/>
  <c r="X55" i="130"/>
  <c r="X54" i="130"/>
  <c r="X53" i="130"/>
  <c r="X52" i="130"/>
  <c r="X51" i="130"/>
  <c r="X50" i="130"/>
  <c r="X49" i="130"/>
  <c r="X48" i="130"/>
  <c r="X47" i="130"/>
  <c r="X46" i="130"/>
  <c r="X45" i="130"/>
  <c r="X44" i="130"/>
  <c r="X43" i="130"/>
  <c r="X41" i="130"/>
  <c r="X40" i="130"/>
  <c r="X39" i="130"/>
  <c r="X38" i="130"/>
  <c r="X37" i="130"/>
  <c r="X36" i="130"/>
  <c r="X35" i="130"/>
  <c r="X34" i="130"/>
  <c r="X33" i="130"/>
  <c r="X32" i="130"/>
  <c r="X31" i="130"/>
  <c r="X30" i="130"/>
  <c r="X29" i="130"/>
  <c r="X28" i="130"/>
  <c r="X27" i="130"/>
  <c r="X26" i="130"/>
  <c r="X25" i="130"/>
  <c r="X24" i="130"/>
  <c r="X23" i="130"/>
  <c r="X22" i="130"/>
  <c r="U12" i="130"/>
  <c r="V12" i="130"/>
  <c r="W12" i="130"/>
  <c r="Z12" i="130" s="1"/>
  <c r="X12" i="130"/>
  <c r="U13" i="130"/>
  <c r="V13" i="130"/>
  <c r="Y13" i="130" s="1"/>
  <c r="W13" i="130"/>
  <c r="Z13" i="130" s="1"/>
  <c r="X13" i="130"/>
  <c r="J14" i="130"/>
  <c r="U14" i="130"/>
  <c r="V14" i="130"/>
  <c r="Y14" i="130" s="1"/>
  <c r="W14" i="130"/>
  <c r="Z14" i="130" s="1"/>
  <c r="X14" i="130"/>
  <c r="U15" i="130"/>
  <c r="V15" i="130"/>
  <c r="Y15" i="130" s="1"/>
  <c r="W15" i="130"/>
  <c r="Z15" i="130" s="1"/>
  <c r="X15" i="130"/>
  <c r="U16" i="130"/>
  <c r="V16" i="130"/>
  <c r="Y16" i="130" s="1"/>
  <c r="W16" i="130"/>
  <c r="Z16" i="130" s="1"/>
  <c r="X16" i="130"/>
  <c r="U17" i="130"/>
  <c r="V17" i="130"/>
  <c r="Y17" i="130" s="1"/>
  <c r="W17" i="130"/>
  <c r="Z17" i="130" s="1"/>
  <c r="X17" i="130"/>
  <c r="U18" i="130"/>
  <c r="V18" i="130"/>
  <c r="Y18" i="130" s="1"/>
  <c r="W18" i="130"/>
  <c r="Z18" i="130" s="1"/>
  <c r="X18" i="130"/>
  <c r="U19" i="130"/>
  <c r="V19" i="130"/>
  <c r="Y19" i="130" s="1"/>
  <c r="W19" i="130"/>
  <c r="Z19" i="130" s="1"/>
  <c r="X19" i="130"/>
  <c r="U20" i="130"/>
  <c r="V20" i="130"/>
  <c r="Y20" i="130" s="1"/>
  <c r="W20" i="130"/>
  <c r="Z20" i="130" s="1"/>
  <c r="X20" i="130"/>
  <c r="U21" i="130"/>
  <c r="V21" i="130"/>
  <c r="Y21" i="130" s="1"/>
  <c r="W21" i="130"/>
  <c r="Z21" i="130" s="1"/>
  <c r="X21" i="130"/>
  <c r="J46" i="130"/>
  <c r="D46" i="130"/>
  <c r="J57" i="130"/>
  <c r="D57" i="130"/>
  <c r="F57" i="130" s="1"/>
  <c r="J52" i="130"/>
  <c r="F52" i="130"/>
  <c r="D52" i="130"/>
  <c r="J22" i="130"/>
  <c r="J30" i="130"/>
  <c r="J38" i="130"/>
  <c r="D47" i="130"/>
  <c r="F47" i="130" s="1"/>
  <c r="D48" i="130"/>
  <c r="F48" i="130" s="1"/>
  <c r="D49" i="130"/>
  <c r="F49" i="130" s="1"/>
  <c r="D53" i="130"/>
  <c r="F53" i="130"/>
  <c r="G53" i="130" s="1"/>
  <c r="D54" i="130"/>
  <c r="F54" i="130"/>
  <c r="D55" i="130"/>
  <c r="F55" i="130"/>
  <c r="D56" i="130"/>
  <c r="F56" i="130"/>
  <c r="D58" i="130"/>
  <c r="F58" i="130" s="1"/>
  <c r="F60" i="130"/>
  <c r="G60" i="130" s="1"/>
  <c r="L60" i="130" s="1"/>
  <c r="T78" i="130"/>
  <c r="T98" i="130" s="1"/>
  <c r="G86" i="130" s="1"/>
  <c r="H81" i="130" s="1"/>
  <c r="Y78" i="130"/>
  <c r="Y98" i="130" s="1"/>
  <c r="J20" i="129"/>
  <c r="AA97" i="129"/>
  <c r="AA96" i="129"/>
  <c r="AA95" i="129"/>
  <c r="AA94" i="129"/>
  <c r="AA93" i="129"/>
  <c r="AA92" i="129"/>
  <c r="AA91" i="129"/>
  <c r="AA90" i="129"/>
  <c r="AA89" i="129"/>
  <c r="AA88" i="129"/>
  <c r="AA87" i="129"/>
  <c r="AA86" i="129"/>
  <c r="AA85" i="129"/>
  <c r="AA84" i="129"/>
  <c r="AA83" i="129"/>
  <c r="AA82" i="129"/>
  <c r="AA81" i="129"/>
  <c r="AA80" i="129"/>
  <c r="AA79" i="129"/>
  <c r="AA78" i="129"/>
  <c r="U74" i="129"/>
  <c r="U73" i="129"/>
  <c r="U72" i="129"/>
  <c r="U71" i="129"/>
  <c r="U70" i="129"/>
  <c r="U68" i="129"/>
  <c r="U67" i="129"/>
  <c r="U66" i="129"/>
  <c r="U65" i="129"/>
  <c r="U64" i="129"/>
  <c r="U62" i="129"/>
  <c r="U61" i="129"/>
  <c r="U60" i="129"/>
  <c r="U59" i="129"/>
  <c r="U58" i="129"/>
  <c r="U57" i="129"/>
  <c r="U56" i="129"/>
  <c r="U55" i="129"/>
  <c r="U54" i="129"/>
  <c r="U53" i="129"/>
  <c r="U52" i="129"/>
  <c r="U51" i="129"/>
  <c r="U50" i="129"/>
  <c r="U49" i="129"/>
  <c r="U48" i="129"/>
  <c r="U47" i="129"/>
  <c r="U46" i="129"/>
  <c r="U45" i="129"/>
  <c r="U44" i="129"/>
  <c r="U43" i="129"/>
  <c r="U41" i="129"/>
  <c r="U40" i="129"/>
  <c r="U39" i="129"/>
  <c r="U38" i="129"/>
  <c r="U37" i="129"/>
  <c r="U36" i="129"/>
  <c r="U35" i="129"/>
  <c r="U34" i="129"/>
  <c r="U33" i="129"/>
  <c r="U32" i="129"/>
  <c r="U31" i="129"/>
  <c r="U30" i="129"/>
  <c r="U29" i="129"/>
  <c r="U28" i="129"/>
  <c r="U27" i="129"/>
  <c r="U26" i="129"/>
  <c r="U25" i="129"/>
  <c r="U24" i="129"/>
  <c r="U23" i="129"/>
  <c r="U22" i="129"/>
  <c r="W74" i="129"/>
  <c r="Z74" i="129" s="1"/>
  <c r="V74" i="129"/>
  <c r="Y74" i="129" s="1"/>
  <c r="W73" i="129"/>
  <c r="Z73" i="129" s="1"/>
  <c r="V73" i="129"/>
  <c r="Y73" i="129" s="1"/>
  <c r="W72" i="129"/>
  <c r="Z72" i="129" s="1"/>
  <c r="V72" i="129"/>
  <c r="Y72" i="129" s="1"/>
  <c r="W71" i="129"/>
  <c r="Z71" i="129" s="1"/>
  <c r="V71" i="129"/>
  <c r="Y71" i="129" s="1"/>
  <c r="W70" i="129"/>
  <c r="V70" i="129"/>
  <c r="W68" i="129"/>
  <c r="Z68" i="129" s="1"/>
  <c r="V68" i="129"/>
  <c r="Y68" i="129" s="1"/>
  <c r="W67" i="129"/>
  <c r="Z67" i="129" s="1"/>
  <c r="V67" i="129"/>
  <c r="Y67" i="129" s="1"/>
  <c r="W66" i="129"/>
  <c r="Z66" i="129" s="1"/>
  <c r="V66" i="129"/>
  <c r="Y66" i="129" s="1"/>
  <c r="W65" i="129"/>
  <c r="Z65" i="129" s="1"/>
  <c r="V65" i="129"/>
  <c r="Y65" i="129" s="1"/>
  <c r="W64" i="129"/>
  <c r="V64" i="129"/>
  <c r="W62" i="129"/>
  <c r="Z62" i="129" s="1"/>
  <c r="V62" i="129"/>
  <c r="Y62" i="129" s="1"/>
  <c r="W61" i="129"/>
  <c r="Z61" i="129" s="1"/>
  <c r="V61" i="129"/>
  <c r="Y61" i="129" s="1"/>
  <c r="W60" i="129"/>
  <c r="Z60" i="129" s="1"/>
  <c r="V60" i="129"/>
  <c r="Y60" i="129" s="1"/>
  <c r="W59" i="129"/>
  <c r="Z59" i="129" s="1"/>
  <c r="V59" i="129"/>
  <c r="Y59" i="129" s="1"/>
  <c r="W58" i="129"/>
  <c r="Z58" i="129" s="1"/>
  <c r="V58" i="129"/>
  <c r="Y58" i="129" s="1"/>
  <c r="W57" i="129"/>
  <c r="Z57" i="129" s="1"/>
  <c r="V57" i="129"/>
  <c r="Y57" i="129" s="1"/>
  <c r="W56" i="129"/>
  <c r="Z56" i="129" s="1"/>
  <c r="V56" i="129"/>
  <c r="Y56" i="129" s="1"/>
  <c r="W55" i="129"/>
  <c r="Z55" i="129" s="1"/>
  <c r="V55" i="129"/>
  <c r="Y55" i="129" s="1"/>
  <c r="W54" i="129"/>
  <c r="Z54" i="129" s="1"/>
  <c r="V54" i="129"/>
  <c r="Y54" i="129" s="1"/>
  <c r="W53" i="129"/>
  <c r="Z53" i="129" s="1"/>
  <c r="V53" i="129"/>
  <c r="Y53" i="129" s="1"/>
  <c r="W52" i="129"/>
  <c r="Z52" i="129" s="1"/>
  <c r="V52" i="129"/>
  <c r="Y52" i="129" s="1"/>
  <c r="W51" i="129"/>
  <c r="Z51" i="129" s="1"/>
  <c r="V51" i="129"/>
  <c r="Y51" i="129" s="1"/>
  <c r="W50" i="129"/>
  <c r="Z50" i="129" s="1"/>
  <c r="V50" i="129"/>
  <c r="Y50" i="129" s="1"/>
  <c r="W49" i="129"/>
  <c r="Z49" i="129" s="1"/>
  <c r="V49" i="129"/>
  <c r="Y49" i="129" s="1"/>
  <c r="W48" i="129"/>
  <c r="Z48" i="129" s="1"/>
  <c r="V48" i="129"/>
  <c r="Y48" i="129" s="1"/>
  <c r="W47" i="129"/>
  <c r="Z47" i="129" s="1"/>
  <c r="V47" i="129"/>
  <c r="Y47" i="129" s="1"/>
  <c r="W46" i="129"/>
  <c r="Z46" i="129" s="1"/>
  <c r="V46" i="129"/>
  <c r="Y46" i="129" s="1"/>
  <c r="W45" i="129"/>
  <c r="Z45" i="129" s="1"/>
  <c r="V45" i="129"/>
  <c r="Y45" i="129" s="1"/>
  <c r="W44" i="129"/>
  <c r="Z44" i="129" s="1"/>
  <c r="V44" i="129"/>
  <c r="Y44" i="129" s="1"/>
  <c r="W43" i="129"/>
  <c r="V43" i="129"/>
  <c r="W41" i="129"/>
  <c r="Z41" i="129" s="1"/>
  <c r="V41" i="129"/>
  <c r="Y41" i="129" s="1"/>
  <c r="W40" i="129"/>
  <c r="Z40" i="129" s="1"/>
  <c r="V40" i="129"/>
  <c r="Y40" i="129" s="1"/>
  <c r="W39" i="129"/>
  <c r="Z39" i="129" s="1"/>
  <c r="V39" i="129"/>
  <c r="Y39" i="129" s="1"/>
  <c r="W38" i="129"/>
  <c r="Z38" i="129" s="1"/>
  <c r="V38" i="129"/>
  <c r="Y38" i="129" s="1"/>
  <c r="W37" i="129"/>
  <c r="Z37" i="129" s="1"/>
  <c r="V37" i="129"/>
  <c r="Y37" i="129" s="1"/>
  <c r="W36" i="129"/>
  <c r="Z36" i="129" s="1"/>
  <c r="V36" i="129"/>
  <c r="Y36" i="129" s="1"/>
  <c r="W35" i="129"/>
  <c r="Z35" i="129" s="1"/>
  <c r="V35" i="129"/>
  <c r="Y35" i="129" s="1"/>
  <c r="W34" i="129"/>
  <c r="Z34" i="129" s="1"/>
  <c r="V34" i="129"/>
  <c r="Y34" i="129" s="1"/>
  <c r="W33" i="129"/>
  <c r="Z33" i="129" s="1"/>
  <c r="V33" i="129"/>
  <c r="Y33" i="129" s="1"/>
  <c r="W32" i="129"/>
  <c r="Z32" i="129" s="1"/>
  <c r="V32" i="129"/>
  <c r="Y32" i="129" s="1"/>
  <c r="W31" i="129"/>
  <c r="Z31" i="129" s="1"/>
  <c r="V31" i="129"/>
  <c r="Y31" i="129" s="1"/>
  <c r="W30" i="129"/>
  <c r="Z30" i="129" s="1"/>
  <c r="V30" i="129"/>
  <c r="Y30" i="129" s="1"/>
  <c r="W29" i="129"/>
  <c r="Z29" i="129" s="1"/>
  <c r="V29" i="129"/>
  <c r="Y29" i="129" s="1"/>
  <c r="W28" i="129"/>
  <c r="Z28" i="129" s="1"/>
  <c r="V28" i="129"/>
  <c r="Y28" i="129" s="1"/>
  <c r="W27" i="129"/>
  <c r="Z27" i="129" s="1"/>
  <c r="V27" i="129"/>
  <c r="Y27" i="129" s="1"/>
  <c r="W26" i="129"/>
  <c r="Z26" i="129" s="1"/>
  <c r="V26" i="129"/>
  <c r="Y26" i="129" s="1"/>
  <c r="W25" i="129"/>
  <c r="Z25" i="129" s="1"/>
  <c r="V25" i="129"/>
  <c r="Y25" i="129" s="1"/>
  <c r="W24" i="129"/>
  <c r="Z24" i="129" s="1"/>
  <c r="V24" i="129"/>
  <c r="Y24" i="129" s="1"/>
  <c r="W23" i="129"/>
  <c r="Z23" i="129" s="1"/>
  <c r="V23" i="129"/>
  <c r="Y23" i="129" s="1"/>
  <c r="W22" i="129"/>
  <c r="Z22" i="129" s="1"/>
  <c r="V22" i="129"/>
  <c r="Y22" i="129" s="1"/>
  <c r="AB97" i="129"/>
  <c r="AB96" i="129"/>
  <c r="AB95" i="129"/>
  <c r="AB94" i="129"/>
  <c r="AB93" i="129"/>
  <c r="AB92" i="129"/>
  <c r="AB91" i="129"/>
  <c r="AB90" i="129"/>
  <c r="AB89" i="129"/>
  <c r="AB88" i="129"/>
  <c r="AB87" i="129"/>
  <c r="AB86" i="129"/>
  <c r="AB85" i="129"/>
  <c r="AB84" i="129"/>
  <c r="AB83" i="129"/>
  <c r="AB82" i="129"/>
  <c r="AB81" i="129"/>
  <c r="AB80" i="129"/>
  <c r="AB79" i="129"/>
  <c r="AB78" i="129"/>
  <c r="X74" i="129"/>
  <c r="X73" i="129"/>
  <c r="X72" i="129"/>
  <c r="X71" i="129"/>
  <c r="X70" i="129"/>
  <c r="X68" i="129"/>
  <c r="X67" i="129"/>
  <c r="X66" i="129"/>
  <c r="X65" i="129"/>
  <c r="X64" i="129"/>
  <c r="X62" i="129"/>
  <c r="X61" i="129"/>
  <c r="X60" i="129"/>
  <c r="X59" i="129"/>
  <c r="X58" i="129"/>
  <c r="X57" i="129"/>
  <c r="X56" i="129"/>
  <c r="X55" i="129"/>
  <c r="X54" i="129"/>
  <c r="X53" i="129"/>
  <c r="X52" i="129"/>
  <c r="X51" i="129"/>
  <c r="X50" i="129"/>
  <c r="X49" i="129"/>
  <c r="X48" i="129"/>
  <c r="X47" i="129"/>
  <c r="X46" i="129"/>
  <c r="X45" i="129"/>
  <c r="X44" i="129"/>
  <c r="X43" i="129"/>
  <c r="X41" i="129"/>
  <c r="X40" i="129"/>
  <c r="X39" i="129"/>
  <c r="X38" i="129"/>
  <c r="X37" i="129"/>
  <c r="X36" i="129"/>
  <c r="X35" i="129"/>
  <c r="X34" i="129"/>
  <c r="X33" i="129"/>
  <c r="X32" i="129"/>
  <c r="X31" i="129"/>
  <c r="X30" i="129"/>
  <c r="X29" i="129"/>
  <c r="X28" i="129"/>
  <c r="X27" i="129"/>
  <c r="X26" i="129"/>
  <c r="X25" i="129"/>
  <c r="X24" i="129"/>
  <c r="X23" i="129"/>
  <c r="X22" i="129"/>
  <c r="U12" i="129"/>
  <c r="V12" i="129"/>
  <c r="W12" i="129"/>
  <c r="X12" i="129"/>
  <c r="U13" i="129"/>
  <c r="V13" i="129"/>
  <c r="Y13" i="129" s="1"/>
  <c r="W13" i="129"/>
  <c r="Z13" i="129" s="1"/>
  <c r="X13" i="129"/>
  <c r="J14" i="129"/>
  <c r="U14" i="129"/>
  <c r="V14" i="129"/>
  <c r="Y14" i="129" s="1"/>
  <c r="W14" i="129"/>
  <c r="Z14" i="129" s="1"/>
  <c r="X14" i="129"/>
  <c r="U15" i="129"/>
  <c r="V15" i="129"/>
  <c r="Y15" i="129" s="1"/>
  <c r="W15" i="129"/>
  <c r="Z15" i="129" s="1"/>
  <c r="X15" i="129"/>
  <c r="U16" i="129"/>
  <c r="V16" i="129"/>
  <c r="Y16" i="129" s="1"/>
  <c r="W16" i="129"/>
  <c r="Z16" i="129" s="1"/>
  <c r="X16" i="129"/>
  <c r="U17" i="129"/>
  <c r="V17" i="129"/>
  <c r="Y17" i="129" s="1"/>
  <c r="W17" i="129"/>
  <c r="Z17" i="129" s="1"/>
  <c r="X17" i="129"/>
  <c r="U18" i="129"/>
  <c r="V18" i="129"/>
  <c r="Y18" i="129" s="1"/>
  <c r="W18" i="129"/>
  <c r="Z18" i="129" s="1"/>
  <c r="X18" i="129"/>
  <c r="U19" i="129"/>
  <c r="V19" i="129"/>
  <c r="Y19" i="129" s="1"/>
  <c r="W19" i="129"/>
  <c r="Z19" i="129" s="1"/>
  <c r="X19" i="129"/>
  <c r="U20" i="129"/>
  <c r="V20" i="129"/>
  <c r="Y20" i="129" s="1"/>
  <c r="W20" i="129"/>
  <c r="Z20" i="129" s="1"/>
  <c r="X20" i="129"/>
  <c r="U21" i="129"/>
  <c r="V21" i="129"/>
  <c r="Y21" i="129" s="1"/>
  <c r="W21" i="129"/>
  <c r="Z21" i="129" s="1"/>
  <c r="X21" i="129"/>
  <c r="J46" i="129"/>
  <c r="D46" i="129"/>
  <c r="J57" i="129"/>
  <c r="D57" i="129"/>
  <c r="F57" i="129" s="1"/>
  <c r="J52" i="129"/>
  <c r="F52" i="129"/>
  <c r="D52" i="129"/>
  <c r="J22" i="129"/>
  <c r="J30" i="129"/>
  <c r="J38" i="129"/>
  <c r="D47" i="129"/>
  <c r="F47" i="129" s="1"/>
  <c r="D48" i="129"/>
  <c r="F48" i="129" s="1"/>
  <c r="D49" i="129"/>
  <c r="F49" i="129" s="1"/>
  <c r="D53" i="129"/>
  <c r="F53" i="129"/>
  <c r="D54" i="129"/>
  <c r="F54" i="129"/>
  <c r="D55" i="129"/>
  <c r="F55" i="129"/>
  <c r="D56" i="129"/>
  <c r="F56" i="129"/>
  <c r="D58" i="129"/>
  <c r="F58" i="129" s="1"/>
  <c r="F60" i="129"/>
  <c r="G60" i="129" s="1"/>
  <c r="L60" i="129" s="1"/>
  <c r="T78" i="129"/>
  <c r="T98" i="129" s="1"/>
  <c r="G86" i="129" s="1"/>
  <c r="H81" i="129" s="1"/>
  <c r="Y78" i="129"/>
  <c r="Y98" i="129" s="1"/>
  <c r="J20" i="128"/>
  <c r="AA97" i="128"/>
  <c r="AA96" i="128"/>
  <c r="AA95" i="128"/>
  <c r="AA94" i="128"/>
  <c r="AA93" i="128"/>
  <c r="AA92" i="128"/>
  <c r="AA91" i="128"/>
  <c r="AA90" i="128"/>
  <c r="AA89" i="128"/>
  <c r="AA88" i="128"/>
  <c r="AA87" i="128"/>
  <c r="AA86" i="128"/>
  <c r="AA85" i="128"/>
  <c r="AA84" i="128"/>
  <c r="AA83" i="128"/>
  <c r="AA82" i="128"/>
  <c r="AA81" i="128"/>
  <c r="AA80" i="128"/>
  <c r="AA79" i="128"/>
  <c r="AA78" i="128"/>
  <c r="U74" i="128"/>
  <c r="U73" i="128"/>
  <c r="U72" i="128"/>
  <c r="U71" i="128"/>
  <c r="U70" i="128"/>
  <c r="U68" i="128"/>
  <c r="U67" i="128"/>
  <c r="U66" i="128"/>
  <c r="U65" i="128"/>
  <c r="U64" i="128"/>
  <c r="U62" i="128"/>
  <c r="U61" i="128"/>
  <c r="U60" i="128"/>
  <c r="U59" i="128"/>
  <c r="U58" i="128"/>
  <c r="U57" i="128"/>
  <c r="U56" i="128"/>
  <c r="U55" i="128"/>
  <c r="U54" i="128"/>
  <c r="U53" i="128"/>
  <c r="U52" i="128"/>
  <c r="U51" i="128"/>
  <c r="U50" i="128"/>
  <c r="U49" i="128"/>
  <c r="U48" i="128"/>
  <c r="U47" i="128"/>
  <c r="U46" i="128"/>
  <c r="U45" i="128"/>
  <c r="U44" i="128"/>
  <c r="U43" i="128"/>
  <c r="U41" i="128"/>
  <c r="U40" i="128"/>
  <c r="U39" i="128"/>
  <c r="U38" i="128"/>
  <c r="U37" i="128"/>
  <c r="U36" i="128"/>
  <c r="U35" i="128"/>
  <c r="U34" i="128"/>
  <c r="U33" i="128"/>
  <c r="U32" i="128"/>
  <c r="U31" i="128"/>
  <c r="U30" i="128"/>
  <c r="U29" i="128"/>
  <c r="U28" i="128"/>
  <c r="U27" i="128"/>
  <c r="U26" i="128"/>
  <c r="U25" i="128"/>
  <c r="U24" i="128"/>
  <c r="U23" i="128"/>
  <c r="U22" i="128"/>
  <c r="W74" i="128"/>
  <c r="Z74" i="128" s="1"/>
  <c r="V74" i="128"/>
  <c r="Y74" i="128" s="1"/>
  <c r="W73" i="128"/>
  <c r="Z73" i="128" s="1"/>
  <c r="V73" i="128"/>
  <c r="Y73" i="128" s="1"/>
  <c r="W72" i="128"/>
  <c r="Z72" i="128" s="1"/>
  <c r="V72" i="128"/>
  <c r="Y72" i="128" s="1"/>
  <c r="W71" i="128"/>
  <c r="Z71" i="128" s="1"/>
  <c r="V71" i="128"/>
  <c r="Y71" i="128" s="1"/>
  <c r="W70" i="128"/>
  <c r="V70" i="128"/>
  <c r="W68" i="128"/>
  <c r="Z68" i="128" s="1"/>
  <c r="V68" i="128"/>
  <c r="Y68" i="128" s="1"/>
  <c r="W67" i="128"/>
  <c r="Z67" i="128" s="1"/>
  <c r="V67" i="128"/>
  <c r="Y67" i="128" s="1"/>
  <c r="W66" i="128"/>
  <c r="Z66" i="128" s="1"/>
  <c r="V66" i="128"/>
  <c r="Y66" i="128" s="1"/>
  <c r="W65" i="128"/>
  <c r="Z65" i="128" s="1"/>
  <c r="V65" i="128"/>
  <c r="Y65" i="128" s="1"/>
  <c r="W64" i="128"/>
  <c r="V64" i="128"/>
  <c r="W62" i="128"/>
  <c r="Z62" i="128" s="1"/>
  <c r="V62" i="128"/>
  <c r="Y62" i="128" s="1"/>
  <c r="W61" i="128"/>
  <c r="Z61" i="128" s="1"/>
  <c r="V61" i="128"/>
  <c r="Y61" i="128" s="1"/>
  <c r="W60" i="128"/>
  <c r="Z60" i="128" s="1"/>
  <c r="V60" i="128"/>
  <c r="Y60" i="128" s="1"/>
  <c r="W59" i="128"/>
  <c r="Z59" i="128" s="1"/>
  <c r="V59" i="128"/>
  <c r="Y59" i="128" s="1"/>
  <c r="W58" i="128"/>
  <c r="Z58" i="128" s="1"/>
  <c r="V58" i="128"/>
  <c r="Y58" i="128" s="1"/>
  <c r="W57" i="128"/>
  <c r="Z57" i="128" s="1"/>
  <c r="V57" i="128"/>
  <c r="Y57" i="128" s="1"/>
  <c r="W56" i="128"/>
  <c r="Z56" i="128" s="1"/>
  <c r="V56" i="128"/>
  <c r="Y56" i="128" s="1"/>
  <c r="W55" i="128"/>
  <c r="Z55" i="128" s="1"/>
  <c r="V55" i="128"/>
  <c r="Y55" i="128" s="1"/>
  <c r="W54" i="128"/>
  <c r="Z54" i="128" s="1"/>
  <c r="V54" i="128"/>
  <c r="Y54" i="128" s="1"/>
  <c r="W53" i="128"/>
  <c r="Z53" i="128" s="1"/>
  <c r="V53" i="128"/>
  <c r="Y53" i="128" s="1"/>
  <c r="W52" i="128"/>
  <c r="Z52" i="128" s="1"/>
  <c r="V52" i="128"/>
  <c r="Y52" i="128" s="1"/>
  <c r="W51" i="128"/>
  <c r="Z51" i="128" s="1"/>
  <c r="V51" i="128"/>
  <c r="Y51" i="128" s="1"/>
  <c r="W50" i="128"/>
  <c r="Z50" i="128" s="1"/>
  <c r="V50" i="128"/>
  <c r="Y50" i="128" s="1"/>
  <c r="W49" i="128"/>
  <c r="Z49" i="128" s="1"/>
  <c r="V49" i="128"/>
  <c r="Y49" i="128" s="1"/>
  <c r="W48" i="128"/>
  <c r="Z48" i="128" s="1"/>
  <c r="V48" i="128"/>
  <c r="Y48" i="128" s="1"/>
  <c r="W47" i="128"/>
  <c r="Z47" i="128" s="1"/>
  <c r="V47" i="128"/>
  <c r="Y47" i="128" s="1"/>
  <c r="W46" i="128"/>
  <c r="Z46" i="128" s="1"/>
  <c r="V46" i="128"/>
  <c r="Y46" i="128" s="1"/>
  <c r="W45" i="128"/>
  <c r="Z45" i="128" s="1"/>
  <c r="V45" i="128"/>
  <c r="Y45" i="128" s="1"/>
  <c r="W44" i="128"/>
  <c r="Z44" i="128" s="1"/>
  <c r="V44" i="128"/>
  <c r="Y44" i="128" s="1"/>
  <c r="W43" i="128"/>
  <c r="V43" i="128"/>
  <c r="W41" i="128"/>
  <c r="Z41" i="128" s="1"/>
  <c r="V41" i="128"/>
  <c r="Y41" i="128" s="1"/>
  <c r="W40" i="128"/>
  <c r="Z40" i="128" s="1"/>
  <c r="V40" i="128"/>
  <c r="Y40" i="128" s="1"/>
  <c r="W39" i="128"/>
  <c r="Z39" i="128" s="1"/>
  <c r="V39" i="128"/>
  <c r="Y39" i="128" s="1"/>
  <c r="W38" i="128"/>
  <c r="Z38" i="128" s="1"/>
  <c r="V38" i="128"/>
  <c r="Y38" i="128" s="1"/>
  <c r="W37" i="128"/>
  <c r="Z37" i="128" s="1"/>
  <c r="V37" i="128"/>
  <c r="Y37" i="128" s="1"/>
  <c r="W36" i="128"/>
  <c r="Z36" i="128" s="1"/>
  <c r="V36" i="128"/>
  <c r="Y36" i="128" s="1"/>
  <c r="W35" i="128"/>
  <c r="Z35" i="128" s="1"/>
  <c r="V35" i="128"/>
  <c r="Y35" i="128" s="1"/>
  <c r="W34" i="128"/>
  <c r="Z34" i="128" s="1"/>
  <c r="V34" i="128"/>
  <c r="Y34" i="128" s="1"/>
  <c r="W33" i="128"/>
  <c r="Z33" i="128" s="1"/>
  <c r="V33" i="128"/>
  <c r="Y33" i="128" s="1"/>
  <c r="W32" i="128"/>
  <c r="Z32" i="128" s="1"/>
  <c r="V32" i="128"/>
  <c r="Y32" i="128" s="1"/>
  <c r="W31" i="128"/>
  <c r="Z31" i="128" s="1"/>
  <c r="V31" i="128"/>
  <c r="Y31" i="128" s="1"/>
  <c r="W30" i="128"/>
  <c r="Z30" i="128" s="1"/>
  <c r="V30" i="128"/>
  <c r="Y30" i="128" s="1"/>
  <c r="W29" i="128"/>
  <c r="Z29" i="128" s="1"/>
  <c r="V29" i="128"/>
  <c r="Y29" i="128" s="1"/>
  <c r="W28" i="128"/>
  <c r="Z28" i="128" s="1"/>
  <c r="V28" i="128"/>
  <c r="Y28" i="128" s="1"/>
  <c r="W27" i="128"/>
  <c r="Z27" i="128" s="1"/>
  <c r="V27" i="128"/>
  <c r="Y27" i="128" s="1"/>
  <c r="W26" i="128"/>
  <c r="Z26" i="128" s="1"/>
  <c r="V26" i="128"/>
  <c r="Y26" i="128" s="1"/>
  <c r="W25" i="128"/>
  <c r="Z25" i="128" s="1"/>
  <c r="V25" i="128"/>
  <c r="Y25" i="128" s="1"/>
  <c r="W24" i="128"/>
  <c r="Z24" i="128" s="1"/>
  <c r="V24" i="128"/>
  <c r="Y24" i="128" s="1"/>
  <c r="W23" i="128"/>
  <c r="Z23" i="128" s="1"/>
  <c r="V23" i="128"/>
  <c r="Y23" i="128" s="1"/>
  <c r="W22" i="128"/>
  <c r="Z22" i="128" s="1"/>
  <c r="V22" i="128"/>
  <c r="Y22" i="128" s="1"/>
  <c r="AB97" i="128"/>
  <c r="AB96" i="128"/>
  <c r="AB95" i="128"/>
  <c r="AB94" i="128"/>
  <c r="AB93" i="128"/>
  <c r="AB92" i="128"/>
  <c r="AB91" i="128"/>
  <c r="AB90" i="128"/>
  <c r="AB89" i="128"/>
  <c r="AB88" i="128"/>
  <c r="AB87" i="128"/>
  <c r="AB86" i="128"/>
  <c r="AB85" i="128"/>
  <c r="AB84" i="128"/>
  <c r="AB83" i="128"/>
  <c r="AB82" i="128"/>
  <c r="AB81" i="128"/>
  <c r="AB80" i="128"/>
  <c r="AB79" i="128"/>
  <c r="AB78" i="128"/>
  <c r="X74" i="128"/>
  <c r="X73" i="128"/>
  <c r="X72" i="128"/>
  <c r="X71" i="128"/>
  <c r="X70" i="128"/>
  <c r="X68" i="128"/>
  <c r="X67" i="128"/>
  <c r="X66" i="128"/>
  <c r="X65" i="128"/>
  <c r="X64" i="128"/>
  <c r="X62" i="128"/>
  <c r="X61" i="128"/>
  <c r="X60" i="128"/>
  <c r="X59" i="128"/>
  <c r="X58" i="128"/>
  <c r="X57" i="128"/>
  <c r="X56" i="128"/>
  <c r="X55" i="128"/>
  <c r="X54" i="128"/>
  <c r="X53" i="128"/>
  <c r="X52" i="128"/>
  <c r="X51" i="128"/>
  <c r="X50" i="128"/>
  <c r="X49" i="128"/>
  <c r="X48" i="128"/>
  <c r="X47" i="128"/>
  <c r="X46" i="128"/>
  <c r="X45" i="128"/>
  <c r="X44" i="128"/>
  <c r="X43" i="128"/>
  <c r="X41" i="128"/>
  <c r="X40" i="128"/>
  <c r="X39" i="128"/>
  <c r="X38" i="128"/>
  <c r="X37" i="128"/>
  <c r="X36" i="128"/>
  <c r="X35" i="128"/>
  <c r="X34" i="128"/>
  <c r="X33" i="128"/>
  <c r="X32" i="128"/>
  <c r="X31" i="128"/>
  <c r="X30" i="128"/>
  <c r="X29" i="128"/>
  <c r="X28" i="128"/>
  <c r="X27" i="128"/>
  <c r="X26" i="128"/>
  <c r="X25" i="128"/>
  <c r="X24" i="128"/>
  <c r="X23" i="128"/>
  <c r="X22" i="128"/>
  <c r="U12" i="128"/>
  <c r="V12" i="128"/>
  <c r="W12" i="128"/>
  <c r="X12" i="128"/>
  <c r="U13" i="128"/>
  <c r="V13" i="128"/>
  <c r="Y13" i="128" s="1"/>
  <c r="W13" i="128"/>
  <c r="Z13" i="128" s="1"/>
  <c r="X13" i="128"/>
  <c r="J14" i="128"/>
  <c r="U14" i="128"/>
  <c r="V14" i="128"/>
  <c r="Y14" i="128" s="1"/>
  <c r="W14" i="128"/>
  <c r="Z14" i="128" s="1"/>
  <c r="X14" i="128"/>
  <c r="U15" i="128"/>
  <c r="V15" i="128"/>
  <c r="Y15" i="128" s="1"/>
  <c r="W15" i="128"/>
  <c r="Z15" i="128" s="1"/>
  <c r="X15" i="128"/>
  <c r="U16" i="128"/>
  <c r="V16" i="128"/>
  <c r="Y16" i="128" s="1"/>
  <c r="W16" i="128"/>
  <c r="Z16" i="128" s="1"/>
  <c r="X16" i="128"/>
  <c r="U17" i="128"/>
  <c r="V17" i="128"/>
  <c r="Y17" i="128" s="1"/>
  <c r="W17" i="128"/>
  <c r="Z17" i="128" s="1"/>
  <c r="X17" i="128"/>
  <c r="U18" i="128"/>
  <c r="V18" i="128"/>
  <c r="Y18" i="128" s="1"/>
  <c r="W18" i="128"/>
  <c r="Z18" i="128" s="1"/>
  <c r="X18" i="128"/>
  <c r="U19" i="128"/>
  <c r="V19" i="128"/>
  <c r="Y19" i="128" s="1"/>
  <c r="W19" i="128"/>
  <c r="Z19" i="128" s="1"/>
  <c r="X19" i="128"/>
  <c r="U20" i="128"/>
  <c r="V20" i="128"/>
  <c r="Y20" i="128" s="1"/>
  <c r="W20" i="128"/>
  <c r="Z20" i="128" s="1"/>
  <c r="X20" i="128"/>
  <c r="U21" i="128"/>
  <c r="V21" i="128"/>
  <c r="Y21" i="128" s="1"/>
  <c r="W21" i="128"/>
  <c r="Z21" i="128" s="1"/>
  <c r="X21" i="128"/>
  <c r="J46" i="128"/>
  <c r="D46" i="128"/>
  <c r="J57" i="128"/>
  <c r="D57" i="128"/>
  <c r="F57" i="128" s="1"/>
  <c r="J52" i="128"/>
  <c r="F52" i="128"/>
  <c r="D52" i="128"/>
  <c r="J22" i="128"/>
  <c r="J30" i="128"/>
  <c r="J38" i="128"/>
  <c r="D47" i="128"/>
  <c r="F47" i="128" s="1"/>
  <c r="D48" i="128"/>
  <c r="F48" i="128" s="1"/>
  <c r="D49" i="128"/>
  <c r="F49" i="128" s="1"/>
  <c r="D53" i="128"/>
  <c r="F53" i="128"/>
  <c r="D54" i="128"/>
  <c r="F54" i="128"/>
  <c r="D55" i="128"/>
  <c r="F55" i="128"/>
  <c r="D56" i="128"/>
  <c r="F56" i="128"/>
  <c r="G56" i="128" s="1"/>
  <c r="D58" i="128"/>
  <c r="F58" i="128" s="1"/>
  <c r="F60" i="128"/>
  <c r="G60" i="128" s="1"/>
  <c r="L60" i="128" s="1"/>
  <c r="T78" i="128"/>
  <c r="T98" i="128" s="1"/>
  <c r="G86" i="128" s="1"/>
  <c r="H81" i="128" s="1"/>
  <c r="Y78" i="128"/>
  <c r="Y98" i="128" s="1"/>
  <c r="B65" i="127"/>
  <c r="B71" i="127" s="1"/>
  <c r="J20" i="127"/>
  <c r="AA97" i="127"/>
  <c r="AA96" i="127"/>
  <c r="AA95" i="127"/>
  <c r="AA94" i="127"/>
  <c r="AA93" i="127"/>
  <c r="AA92" i="127"/>
  <c r="AA91" i="127"/>
  <c r="AA90" i="127"/>
  <c r="AA89" i="127"/>
  <c r="AA88" i="127"/>
  <c r="AA87" i="127"/>
  <c r="AA86" i="127"/>
  <c r="AA85" i="127"/>
  <c r="AA84" i="127"/>
  <c r="AA83" i="127"/>
  <c r="AA82" i="127"/>
  <c r="AA81" i="127"/>
  <c r="AA80" i="127"/>
  <c r="AA79" i="127"/>
  <c r="AA78" i="127"/>
  <c r="U74" i="127"/>
  <c r="U73" i="127"/>
  <c r="U72" i="127"/>
  <c r="U71" i="127"/>
  <c r="U70" i="127"/>
  <c r="U68" i="127"/>
  <c r="U67" i="127"/>
  <c r="U66" i="127"/>
  <c r="U65" i="127"/>
  <c r="U64" i="127"/>
  <c r="U62" i="127"/>
  <c r="U61" i="127"/>
  <c r="U60" i="127"/>
  <c r="U59" i="127"/>
  <c r="U58" i="127"/>
  <c r="U57" i="127"/>
  <c r="U56" i="127"/>
  <c r="U55" i="127"/>
  <c r="U54" i="127"/>
  <c r="U53" i="127"/>
  <c r="U52" i="127"/>
  <c r="U51" i="127"/>
  <c r="U50" i="127"/>
  <c r="U49" i="127"/>
  <c r="U48" i="127"/>
  <c r="U47" i="127"/>
  <c r="U46" i="127"/>
  <c r="U45" i="127"/>
  <c r="U44" i="127"/>
  <c r="U43" i="127"/>
  <c r="U41" i="127"/>
  <c r="U40" i="127"/>
  <c r="U39" i="127"/>
  <c r="U38" i="127"/>
  <c r="U37" i="127"/>
  <c r="U36" i="127"/>
  <c r="U35" i="127"/>
  <c r="U34" i="127"/>
  <c r="U33" i="127"/>
  <c r="U32" i="127"/>
  <c r="U31" i="127"/>
  <c r="U30" i="127"/>
  <c r="U29" i="127"/>
  <c r="U28" i="127"/>
  <c r="U27" i="127"/>
  <c r="U26" i="127"/>
  <c r="U25" i="127"/>
  <c r="U24" i="127"/>
  <c r="U23" i="127"/>
  <c r="U22" i="127"/>
  <c r="W74" i="127"/>
  <c r="Z74" i="127" s="1"/>
  <c r="V74" i="127"/>
  <c r="Y74" i="127" s="1"/>
  <c r="W73" i="127"/>
  <c r="Z73" i="127" s="1"/>
  <c r="V73" i="127"/>
  <c r="Y73" i="127" s="1"/>
  <c r="W72" i="127"/>
  <c r="Z72" i="127" s="1"/>
  <c r="V72" i="127"/>
  <c r="Y72" i="127" s="1"/>
  <c r="W71" i="127"/>
  <c r="Z71" i="127" s="1"/>
  <c r="V71" i="127"/>
  <c r="Y71" i="127" s="1"/>
  <c r="W70" i="127"/>
  <c r="V70" i="127"/>
  <c r="W68" i="127"/>
  <c r="Z68" i="127" s="1"/>
  <c r="V68" i="127"/>
  <c r="Y68" i="127" s="1"/>
  <c r="W67" i="127"/>
  <c r="Z67" i="127" s="1"/>
  <c r="V67" i="127"/>
  <c r="Y67" i="127" s="1"/>
  <c r="W66" i="127"/>
  <c r="Z66" i="127" s="1"/>
  <c r="V66" i="127"/>
  <c r="Y66" i="127" s="1"/>
  <c r="W65" i="127"/>
  <c r="Z65" i="127" s="1"/>
  <c r="V65" i="127"/>
  <c r="Y65" i="127" s="1"/>
  <c r="W64" i="127"/>
  <c r="V64" i="127"/>
  <c r="W62" i="127"/>
  <c r="Z62" i="127" s="1"/>
  <c r="V62" i="127"/>
  <c r="Y62" i="127" s="1"/>
  <c r="W61" i="127"/>
  <c r="Z61" i="127" s="1"/>
  <c r="V61" i="127"/>
  <c r="Y61" i="127" s="1"/>
  <c r="W60" i="127"/>
  <c r="Z60" i="127" s="1"/>
  <c r="V60" i="127"/>
  <c r="Y60" i="127" s="1"/>
  <c r="W59" i="127"/>
  <c r="Z59" i="127" s="1"/>
  <c r="V59" i="127"/>
  <c r="Y59" i="127" s="1"/>
  <c r="W58" i="127"/>
  <c r="Z58" i="127" s="1"/>
  <c r="V58" i="127"/>
  <c r="Y58" i="127" s="1"/>
  <c r="W57" i="127"/>
  <c r="Z57" i="127" s="1"/>
  <c r="V57" i="127"/>
  <c r="Y57" i="127" s="1"/>
  <c r="W56" i="127"/>
  <c r="Z56" i="127" s="1"/>
  <c r="V56" i="127"/>
  <c r="Y56" i="127" s="1"/>
  <c r="W55" i="127"/>
  <c r="Z55" i="127" s="1"/>
  <c r="V55" i="127"/>
  <c r="Y55" i="127" s="1"/>
  <c r="W54" i="127"/>
  <c r="Z54" i="127" s="1"/>
  <c r="V54" i="127"/>
  <c r="Y54" i="127" s="1"/>
  <c r="W53" i="127"/>
  <c r="Z53" i="127" s="1"/>
  <c r="V53" i="127"/>
  <c r="Y53" i="127" s="1"/>
  <c r="W52" i="127"/>
  <c r="Z52" i="127" s="1"/>
  <c r="V52" i="127"/>
  <c r="Y52" i="127" s="1"/>
  <c r="W51" i="127"/>
  <c r="Z51" i="127" s="1"/>
  <c r="V51" i="127"/>
  <c r="Y51" i="127" s="1"/>
  <c r="W50" i="127"/>
  <c r="Z50" i="127" s="1"/>
  <c r="V50" i="127"/>
  <c r="Y50" i="127" s="1"/>
  <c r="W49" i="127"/>
  <c r="Z49" i="127" s="1"/>
  <c r="V49" i="127"/>
  <c r="Y49" i="127" s="1"/>
  <c r="W48" i="127"/>
  <c r="Z48" i="127" s="1"/>
  <c r="V48" i="127"/>
  <c r="Y48" i="127" s="1"/>
  <c r="W47" i="127"/>
  <c r="Z47" i="127" s="1"/>
  <c r="V47" i="127"/>
  <c r="Y47" i="127" s="1"/>
  <c r="W46" i="127"/>
  <c r="Z46" i="127" s="1"/>
  <c r="V46" i="127"/>
  <c r="Y46" i="127" s="1"/>
  <c r="W45" i="127"/>
  <c r="Z45" i="127" s="1"/>
  <c r="V45" i="127"/>
  <c r="Y45" i="127" s="1"/>
  <c r="W44" i="127"/>
  <c r="Z44" i="127" s="1"/>
  <c r="V44" i="127"/>
  <c r="Y44" i="127" s="1"/>
  <c r="W43" i="127"/>
  <c r="V43" i="127"/>
  <c r="W41" i="127"/>
  <c r="Z41" i="127" s="1"/>
  <c r="V41" i="127"/>
  <c r="Y41" i="127" s="1"/>
  <c r="W40" i="127"/>
  <c r="Z40" i="127" s="1"/>
  <c r="V40" i="127"/>
  <c r="Y40" i="127" s="1"/>
  <c r="W39" i="127"/>
  <c r="Z39" i="127" s="1"/>
  <c r="V39" i="127"/>
  <c r="Y39" i="127" s="1"/>
  <c r="W38" i="127"/>
  <c r="Z38" i="127" s="1"/>
  <c r="V38" i="127"/>
  <c r="Y38" i="127" s="1"/>
  <c r="W37" i="127"/>
  <c r="Z37" i="127" s="1"/>
  <c r="V37" i="127"/>
  <c r="Y37" i="127" s="1"/>
  <c r="W36" i="127"/>
  <c r="Z36" i="127" s="1"/>
  <c r="V36" i="127"/>
  <c r="Y36" i="127" s="1"/>
  <c r="W35" i="127"/>
  <c r="Z35" i="127" s="1"/>
  <c r="V35" i="127"/>
  <c r="Y35" i="127" s="1"/>
  <c r="W34" i="127"/>
  <c r="Z34" i="127" s="1"/>
  <c r="V34" i="127"/>
  <c r="Y34" i="127" s="1"/>
  <c r="W33" i="127"/>
  <c r="Z33" i="127" s="1"/>
  <c r="V33" i="127"/>
  <c r="Y33" i="127" s="1"/>
  <c r="W32" i="127"/>
  <c r="Z32" i="127" s="1"/>
  <c r="V32" i="127"/>
  <c r="Y32" i="127" s="1"/>
  <c r="W31" i="127"/>
  <c r="Z31" i="127" s="1"/>
  <c r="V31" i="127"/>
  <c r="Y31" i="127" s="1"/>
  <c r="W30" i="127"/>
  <c r="Z30" i="127" s="1"/>
  <c r="V30" i="127"/>
  <c r="Y30" i="127" s="1"/>
  <c r="W29" i="127"/>
  <c r="Z29" i="127" s="1"/>
  <c r="V29" i="127"/>
  <c r="Y29" i="127" s="1"/>
  <c r="W28" i="127"/>
  <c r="Z28" i="127" s="1"/>
  <c r="V28" i="127"/>
  <c r="Y28" i="127" s="1"/>
  <c r="W27" i="127"/>
  <c r="Z27" i="127" s="1"/>
  <c r="V27" i="127"/>
  <c r="Y27" i="127" s="1"/>
  <c r="W26" i="127"/>
  <c r="Z26" i="127" s="1"/>
  <c r="V26" i="127"/>
  <c r="Y26" i="127" s="1"/>
  <c r="W25" i="127"/>
  <c r="Z25" i="127" s="1"/>
  <c r="V25" i="127"/>
  <c r="Y25" i="127" s="1"/>
  <c r="W24" i="127"/>
  <c r="Z24" i="127" s="1"/>
  <c r="V24" i="127"/>
  <c r="Y24" i="127" s="1"/>
  <c r="W23" i="127"/>
  <c r="Z23" i="127" s="1"/>
  <c r="V23" i="127"/>
  <c r="Y23" i="127" s="1"/>
  <c r="W22" i="127"/>
  <c r="Z22" i="127" s="1"/>
  <c r="V22" i="127"/>
  <c r="Y22" i="127" s="1"/>
  <c r="AB97" i="127"/>
  <c r="AB96" i="127"/>
  <c r="AB95" i="127"/>
  <c r="AB94" i="127"/>
  <c r="AB93" i="127"/>
  <c r="AB92" i="127"/>
  <c r="AB91" i="127"/>
  <c r="AB90" i="127"/>
  <c r="AB89" i="127"/>
  <c r="AB88" i="127"/>
  <c r="AB87" i="127"/>
  <c r="AB86" i="127"/>
  <c r="AB85" i="127"/>
  <c r="AB84" i="127"/>
  <c r="AB83" i="127"/>
  <c r="AB82" i="127"/>
  <c r="AB81" i="127"/>
  <c r="AB80" i="127"/>
  <c r="AB79" i="127"/>
  <c r="AB78" i="127"/>
  <c r="X74" i="127"/>
  <c r="X73" i="127"/>
  <c r="X72" i="127"/>
  <c r="X71" i="127"/>
  <c r="X70" i="127"/>
  <c r="X68" i="127"/>
  <c r="X67" i="127"/>
  <c r="X66" i="127"/>
  <c r="X65" i="127"/>
  <c r="X64" i="127"/>
  <c r="X62" i="127"/>
  <c r="X61" i="127"/>
  <c r="X60" i="127"/>
  <c r="X59" i="127"/>
  <c r="X58" i="127"/>
  <c r="X57" i="127"/>
  <c r="X56" i="127"/>
  <c r="X55" i="127"/>
  <c r="X54" i="127"/>
  <c r="X53" i="127"/>
  <c r="X52" i="127"/>
  <c r="X51" i="127"/>
  <c r="X50" i="127"/>
  <c r="X49" i="127"/>
  <c r="X48" i="127"/>
  <c r="X47" i="127"/>
  <c r="X46" i="127"/>
  <c r="X45" i="127"/>
  <c r="X44" i="127"/>
  <c r="X43" i="127"/>
  <c r="X41" i="127"/>
  <c r="X40" i="127"/>
  <c r="X39" i="127"/>
  <c r="X38" i="127"/>
  <c r="X37" i="127"/>
  <c r="X36" i="127"/>
  <c r="X35" i="127"/>
  <c r="X34" i="127"/>
  <c r="X33" i="127"/>
  <c r="X32" i="127"/>
  <c r="X31" i="127"/>
  <c r="X30" i="127"/>
  <c r="X29" i="127"/>
  <c r="X28" i="127"/>
  <c r="X27" i="127"/>
  <c r="X26" i="127"/>
  <c r="X25" i="127"/>
  <c r="X24" i="127"/>
  <c r="X23" i="127"/>
  <c r="X22" i="127"/>
  <c r="U12" i="127"/>
  <c r="V12" i="127"/>
  <c r="W12" i="127"/>
  <c r="X12" i="127"/>
  <c r="U13" i="127"/>
  <c r="V13" i="127"/>
  <c r="Y13" i="127" s="1"/>
  <c r="W13" i="127"/>
  <c r="Z13" i="127" s="1"/>
  <c r="X13" i="127"/>
  <c r="J14" i="127"/>
  <c r="U14" i="127"/>
  <c r="V14" i="127"/>
  <c r="Y14" i="127" s="1"/>
  <c r="W14" i="127"/>
  <c r="Z14" i="127" s="1"/>
  <c r="X14" i="127"/>
  <c r="U15" i="127"/>
  <c r="V15" i="127"/>
  <c r="Y15" i="127" s="1"/>
  <c r="W15" i="127"/>
  <c r="Z15" i="127" s="1"/>
  <c r="X15" i="127"/>
  <c r="U16" i="127"/>
  <c r="V16" i="127"/>
  <c r="Y16" i="127" s="1"/>
  <c r="W16" i="127"/>
  <c r="Z16" i="127" s="1"/>
  <c r="X16" i="127"/>
  <c r="U17" i="127"/>
  <c r="V17" i="127"/>
  <c r="Y17" i="127" s="1"/>
  <c r="W17" i="127"/>
  <c r="Z17" i="127" s="1"/>
  <c r="X17" i="127"/>
  <c r="U18" i="127"/>
  <c r="V18" i="127"/>
  <c r="Y18" i="127" s="1"/>
  <c r="W18" i="127"/>
  <c r="Z18" i="127" s="1"/>
  <c r="X18" i="127"/>
  <c r="U19" i="127"/>
  <c r="V19" i="127"/>
  <c r="Y19" i="127" s="1"/>
  <c r="W19" i="127"/>
  <c r="Z19" i="127" s="1"/>
  <c r="X19" i="127"/>
  <c r="U20" i="127"/>
  <c r="V20" i="127"/>
  <c r="Y20" i="127" s="1"/>
  <c r="W20" i="127"/>
  <c r="Z20" i="127" s="1"/>
  <c r="X20" i="127"/>
  <c r="U21" i="127"/>
  <c r="V21" i="127"/>
  <c r="Y21" i="127" s="1"/>
  <c r="W21" i="127"/>
  <c r="Z21" i="127" s="1"/>
  <c r="X21" i="127"/>
  <c r="J46" i="127"/>
  <c r="D46" i="127"/>
  <c r="J57" i="127"/>
  <c r="D57" i="127"/>
  <c r="F57" i="127" s="1"/>
  <c r="J52" i="127"/>
  <c r="F52" i="127"/>
  <c r="D52" i="127"/>
  <c r="J22" i="127"/>
  <c r="J30" i="127"/>
  <c r="J38" i="127"/>
  <c r="D47" i="127"/>
  <c r="F47" i="127" s="1"/>
  <c r="D48" i="127"/>
  <c r="F48" i="127" s="1"/>
  <c r="D49" i="127"/>
  <c r="F49" i="127" s="1"/>
  <c r="D50" i="127"/>
  <c r="F50" i="127" s="1"/>
  <c r="D51" i="127"/>
  <c r="F51" i="127" s="1"/>
  <c r="D53" i="127"/>
  <c r="F53" i="127"/>
  <c r="D54" i="127"/>
  <c r="F54" i="127"/>
  <c r="D55" i="127"/>
  <c r="F55" i="127"/>
  <c r="D56" i="127"/>
  <c r="F56" i="127"/>
  <c r="D58" i="127"/>
  <c r="F58" i="127" s="1"/>
  <c r="F60" i="127"/>
  <c r="G60" i="127" s="1"/>
  <c r="L60" i="127" s="1"/>
  <c r="T78" i="127"/>
  <c r="T98" i="127" s="1"/>
  <c r="G86" i="127" s="1"/>
  <c r="H81" i="127" s="1"/>
  <c r="Y78" i="127"/>
  <c r="Y98" i="127" s="1"/>
  <c r="J20" i="126"/>
  <c r="AA97" i="126"/>
  <c r="AA96" i="126"/>
  <c r="AA95" i="126"/>
  <c r="AA94" i="126"/>
  <c r="AA93" i="126"/>
  <c r="AA92" i="126"/>
  <c r="AA91" i="126"/>
  <c r="AA90" i="126"/>
  <c r="AA89" i="126"/>
  <c r="AA88" i="126"/>
  <c r="AA87" i="126"/>
  <c r="AA86" i="126"/>
  <c r="AA85" i="126"/>
  <c r="AA84" i="126"/>
  <c r="AA83" i="126"/>
  <c r="AA82" i="126"/>
  <c r="AA81" i="126"/>
  <c r="AA80" i="126"/>
  <c r="AA79" i="126"/>
  <c r="AA78" i="126"/>
  <c r="U74" i="126"/>
  <c r="U73" i="126"/>
  <c r="U72" i="126"/>
  <c r="U71" i="126"/>
  <c r="U70" i="126"/>
  <c r="U68" i="126"/>
  <c r="U67" i="126"/>
  <c r="U66" i="126"/>
  <c r="U65" i="126"/>
  <c r="U64" i="126"/>
  <c r="U62" i="126"/>
  <c r="U61" i="126"/>
  <c r="U60" i="126"/>
  <c r="U59" i="126"/>
  <c r="U58" i="126"/>
  <c r="U57" i="126"/>
  <c r="U56" i="126"/>
  <c r="U55" i="126"/>
  <c r="U54" i="126"/>
  <c r="U53" i="126"/>
  <c r="U52" i="126"/>
  <c r="U51" i="126"/>
  <c r="U50" i="126"/>
  <c r="U49" i="126"/>
  <c r="U48" i="126"/>
  <c r="U47" i="126"/>
  <c r="U46" i="126"/>
  <c r="U45" i="126"/>
  <c r="U44" i="126"/>
  <c r="U43" i="126"/>
  <c r="U41" i="126"/>
  <c r="U40" i="126"/>
  <c r="U39" i="126"/>
  <c r="U38" i="126"/>
  <c r="U37" i="126"/>
  <c r="U36" i="126"/>
  <c r="U35" i="126"/>
  <c r="U34" i="126"/>
  <c r="U33" i="126"/>
  <c r="U32" i="126"/>
  <c r="U31" i="126"/>
  <c r="U30" i="126"/>
  <c r="U29" i="126"/>
  <c r="U28" i="126"/>
  <c r="U27" i="126"/>
  <c r="U26" i="126"/>
  <c r="U25" i="126"/>
  <c r="U24" i="126"/>
  <c r="U23" i="126"/>
  <c r="U22" i="126"/>
  <c r="W74" i="126"/>
  <c r="Z74" i="126" s="1"/>
  <c r="V74" i="126"/>
  <c r="Y74" i="126" s="1"/>
  <c r="W73" i="126"/>
  <c r="Z73" i="126" s="1"/>
  <c r="V73" i="126"/>
  <c r="Y73" i="126" s="1"/>
  <c r="W72" i="126"/>
  <c r="Z72" i="126" s="1"/>
  <c r="V72" i="126"/>
  <c r="Y72" i="126" s="1"/>
  <c r="W71" i="126"/>
  <c r="Z71" i="126" s="1"/>
  <c r="V71" i="126"/>
  <c r="Y71" i="126" s="1"/>
  <c r="W70" i="126"/>
  <c r="V70" i="126"/>
  <c r="W68" i="126"/>
  <c r="Z68" i="126" s="1"/>
  <c r="V68" i="126"/>
  <c r="Y68" i="126" s="1"/>
  <c r="W67" i="126"/>
  <c r="Z67" i="126" s="1"/>
  <c r="V67" i="126"/>
  <c r="Y67" i="126" s="1"/>
  <c r="W66" i="126"/>
  <c r="Z66" i="126" s="1"/>
  <c r="V66" i="126"/>
  <c r="Y66" i="126" s="1"/>
  <c r="W65" i="126"/>
  <c r="Z65" i="126" s="1"/>
  <c r="V65" i="126"/>
  <c r="Y65" i="126" s="1"/>
  <c r="W64" i="126"/>
  <c r="V64" i="126"/>
  <c r="W62" i="126"/>
  <c r="Z62" i="126" s="1"/>
  <c r="V62" i="126"/>
  <c r="Y62" i="126" s="1"/>
  <c r="W61" i="126"/>
  <c r="Z61" i="126" s="1"/>
  <c r="V61" i="126"/>
  <c r="Y61" i="126" s="1"/>
  <c r="W60" i="126"/>
  <c r="Z60" i="126" s="1"/>
  <c r="V60" i="126"/>
  <c r="Y60" i="126" s="1"/>
  <c r="W59" i="126"/>
  <c r="Z59" i="126" s="1"/>
  <c r="V59" i="126"/>
  <c r="Y59" i="126" s="1"/>
  <c r="W58" i="126"/>
  <c r="Z58" i="126" s="1"/>
  <c r="V58" i="126"/>
  <c r="Y58" i="126" s="1"/>
  <c r="W57" i="126"/>
  <c r="Z57" i="126" s="1"/>
  <c r="V57" i="126"/>
  <c r="Y57" i="126" s="1"/>
  <c r="W56" i="126"/>
  <c r="Z56" i="126" s="1"/>
  <c r="V56" i="126"/>
  <c r="Y56" i="126" s="1"/>
  <c r="W55" i="126"/>
  <c r="Z55" i="126" s="1"/>
  <c r="V55" i="126"/>
  <c r="Y55" i="126" s="1"/>
  <c r="W54" i="126"/>
  <c r="Z54" i="126" s="1"/>
  <c r="V54" i="126"/>
  <c r="Y54" i="126" s="1"/>
  <c r="W53" i="126"/>
  <c r="Z53" i="126" s="1"/>
  <c r="V53" i="126"/>
  <c r="Y53" i="126" s="1"/>
  <c r="W52" i="126"/>
  <c r="Z52" i="126" s="1"/>
  <c r="V52" i="126"/>
  <c r="Y52" i="126" s="1"/>
  <c r="W51" i="126"/>
  <c r="Z51" i="126" s="1"/>
  <c r="V51" i="126"/>
  <c r="Y51" i="126" s="1"/>
  <c r="W50" i="126"/>
  <c r="Z50" i="126" s="1"/>
  <c r="V50" i="126"/>
  <c r="Y50" i="126" s="1"/>
  <c r="W49" i="126"/>
  <c r="Z49" i="126" s="1"/>
  <c r="V49" i="126"/>
  <c r="Y49" i="126" s="1"/>
  <c r="W48" i="126"/>
  <c r="Z48" i="126" s="1"/>
  <c r="V48" i="126"/>
  <c r="Y48" i="126" s="1"/>
  <c r="W47" i="126"/>
  <c r="Z47" i="126" s="1"/>
  <c r="V47" i="126"/>
  <c r="Y47" i="126" s="1"/>
  <c r="W46" i="126"/>
  <c r="Z46" i="126" s="1"/>
  <c r="V46" i="126"/>
  <c r="Y46" i="126" s="1"/>
  <c r="W45" i="126"/>
  <c r="Z45" i="126" s="1"/>
  <c r="V45" i="126"/>
  <c r="Y45" i="126" s="1"/>
  <c r="W44" i="126"/>
  <c r="Z44" i="126" s="1"/>
  <c r="V44" i="126"/>
  <c r="Y44" i="126" s="1"/>
  <c r="W43" i="126"/>
  <c r="V43" i="126"/>
  <c r="W41" i="126"/>
  <c r="Z41" i="126" s="1"/>
  <c r="V41" i="126"/>
  <c r="Y41" i="126" s="1"/>
  <c r="W40" i="126"/>
  <c r="Z40" i="126" s="1"/>
  <c r="V40" i="126"/>
  <c r="Y40" i="126" s="1"/>
  <c r="W39" i="126"/>
  <c r="Z39" i="126" s="1"/>
  <c r="V39" i="126"/>
  <c r="Y39" i="126" s="1"/>
  <c r="W38" i="126"/>
  <c r="Z38" i="126" s="1"/>
  <c r="V38" i="126"/>
  <c r="Y38" i="126" s="1"/>
  <c r="W37" i="126"/>
  <c r="Z37" i="126" s="1"/>
  <c r="V37" i="126"/>
  <c r="Y37" i="126" s="1"/>
  <c r="W36" i="126"/>
  <c r="Z36" i="126" s="1"/>
  <c r="V36" i="126"/>
  <c r="Y36" i="126" s="1"/>
  <c r="W35" i="126"/>
  <c r="Z35" i="126" s="1"/>
  <c r="V35" i="126"/>
  <c r="Y35" i="126" s="1"/>
  <c r="W34" i="126"/>
  <c r="Z34" i="126" s="1"/>
  <c r="V34" i="126"/>
  <c r="Y34" i="126" s="1"/>
  <c r="W33" i="126"/>
  <c r="Z33" i="126" s="1"/>
  <c r="V33" i="126"/>
  <c r="Y33" i="126" s="1"/>
  <c r="W32" i="126"/>
  <c r="Z32" i="126" s="1"/>
  <c r="V32" i="126"/>
  <c r="Y32" i="126" s="1"/>
  <c r="W31" i="126"/>
  <c r="Z31" i="126" s="1"/>
  <c r="V31" i="126"/>
  <c r="Y31" i="126" s="1"/>
  <c r="W30" i="126"/>
  <c r="Z30" i="126" s="1"/>
  <c r="V30" i="126"/>
  <c r="Y30" i="126" s="1"/>
  <c r="W29" i="126"/>
  <c r="Z29" i="126" s="1"/>
  <c r="V29" i="126"/>
  <c r="Y29" i="126" s="1"/>
  <c r="W28" i="126"/>
  <c r="Z28" i="126" s="1"/>
  <c r="V28" i="126"/>
  <c r="Y28" i="126" s="1"/>
  <c r="W27" i="126"/>
  <c r="Z27" i="126" s="1"/>
  <c r="V27" i="126"/>
  <c r="Y27" i="126" s="1"/>
  <c r="W26" i="126"/>
  <c r="Z26" i="126" s="1"/>
  <c r="V26" i="126"/>
  <c r="Y26" i="126" s="1"/>
  <c r="W25" i="126"/>
  <c r="Z25" i="126" s="1"/>
  <c r="V25" i="126"/>
  <c r="Y25" i="126" s="1"/>
  <c r="W24" i="126"/>
  <c r="Z24" i="126" s="1"/>
  <c r="V24" i="126"/>
  <c r="Y24" i="126" s="1"/>
  <c r="W23" i="126"/>
  <c r="Z23" i="126" s="1"/>
  <c r="V23" i="126"/>
  <c r="Y23" i="126" s="1"/>
  <c r="W22" i="126"/>
  <c r="Z22" i="126" s="1"/>
  <c r="V22" i="126"/>
  <c r="Y22" i="126" s="1"/>
  <c r="AB97" i="126"/>
  <c r="AB96" i="126"/>
  <c r="AB95" i="126"/>
  <c r="AB94" i="126"/>
  <c r="AB93" i="126"/>
  <c r="AB92" i="126"/>
  <c r="AB91" i="126"/>
  <c r="AB90" i="126"/>
  <c r="AB89" i="126"/>
  <c r="AB88" i="126"/>
  <c r="AB87" i="126"/>
  <c r="AB86" i="126"/>
  <c r="AB85" i="126"/>
  <c r="AB84" i="126"/>
  <c r="AB83" i="126"/>
  <c r="AB82" i="126"/>
  <c r="AB81" i="126"/>
  <c r="AB80" i="126"/>
  <c r="AB79" i="126"/>
  <c r="AB78" i="126"/>
  <c r="X74" i="126"/>
  <c r="X73" i="126"/>
  <c r="X72" i="126"/>
  <c r="X71" i="126"/>
  <c r="X70" i="126"/>
  <c r="X68" i="126"/>
  <c r="X67" i="126"/>
  <c r="X66" i="126"/>
  <c r="X65" i="126"/>
  <c r="X64" i="126"/>
  <c r="X62" i="126"/>
  <c r="X61" i="126"/>
  <c r="X60" i="126"/>
  <c r="X59" i="126"/>
  <c r="X58" i="126"/>
  <c r="X57" i="126"/>
  <c r="X56" i="126"/>
  <c r="X55" i="126"/>
  <c r="X54" i="126"/>
  <c r="X53" i="126"/>
  <c r="X52" i="126"/>
  <c r="X51" i="126"/>
  <c r="X50" i="126"/>
  <c r="X49" i="126"/>
  <c r="X48" i="126"/>
  <c r="X47" i="126"/>
  <c r="X46" i="126"/>
  <c r="X45" i="126"/>
  <c r="X44" i="126"/>
  <c r="X43" i="126"/>
  <c r="X41" i="126"/>
  <c r="X40" i="126"/>
  <c r="X39" i="126"/>
  <c r="X38" i="126"/>
  <c r="X37" i="126"/>
  <c r="X36" i="126"/>
  <c r="X35" i="126"/>
  <c r="X34" i="126"/>
  <c r="X33" i="126"/>
  <c r="X32" i="126"/>
  <c r="X31" i="126"/>
  <c r="X30" i="126"/>
  <c r="X29" i="126"/>
  <c r="X28" i="126"/>
  <c r="X27" i="126"/>
  <c r="X26" i="126"/>
  <c r="X25" i="126"/>
  <c r="X24" i="126"/>
  <c r="X23" i="126"/>
  <c r="X22" i="126"/>
  <c r="U12" i="126"/>
  <c r="V12" i="126"/>
  <c r="W12" i="126"/>
  <c r="X12" i="126"/>
  <c r="U13" i="126"/>
  <c r="V13" i="126"/>
  <c r="Y13" i="126" s="1"/>
  <c r="W13" i="126"/>
  <c r="Z13" i="126" s="1"/>
  <c r="X13" i="126"/>
  <c r="J14" i="126"/>
  <c r="U14" i="126"/>
  <c r="V14" i="126"/>
  <c r="Y14" i="126" s="1"/>
  <c r="W14" i="126"/>
  <c r="Z14" i="126" s="1"/>
  <c r="X14" i="126"/>
  <c r="U15" i="126"/>
  <c r="V15" i="126"/>
  <c r="Y15" i="126" s="1"/>
  <c r="W15" i="126"/>
  <c r="Z15" i="126" s="1"/>
  <c r="X15" i="126"/>
  <c r="U16" i="126"/>
  <c r="V16" i="126"/>
  <c r="Y16" i="126" s="1"/>
  <c r="W16" i="126"/>
  <c r="Z16" i="126" s="1"/>
  <c r="X16" i="126"/>
  <c r="U17" i="126"/>
  <c r="V17" i="126"/>
  <c r="Y17" i="126" s="1"/>
  <c r="W17" i="126"/>
  <c r="Z17" i="126" s="1"/>
  <c r="X17" i="126"/>
  <c r="U18" i="126"/>
  <c r="V18" i="126"/>
  <c r="Y18" i="126" s="1"/>
  <c r="W18" i="126"/>
  <c r="Z18" i="126" s="1"/>
  <c r="X18" i="126"/>
  <c r="U19" i="126"/>
  <c r="V19" i="126"/>
  <c r="Y19" i="126" s="1"/>
  <c r="W19" i="126"/>
  <c r="Z19" i="126" s="1"/>
  <c r="X19" i="126"/>
  <c r="U20" i="126"/>
  <c r="V20" i="126"/>
  <c r="Y20" i="126" s="1"/>
  <c r="W20" i="126"/>
  <c r="Z20" i="126" s="1"/>
  <c r="X20" i="126"/>
  <c r="U21" i="126"/>
  <c r="V21" i="126"/>
  <c r="Y21" i="126" s="1"/>
  <c r="W21" i="126"/>
  <c r="Z21" i="126" s="1"/>
  <c r="X21" i="126"/>
  <c r="J46" i="126"/>
  <c r="D46" i="126"/>
  <c r="J57" i="126"/>
  <c r="D57" i="126"/>
  <c r="F57" i="126" s="1"/>
  <c r="J52" i="126"/>
  <c r="F52" i="126"/>
  <c r="D52" i="126"/>
  <c r="J22" i="126"/>
  <c r="J30" i="126"/>
  <c r="J38" i="126"/>
  <c r="D47" i="126"/>
  <c r="F47" i="126" s="1"/>
  <c r="D48" i="126"/>
  <c r="F48" i="126" s="1"/>
  <c r="D49" i="126"/>
  <c r="F49" i="126" s="1"/>
  <c r="D53" i="126"/>
  <c r="F53" i="126"/>
  <c r="D54" i="126"/>
  <c r="F54" i="126"/>
  <c r="D55" i="126"/>
  <c r="F55" i="126"/>
  <c r="D56" i="126"/>
  <c r="F56" i="126"/>
  <c r="D58" i="126"/>
  <c r="F58" i="126" s="1"/>
  <c r="F60" i="126"/>
  <c r="G60" i="126" s="1"/>
  <c r="L60" i="126" s="1"/>
  <c r="T78" i="126"/>
  <c r="T98" i="126" s="1"/>
  <c r="G86" i="126" s="1"/>
  <c r="H81" i="126" s="1"/>
  <c r="Y78" i="126"/>
  <c r="Y98" i="126" s="1"/>
  <c r="J20" i="125"/>
  <c r="AA97" i="125"/>
  <c r="AA96" i="125"/>
  <c r="AA95" i="125"/>
  <c r="AA94" i="125"/>
  <c r="AA93" i="125"/>
  <c r="AA92" i="125"/>
  <c r="AA91" i="125"/>
  <c r="AA90" i="125"/>
  <c r="AA89" i="125"/>
  <c r="AA88" i="125"/>
  <c r="AA87" i="125"/>
  <c r="AA86" i="125"/>
  <c r="AA85" i="125"/>
  <c r="AA84" i="125"/>
  <c r="AA83" i="125"/>
  <c r="AA82" i="125"/>
  <c r="AA81" i="125"/>
  <c r="AA80" i="125"/>
  <c r="AA79" i="125"/>
  <c r="AA78" i="125"/>
  <c r="U74" i="125"/>
  <c r="U73" i="125"/>
  <c r="U72" i="125"/>
  <c r="U71" i="125"/>
  <c r="U70" i="125"/>
  <c r="U68" i="125"/>
  <c r="U67" i="125"/>
  <c r="U66" i="125"/>
  <c r="U65" i="125"/>
  <c r="U64" i="125"/>
  <c r="U62" i="125"/>
  <c r="U61" i="125"/>
  <c r="U60" i="125"/>
  <c r="U59" i="125"/>
  <c r="U58" i="125"/>
  <c r="U57" i="125"/>
  <c r="U56" i="125"/>
  <c r="U55" i="125"/>
  <c r="U54" i="125"/>
  <c r="U53" i="125"/>
  <c r="U52" i="125"/>
  <c r="U51" i="125"/>
  <c r="U50" i="125"/>
  <c r="U49" i="125"/>
  <c r="U48" i="125"/>
  <c r="U47" i="125"/>
  <c r="U46" i="125"/>
  <c r="U45" i="125"/>
  <c r="U44" i="125"/>
  <c r="U43" i="125"/>
  <c r="U41" i="125"/>
  <c r="U40" i="125"/>
  <c r="U39" i="125"/>
  <c r="U38" i="125"/>
  <c r="U37" i="125"/>
  <c r="U36" i="125"/>
  <c r="U35" i="125"/>
  <c r="U34" i="125"/>
  <c r="U33" i="125"/>
  <c r="U32" i="125"/>
  <c r="U31" i="125"/>
  <c r="U30" i="125"/>
  <c r="U29" i="125"/>
  <c r="U28" i="125"/>
  <c r="U27" i="125"/>
  <c r="U26" i="125"/>
  <c r="U25" i="125"/>
  <c r="U24" i="125"/>
  <c r="U23" i="125"/>
  <c r="U22" i="125"/>
  <c r="W74" i="125"/>
  <c r="Z74" i="125" s="1"/>
  <c r="V74" i="125"/>
  <c r="Y74" i="125" s="1"/>
  <c r="W73" i="125"/>
  <c r="Z73" i="125" s="1"/>
  <c r="V73" i="125"/>
  <c r="Y73" i="125" s="1"/>
  <c r="W72" i="125"/>
  <c r="Z72" i="125" s="1"/>
  <c r="V72" i="125"/>
  <c r="Y72" i="125" s="1"/>
  <c r="W71" i="125"/>
  <c r="Z71" i="125" s="1"/>
  <c r="V71" i="125"/>
  <c r="Y71" i="125" s="1"/>
  <c r="W70" i="125"/>
  <c r="V70" i="125"/>
  <c r="W68" i="125"/>
  <c r="Z68" i="125" s="1"/>
  <c r="V68" i="125"/>
  <c r="Y68" i="125" s="1"/>
  <c r="W67" i="125"/>
  <c r="Z67" i="125" s="1"/>
  <c r="V67" i="125"/>
  <c r="Y67" i="125" s="1"/>
  <c r="W66" i="125"/>
  <c r="Z66" i="125" s="1"/>
  <c r="V66" i="125"/>
  <c r="Y66" i="125" s="1"/>
  <c r="W65" i="125"/>
  <c r="Z65" i="125" s="1"/>
  <c r="V65" i="125"/>
  <c r="Y65" i="125" s="1"/>
  <c r="W64" i="125"/>
  <c r="V64" i="125"/>
  <c r="W62" i="125"/>
  <c r="Z62" i="125" s="1"/>
  <c r="V62" i="125"/>
  <c r="Y62" i="125" s="1"/>
  <c r="W61" i="125"/>
  <c r="Z61" i="125" s="1"/>
  <c r="V61" i="125"/>
  <c r="Y61" i="125" s="1"/>
  <c r="W60" i="125"/>
  <c r="Z60" i="125" s="1"/>
  <c r="V60" i="125"/>
  <c r="Y60" i="125" s="1"/>
  <c r="W59" i="125"/>
  <c r="Z59" i="125" s="1"/>
  <c r="V59" i="125"/>
  <c r="Y59" i="125" s="1"/>
  <c r="W58" i="125"/>
  <c r="Z58" i="125" s="1"/>
  <c r="V58" i="125"/>
  <c r="Y58" i="125" s="1"/>
  <c r="W57" i="125"/>
  <c r="Z57" i="125" s="1"/>
  <c r="V57" i="125"/>
  <c r="Y57" i="125" s="1"/>
  <c r="W56" i="125"/>
  <c r="Z56" i="125" s="1"/>
  <c r="V56" i="125"/>
  <c r="Y56" i="125" s="1"/>
  <c r="W55" i="125"/>
  <c r="Z55" i="125" s="1"/>
  <c r="V55" i="125"/>
  <c r="Y55" i="125" s="1"/>
  <c r="W54" i="125"/>
  <c r="Z54" i="125" s="1"/>
  <c r="V54" i="125"/>
  <c r="Y54" i="125" s="1"/>
  <c r="W53" i="125"/>
  <c r="Z53" i="125" s="1"/>
  <c r="V53" i="125"/>
  <c r="Y53" i="125" s="1"/>
  <c r="W52" i="125"/>
  <c r="Z52" i="125" s="1"/>
  <c r="V52" i="125"/>
  <c r="Y52" i="125" s="1"/>
  <c r="W51" i="125"/>
  <c r="Z51" i="125" s="1"/>
  <c r="V51" i="125"/>
  <c r="Y51" i="125" s="1"/>
  <c r="W50" i="125"/>
  <c r="Z50" i="125" s="1"/>
  <c r="V50" i="125"/>
  <c r="Y50" i="125" s="1"/>
  <c r="W49" i="125"/>
  <c r="Z49" i="125" s="1"/>
  <c r="V49" i="125"/>
  <c r="Y49" i="125" s="1"/>
  <c r="W48" i="125"/>
  <c r="Z48" i="125" s="1"/>
  <c r="V48" i="125"/>
  <c r="Y48" i="125" s="1"/>
  <c r="W47" i="125"/>
  <c r="Z47" i="125" s="1"/>
  <c r="V47" i="125"/>
  <c r="Y47" i="125" s="1"/>
  <c r="W46" i="125"/>
  <c r="Z46" i="125" s="1"/>
  <c r="V46" i="125"/>
  <c r="Y46" i="125" s="1"/>
  <c r="W45" i="125"/>
  <c r="Z45" i="125" s="1"/>
  <c r="V45" i="125"/>
  <c r="Y45" i="125" s="1"/>
  <c r="W44" i="125"/>
  <c r="Z44" i="125" s="1"/>
  <c r="V44" i="125"/>
  <c r="Y44" i="125" s="1"/>
  <c r="W43" i="125"/>
  <c r="V43" i="125"/>
  <c r="W41" i="125"/>
  <c r="Z41" i="125" s="1"/>
  <c r="V41" i="125"/>
  <c r="Y41" i="125" s="1"/>
  <c r="W40" i="125"/>
  <c r="Z40" i="125" s="1"/>
  <c r="V40" i="125"/>
  <c r="Y40" i="125" s="1"/>
  <c r="W39" i="125"/>
  <c r="Z39" i="125" s="1"/>
  <c r="V39" i="125"/>
  <c r="Y39" i="125" s="1"/>
  <c r="W38" i="125"/>
  <c r="Z38" i="125" s="1"/>
  <c r="V38" i="125"/>
  <c r="Y38" i="125" s="1"/>
  <c r="W37" i="125"/>
  <c r="Z37" i="125" s="1"/>
  <c r="V37" i="125"/>
  <c r="Y37" i="125" s="1"/>
  <c r="W36" i="125"/>
  <c r="Z36" i="125" s="1"/>
  <c r="V36" i="125"/>
  <c r="Y36" i="125" s="1"/>
  <c r="W35" i="125"/>
  <c r="Z35" i="125" s="1"/>
  <c r="V35" i="125"/>
  <c r="Y35" i="125" s="1"/>
  <c r="W34" i="125"/>
  <c r="Z34" i="125" s="1"/>
  <c r="V34" i="125"/>
  <c r="Y34" i="125" s="1"/>
  <c r="W33" i="125"/>
  <c r="Z33" i="125" s="1"/>
  <c r="V33" i="125"/>
  <c r="Y33" i="125" s="1"/>
  <c r="W32" i="125"/>
  <c r="Z32" i="125" s="1"/>
  <c r="V32" i="125"/>
  <c r="Y32" i="125" s="1"/>
  <c r="W31" i="125"/>
  <c r="Z31" i="125" s="1"/>
  <c r="V31" i="125"/>
  <c r="Y31" i="125" s="1"/>
  <c r="W30" i="125"/>
  <c r="Z30" i="125" s="1"/>
  <c r="V30" i="125"/>
  <c r="Y30" i="125" s="1"/>
  <c r="W29" i="125"/>
  <c r="Z29" i="125" s="1"/>
  <c r="V29" i="125"/>
  <c r="Y29" i="125" s="1"/>
  <c r="W28" i="125"/>
  <c r="Z28" i="125" s="1"/>
  <c r="V28" i="125"/>
  <c r="Y28" i="125" s="1"/>
  <c r="W27" i="125"/>
  <c r="Z27" i="125" s="1"/>
  <c r="V27" i="125"/>
  <c r="Y27" i="125" s="1"/>
  <c r="W26" i="125"/>
  <c r="Z26" i="125" s="1"/>
  <c r="V26" i="125"/>
  <c r="Y26" i="125" s="1"/>
  <c r="W25" i="125"/>
  <c r="Z25" i="125" s="1"/>
  <c r="V25" i="125"/>
  <c r="Y25" i="125" s="1"/>
  <c r="W24" i="125"/>
  <c r="Z24" i="125" s="1"/>
  <c r="V24" i="125"/>
  <c r="Y24" i="125" s="1"/>
  <c r="W23" i="125"/>
  <c r="Z23" i="125" s="1"/>
  <c r="V23" i="125"/>
  <c r="Y23" i="125" s="1"/>
  <c r="W22" i="125"/>
  <c r="Z22" i="125" s="1"/>
  <c r="V22" i="125"/>
  <c r="Y22" i="125" s="1"/>
  <c r="AB97" i="125"/>
  <c r="AB96" i="125"/>
  <c r="AB95" i="125"/>
  <c r="AB94" i="125"/>
  <c r="AB93" i="125"/>
  <c r="AB92" i="125"/>
  <c r="AB91" i="125"/>
  <c r="AB90" i="125"/>
  <c r="AB89" i="125"/>
  <c r="AB88" i="125"/>
  <c r="AB87" i="125"/>
  <c r="AB86" i="125"/>
  <c r="AB85" i="125"/>
  <c r="AB84" i="125"/>
  <c r="AB83" i="125"/>
  <c r="AB82" i="125"/>
  <c r="AB81" i="125"/>
  <c r="AB80" i="125"/>
  <c r="AB79" i="125"/>
  <c r="AB78" i="125"/>
  <c r="X74" i="125"/>
  <c r="X73" i="125"/>
  <c r="X72" i="125"/>
  <c r="X71" i="125"/>
  <c r="X70" i="125"/>
  <c r="X68" i="125"/>
  <c r="X67" i="125"/>
  <c r="X66" i="125"/>
  <c r="X65" i="125"/>
  <c r="X64" i="125"/>
  <c r="X62" i="125"/>
  <c r="X61" i="125"/>
  <c r="X60" i="125"/>
  <c r="X59" i="125"/>
  <c r="X58" i="125"/>
  <c r="X57" i="125"/>
  <c r="X56" i="125"/>
  <c r="X55" i="125"/>
  <c r="X54" i="125"/>
  <c r="X53" i="125"/>
  <c r="X52" i="125"/>
  <c r="X51" i="125"/>
  <c r="X50" i="125"/>
  <c r="X49" i="125"/>
  <c r="X48" i="125"/>
  <c r="X47" i="125"/>
  <c r="X46" i="125"/>
  <c r="X45" i="125"/>
  <c r="X44" i="125"/>
  <c r="X43" i="125"/>
  <c r="X41" i="125"/>
  <c r="X40" i="125"/>
  <c r="X39" i="125"/>
  <c r="X38" i="125"/>
  <c r="X37" i="125"/>
  <c r="X36" i="125"/>
  <c r="X35" i="125"/>
  <c r="X34" i="125"/>
  <c r="X33" i="125"/>
  <c r="X32" i="125"/>
  <c r="X31" i="125"/>
  <c r="X30" i="125"/>
  <c r="X29" i="125"/>
  <c r="X28" i="125"/>
  <c r="X27" i="125"/>
  <c r="X26" i="125"/>
  <c r="X25" i="125"/>
  <c r="X24" i="125"/>
  <c r="X23" i="125"/>
  <c r="X22" i="125"/>
  <c r="U12" i="125"/>
  <c r="V12" i="125"/>
  <c r="W12" i="125"/>
  <c r="X12" i="125"/>
  <c r="U13" i="125"/>
  <c r="V13" i="125"/>
  <c r="Y13" i="125" s="1"/>
  <c r="W13" i="125"/>
  <c r="Z13" i="125" s="1"/>
  <c r="X13" i="125"/>
  <c r="J14" i="125"/>
  <c r="U14" i="125"/>
  <c r="V14" i="125"/>
  <c r="Y14" i="125" s="1"/>
  <c r="W14" i="125"/>
  <c r="Z14" i="125" s="1"/>
  <c r="X14" i="125"/>
  <c r="U15" i="125"/>
  <c r="V15" i="125"/>
  <c r="Y15" i="125" s="1"/>
  <c r="W15" i="125"/>
  <c r="Z15" i="125" s="1"/>
  <c r="X15" i="125"/>
  <c r="U16" i="125"/>
  <c r="V16" i="125"/>
  <c r="Y16" i="125" s="1"/>
  <c r="W16" i="125"/>
  <c r="Z16" i="125" s="1"/>
  <c r="X16" i="125"/>
  <c r="U17" i="125"/>
  <c r="V17" i="125"/>
  <c r="Y17" i="125" s="1"/>
  <c r="W17" i="125"/>
  <c r="Z17" i="125" s="1"/>
  <c r="X17" i="125"/>
  <c r="U18" i="125"/>
  <c r="V18" i="125"/>
  <c r="Y18" i="125" s="1"/>
  <c r="W18" i="125"/>
  <c r="Z18" i="125" s="1"/>
  <c r="X18" i="125"/>
  <c r="U19" i="125"/>
  <c r="V19" i="125"/>
  <c r="Y19" i="125" s="1"/>
  <c r="W19" i="125"/>
  <c r="Z19" i="125" s="1"/>
  <c r="X19" i="125"/>
  <c r="U20" i="125"/>
  <c r="V20" i="125"/>
  <c r="Y20" i="125" s="1"/>
  <c r="W20" i="125"/>
  <c r="Z20" i="125" s="1"/>
  <c r="X20" i="125"/>
  <c r="U21" i="125"/>
  <c r="V21" i="125"/>
  <c r="Y21" i="125" s="1"/>
  <c r="W21" i="125"/>
  <c r="Z21" i="125" s="1"/>
  <c r="X21" i="125"/>
  <c r="J46" i="125"/>
  <c r="D46" i="125"/>
  <c r="J57" i="125"/>
  <c r="D57" i="125"/>
  <c r="F57" i="125" s="1"/>
  <c r="J52" i="125"/>
  <c r="F52" i="125"/>
  <c r="D52" i="125"/>
  <c r="J22" i="125"/>
  <c r="J30" i="125"/>
  <c r="J38" i="125"/>
  <c r="D47" i="125"/>
  <c r="F47" i="125" s="1"/>
  <c r="D48" i="125"/>
  <c r="F48" i="125" s="1"/>
  <c r="D49" i="125"/>
  <c r="F49" i="125" s="1"/>
  <c r="D51" i="125"/>
  <c r="F51" i="125" s="1"/>
  <c r="D53" i="125"/>
  <c r="F53" i="125"/>
  <c r="D54" i="125"/>
  <c r="F54" i="125"/>
  <c r="D55" i="125"/>
  <c r="F55" i="125"/>
  <c r="D56" i="125"/>
  <c r="F56" i="125"/>
  <c r="D58" i="125"/>
  <c r="F58" i="125" s="1"/>
  <c r="F60" i="125"/>
  <c r="G60" i="125" s="1"/>
  <c r="L60" i="125" s="1"/>
  <c r="T78" i="125"/>
  <c r="T98" i="125" s="1"/>
  <c r="G86" i="125" s="1"/>
  <c r="H81" i="125" s="1"/>
  <c r="Y78" i="125"/>
  <c r="Y98" i="125" s="1"/>
  <c r="J20" i="124"/>
  <c r="AA97" i="124"/>
  <c r="AA96" i="124"/>
  <c r="AA95" i="124"/>
  <c r="AA94" i="124"/>
  <c r="AA93" i="124"/>
  <c r="AA92" i="124"/>
  <c r="AA91" i="124"/>
  <c r="AA90" i="124"/>
  <c r="AA89" i="124"/>
  <c r="AA88" i="124"/>
  <c r="AA87" i="124"/>
  <c r="AA86" i="124"/>
  <c r="AA85" i="124"/>
  <c r="AA84" i="124"/>
  <c r="AA83" i="124"/>
  <c r="AA82" i="124"/>
  <c r="AA81" i="124"/>
  <c r="AA80" i="124"/>
  <c r="AA79" i="124"/>
  <c r="AA78" i="124"/>
  <c r="U74" i="124"/>
  <c r="U73" i="124"/>
  <c r="U72" i="124"/>
  <c r="U71" i="124"/>
  <c r="U70" i="124"/>
  <c r="U68" i="124"/>
  <c r="U67" i="124"/>
  <c r="U66" i="124"/>
  <c r="U65" i="124"/>
  <c r="U64" i="124"/>
  <c r="U62" i="124"/>
  <c r="U61" i="124"/>
  <c r="U60" i="124"/>
  <c r="U59" i="124"/>
  <c r="U58" i="124"/>
  <c r="U57" i="124"/>
  <c r="U56" i="124"/>
  <c r="U55" i="124"/>
  <c r="U54" i="124"/>
  <c r="U53" i="124"/>
  <c r="U52" i="124"/>
  <c r="U51" i="124"/>
  <c r="U50" i="124"/>
  <c r="U49" i="124"/>
  <c r="U48" i="124"/>
  <c r="U47" i="124"/>
  <c r="U46" i="124"/>
  <c r="U45" i="124"/>
  <c r="U44" i="124"/>
  <c r="U43" i="124"/>
  <c r="U41" i="124"/>
  <c r="U40" i="124"/>
  <c r="U39" i="124"/>
  <c r="U38" i="124"/>
  <c r="U37" i="124"/>
  <c r="U36" i="124"/>
  <c r="U35" i="124"/>
  <c r="U34" i="124"/>
  <c r="U33" i="124"/>
  <c r="U32" i="124"/>
  <c r="U31" i="124"/>
  <c r="U30" i="124"/>
  <c r="U29" i="124"/>
  <c r="U28" i="124"/>
  <c r="U27" i="124"/>
  <c r="U26" i="124"/>
  <c r="U25" i="124"/>
  <c r="U24" i="124"/>
  <c r="U23" i="124"/>
  <c r="U22" i="124"/>
  <c r="W74" i="124"/>
  <c r="Z74" i="124" s="1"/>
  <c r="V74" i="124"/>
  <c r="Y74" i="124" s="1"/>
  <c r="W73" i="124"/>
  <c r="Z73" i="124" s="1"/>
  <c r="V73" i="124"/>
  <c r="Y73" i="124" s="1"/>
  <c r="W72" i="124"/>
  <c r="Z72" i="124" s="1"/>
  <c r="V72" i="124"/>
  <c r="Y72" i="124" s="1"/>
  <c r="W71" i="124"/>
  <c r="Z71" i="124" s="1"/>
  <c r="V71" i="124"/>
  <c r="Y71" i="124" s="1"/>
  <c r="W70" i="124"/>
  <c r="V70" i="124"/>
  <c r="W68" i="124"/>
  <c r="Z68" i="124" s="1"/>
  <c r="V68" i="124"/>
  <c r="Y68" i="124" s="1"/>
  <c r="W67" i="124"/>
  <c r="Z67" i="124" s="1"/>
  <c r="V67" i="124"/>
  <c r="Y67" i="124" s="1"/>
  <c r="W66" i="124"/>
  <c r="Z66" i="124" s="1"/>
  <c r="V66" i="124"/>
  <c r="Y66" i="124" s="1"/>
  <c r="W65" i="124"/>
  <c r="Z65" i="124" s="1"/>
  <c r="V65" i="124"/>
  <c r="Y65" i="124" s="1"/>
  <c r="W64" i="124"/>
  <c r="V64" i="124"/>
  <c r="W62" i="124"/>
  <c r="Z62" i="124" s="1"/>
  <c r="V62" i="124"/>
  <c r="Y62" i="124" s="1"/>
  <c r="W61" i="124"/>
  <c r="Z61" i="124" s="1"/>
  <c r="V61" i="124"/>
  <c r="Y61" i="124" s="1"/>
  <c r="W60" i="124"/>
  <c r="Z60" i="124" s="1"/>
  <c r="V60" i="124"/>
  <c r="Y60" i="124" s="1"/>
  <c r="W59" i="124"/>
  <c r="Z59" i="124" s="1"/>
  <c r="V59" i="124"/>
  <c r="Y59" i="124" s="1"/>
  <c r="W58" i="124"/>
  <c r="Z58" i="124" s="1"/>
  <c r="V58" i="124"/>
  <c r="Y58" i="124" s="1"/>
  <c r="W57" i="124"/>
  <c r="Z57" i="124" s="1"/>
  <c r="V57" i="124"/>
  <c r="Y57" i="124" s="1"/>
  <c r="W56" i="124"/>
  <c r="Z56" i="124" s="1"/>
  <c r="V56" i="124"/>
  <c r="Y56" i="124" s="1"/>
  <c r="W55" i="124"/>
  <c r="Z55" i="124" s="1"/>
  <c r="V55" i="124"/>
  <c r="Y55" i="124" s="1"/>
  <c r="W54" i="124"/>
  <c r="Z54" i="124" s="1"/>
  <c r="V54" i="124"/>
  <c r="Y54" i="124" s="1"/>
  <c r="W53" i="124"/>
  <c r="Z53" i="124" s="1"/>
  <c r="V53" i="124"/>
  <c r="Y53" i="124" s="1"/>
  <c r="W52" i="124"/>
  <c r="Z52" i="124" s="1"/>
  <c r="V52" i="124"/>
  <c r="Y52" i="124" s="1"/>
  <c r="W51" i="124"/>
  <c r="Z51" i="124" s="1"/>
  <c r="V51" i="124"/>
  <c r="Y51" i="124" s="1"/>
  <c r="W50" i="124"/>
  <c r="Z50" i="124" s="1"/>
  <c r="V50" i="124"/>
  <c r="Y50" i="124" s="1"/>
  <c r="W49" i="124"/>
  <c r="Z49" i="124" s="1"/>
  <c r="V49" i="124"/>
  <c r="Y49" i="124" s="1"/>
  <c r="W48" i="124"/>
  <c r="Z48" i="124" s="1"/>
  <c r="V48" i="124"/>
  <c r="Y48" i="124" s="1"/>
  <c r="W47" i="124"/>
  <c r="Z47" i="124" s="1"/>
  <c r="V47" i="124"/>
  <c r="Y47" i="124" s="1"/>
  <c r="W46" i="124"/>
  <c r="Z46" i="124" s="1"/>
  <c r="V46" i="124"/>
  <c r="Y46" i="124" s="1"/>
  <c r="W45" i="124"/>
  <c r="Z45" i="124" s="1"/>
  <c r="V45" i="124"/>
  <c r="Y45" i="124" s="1"/>
  <c r="W44" i="124"/>
  <c r="Z44" i="124" s="1"/>
  <c r="V44" i="124"/>
  <c r="Y44" i="124" s="1"/>
  <c r="W43" i="124"/>
  <c r="V43" i="124"/>
  <c r="W41" i="124"/>
  <c r="Z41" i="124" s="1"/>
  <c r="V41" i="124"/>
  <c r="Y41" i="124" s="1"/>
  <c r="W40" i="124"/>
  <c r="Z40" i="124" s="1"/>
  <c r="V40" i="124"/>
  <c r="Y40" i="124" s="1"/>
  <c r="W39" i="124"/>
  <c r="Z39" i="124" s="1"/>
  <c r="V39" i="124"/>
  <c r="Y39" i="124" s="1"/>
  <c r="W38" i="124"/>
  <c r="Z38" i="124" s="1"/>
  <c r="V38" i="124"/>
  <c r="Y38" i="124" s="1"/>
  <c r="W37" i="124"/>
  <c r="Z37" i="124" s="1"/>
  <c r="V37" i="124"/>
  <c r="Y37" i="124" s="1"/>
  <c r="W36" i="124"/>
  <c r="Z36" i="124" s="1"/>
  <c r="V36" i="124"/>
  <c r="Y36" i="124" s="1"/>
  <c r="W35" i="124"/>
  <c r="Z35" i="124" s="1"/>
  <c r="V35" i="124"/>
  <c r="Y35" i="124" s="1"/>
  <c r="W34" i="124"/>
  <c r="Z34" i="124" s="1"/>
  <c r="V34" i="124"/>
  <c r="Y34" i="124" s="1"/>
  <c r="W33" i="124"/>
  <c r="Z33" i="124" s="1"/>
  <c r="V33" i="124"/>
  <c r="Y33" i="124" s="1"/>
  <c r="W32" i="124"/>
  <c r="Z32" i="124" s="1"/>
  <c r="V32" i="124"/>
  <c r="Y32" i="124" s="1"/>
  <c r="W31" i="124"/>
  <c r="Z31" i="124" s="1"/>
  <c r="V31" i="124"/>
  <c r="Y31" i="124" s="1"/>
  <c r="W30" i="124"/>
  <c r="Z30" i="124" s="1"/>
  <c r="V30" i="124"/>
  <c r="Y30" i="124" s="1"/>
  <c r="W29" i="124"/>
  <c r="Z29" i="124" s="1"/>
  <c r="V29" i="124"/>
  <c r="Y29" i="124" s="1"/>
  <c r="W28" i="124"/>
  <c r="Z28" i="124" s="1"/>
  <c r="V28" i="124"/>
  <c r="Y28" i="124" s="1"/>
  <c r="W27" i="124"/>
  <c r="Z27" i="124" s="1"/>
  <c r="V27" i="124"/>
  <c r="Y27" i="124" s="1"/>
  <c r="W26" i="124"/>
  <c r="Z26" i="124" s="1"/>
  <c r="V26" i="124"/>
  <c r="Y26" i="124" s="1"/>
  <c r="W25" i="124"/>
  <c r="Z25" i="124" s="1"/>
  <c r="V25" i="124"/>
  <c r="Y25" i="124" s="1"/>
  <c r="W24" i="124"/>
  <c r="Z24" i="124" s="1"/>
  <c r="V24" i="124"/>
  <c r="Y24" i="124" s="1"/>
  <c r="W23" i="124"/>
  <c r="Z23" i="124" s="1"/>
  <c r="V23" i="124"/>
  <c r="Y23" i="124" s="1"/>
  <c r="W22" i="124"/>
  <c r="Z22" i="124" s="1"/>
  <c r="V22" i="124"/>
  <c r="Y22" i="124" s="1"/>
  <c r="AB97" i="124"/>
  <c r="AB96" i="124"/>
  <c r="AB95" i="124"/>
  <c r="AB94" i="124"/>
  <c r="AB93" i="124"/>
  <c r="AB92" i="124"/>
  <c r="AB91" i="124"/>
  <c r="AB90" i="124"/>
  <c r="AB89" i="124"/>
  <c r="AB88" i="124"/>
  <c r="AB87" i="124"/>
  <c r="AB86" i="124"/>
  <c r="AB85" i="124"/>
  <c r="AB84" i="124"/>
  <c r="AB83" i="124"/>
  <c r="AB82" i="124"/>
  <c r="AB81" i="124"/>
  <c r="AB80" i="124"/>
  <c r="AB79" i="124"/>
  <c r="AB78" i="124"/>
  <c r="X74" i="124"/>
  <c r="X73" i="124"/>
  <c r="X72" i="124"/>
  <c r="X71" i="124"/>
  <c r="X70" i="124"/>
  <c r="X68" i="124"/>
  <c r="X67" i="124"/>
  <c r="X66" i="124"/>
  <c r="X65" i="124"/>
  <c r="X64" i="124"/>
  <c r="X62" i="124"/>
  <c r="X61" i="124"/>
  <c r="X60" i="124"/>
  <c r="X59" i="124"/>
  <c r="X58" i="124"/>
  <c r="X57" i="124"/>
  <c r="X56" i="124"/>
  <c r="X55" i="124"/>
  <c r="X54" i="124"/>
  <c r="X53" i="124"/>
  <c r="X52" i="124"/>
  <c r="X51" i="124"/>
  <c r="X50" i="124"/>
  <c r="X49" i="124"/>
  <c r="X48" i="124"/>
  <c r="X47" i="124"/>
  <c r="X46" i="124"/>
  <c r="X45" i="124"/>
  <c r="X44" i="124"/>
  <c r="X43" i="124"/>
  <c r="X41" i="124"/>
  <c r="X40" i="124"/>
  <c r="X39" i="124"/>
  <c r="X38" i="124"/>
  <c r="X37" i="124"/>
  <c r="X36" i="124"/>
  <c r="X35" i="124"/>
  <c r="X34" i="124"/>
  <c r="X33" i="124"/>
  <c r="X32" i="124"/>
  <c r="X31" i="124"/>
  <c r="X30" i="124"/>
  <c r="X29" i="124"/>
  <c r="X28" i="124"/>
  <c r="X27" i="124"/>
  <c r="X26" i="124"/>
  <c r="X25" i="124"/>
  <c r="X24" i="124"/>
  <c r="X23" i="124"/>
  <c r="X22" i="124"/>
  <c r="U12" i="124"/>
  <c r="V12" i="124"/>
  <c r="W12" i="124"/>
  <c r="X12" i="124"/>
  <c r="U13" i="124"/>
  <c r="V13" i="124"/>
  <c r="Y13" i="124" s="1"/>
  <c r="W13" i="124"/>
  <c r="Z13" i="124" s="1"/>
  <c r="X13" i="124"/>
  <c r="J14" i="124"/>
  <c r="U14" i="124"/>
  <c r="V14" i="124"/>
  <c r="Y14" i="124" s="1"/>
  <c r="W14" i="124"/>
  <c r="Z14" i="124" s="1"/>
  <c r="X14" i="124"/>
  <c r="U15" i="124"/>
  <c r="V15" i="124"/>
  <c r="Y15" i="124" s="1"/>
  <c r="W15" i="124"/>
  <c r="Z15" i="124" s="1"/>
  <c r="X15" i="124"/>
  <c r="U16" i="124"/>
  <c r="V16" i="124"/>
  <c r="Y16" i="124" s="1"/>
  <c r="W16" i="124"/>
  <c r="Z16" i="124" s="1"/>
  <c r="X16" i="124"/>
  <c r="U17" i="124"/>
  <c r="V17" i="124"/>
  <c r="Y17" i="124" s="1"/>
  <c r="W17" i="124"/>
  <c r="Z17" i="124" s="1"/>
  <c r="X17" i="124"/>
  <c r="U18" i="124"/>
  <c r="V18" i="124"/>
  <c r="Y18" i="124" s="1"/>
  <c r="W18" i="124"/>
  <c r="Z18" i="124" s="1"/>
  <c r="X18" i="124"/>
  <c r="U19" i="124"/>
  <c r="V19" i="124"/>
  <c r="Y19" i="124" s="1"/>
  <c r="W19" i="124"/>
  <c r="Z19" i="124" s="1"/>
  <c r="X19" i="124"/>
  <c r="U20" i="124"/>
  <c r="V20" i="124"/>
  <c r="Y20" i="124" s="1"/>
  <c r="W20" i="124"/>
  <c r="Z20" i="124" s="1"/>
  <c r="X20" i="124"/>
  <c r="U21" i="124"/>
  <c r="V21" i="124"/>
  <c r="Y21" i="124" s="1"/>
  <c r="W21" i="124"/>
  <c r="Z21" i="124" s="1"/>
  <c r="X21" i="124"/>
  <c r="J46" i="124"/>
  <c r="D46" i="124"/>
  <c r="J57" i="124"/>
  <c r="D57" i="124"/>
  <c r="F57" i="124" s="1"/>
  <c r="J52" i="124"/>
  <c r="F52" i="124"/>
  <c r="D52" i="124"/>
  <c r="G52" i="124" s="1"/>
  <c r="J22" i="124"/>
  <c r="J30" i="124"/>
  <c r="J38" i="124"/>
  <c r="D47" i="124"/>
  <c r="F47" i="124" s="1"/>
  <c r="D48" i="124"/>
  <c r="F48" i="124" s="1"/>
  <c r="D49" i="124"/>
  <c r="F49" i="124" s="1"/>
  <c r="D50" i="124"/>
  <c r="F50" i="124" s="1"/>
  <c r="D53" i="124"/>
  <c r="F53" i="124"/>
  <c r="D54" i="124"/>
  <c r="F54" i="124"/>
  <c r="D55" i="124"/>
  <c r="F55" i="124"/>
  <c r="D56" i="124"/>
  <c r="F56" i="124"/>
  <c r="D58" i="124"/>
  <c r="F58" i="124" s="1"/>
  <c r="F60" i="124"/>
  <c r="G60" i="124" s="1"/>
  <c r="L60" i="124" s="1"/>
  <c r="T78" i="124"/>
  <c r="T98" i="124" s="1"/>
  <c r="G86" i="124" s="1"/>
  <c r="H81" i="124" s="1"/>
  <c r="Y78" i="124"/>
  <c r="Y98" i="124" s="1"/>
  <c r="B65" i="123"/>
  <c r="B71" i="123" s="1"/>
  <c r="J20" i="123"/>
  <c r="AA97" i="123"/>
  <c r="AA96" i="123"/>
  <c r="AA95" i="123"/>
  <c r="AA94" i="123"/>
  <c r="AA93" i="123"/>
  <c r="AA92" i="123"/>
  <c r="AA91" i="123"/>
  <c r="AA90" i="123"/>
  <c r="AA89" i="123"/>
  <c r="AA88" i="123"/>
  <c r="AA87" i="123"/>
  <c r="AA86" i="123"/>
  <c r="AA85" i="123"/>
  <c r="AA84" i="123"/>
  <c r="AA83" i="123"/>
  <c r="AA82" i="123"/>
  <c r="AA81" i="123"/>
  <c r="AA80" i="123"/>
  <c r="AA79" i="123"/>
  <c r="AA78" i="123"/>
  <c r="U74" i="123"/>
  <c r="U73" i="123"/>
  <c r="U72" i="123"/>
  <c r="U71" i="123"/>
  <c r="U70" i="123"/>
  <c r="U68" i="123"/>
  <c r="U67" i="123"/>
  <c r="U66" i="123"/>
  <c r="U65" i="123"/>
  <c r="U64" i="123"/>
  <c r="U62" i="123"/>
  <c r="U61" i="123"/>
  <c r="U60" i="123"/>
  <c r="U59" i="123"/>
  <c r="U58" i="123"/>
  <c r="U57" i="123"/>
  <c r="U56" i="123"/>
  <c r="U55" i="123"/>
  <c r="U54" i="123"/>
  <c r="U53" i="123"/>
  <c r="U52" i="123"/>
  <c r="U51" i="123"/>
  <c r="U50" i="123"/>
  <c r="U49" i="123"/>
  <c r="U48" i="123"/>
  <c r="U47" i="123"/>
  <c r="U46" i="123"/>
  <c r="U45" i="123"/>
  <c r="U44" i="123"/>
  <c r="U43" i="123"/>
  <c r="U41" i="123"/>
  <c r="U40" i="123"/>
  <c r="U39" i="123"/>
  <c r="U38" i="123"/>
  <c r="U37" i="123"/>
  <c r="U36" i="123"/>
  <c r="U35" i="123"/>
  <c r="U34" i="123"/>
  <c r="U33" i="123"/>
  <c r="U32" i="123"/>
  <c r="U31" i="123"/>
  <c r="U30" i="123"/>
  <c r="U29" i="123"/>
  <c r="U28" i="123"/>
  <c r="U27" i="123"/>
  <c r="U26" i="123"/>
  <c r="U25" i="123"/>
  <c r="U24" i="123"/>
  <c r="U23" i="123"/>
  <c r="U22" i="123"/>
  <c r="W74" i="123"/>
  <c r="Z74" i="123" s="1"/>
  <c r="V74" i="123"/>
  <c r="Y74" i="123" s="1"/>
  <c r="W73" i="123"/>
  <c r="Z73" i="123" s="1"/>
  <c r="V73" i="123"/>
  <c r="Y73" i="123" s="1"/>
  <c r="W72" i="123"/>
  <c r="Z72" i="123" s="1"/>
  <c r="V72" i="123"/>
  <c r="Y72" i="123" s="1"/>
  <c r="W71" i="123"/>
  <c r="Z71" i="123" s="1"/>
  <c r="V71" i="123"/>
  <c r="Y71" i="123" s="1"/>
  <c r="W70" i="123"/>
  <c r="V70" i="123"/>
  <c r="W68" i="123"/>
  <c r="Z68" i="123" s="1"/>
  <c r="V68" i="123"/>
  <c r="Y68" i="123" s="1"/>
  <c r="W67" i="123"/>
  <c r="Z67" i="123" s="1"/>
  <c r="V67" i="123"/>
  <c r="Y67" i="123" s="1"/>
  <c r="W66" i="123"/>
  <c r="Z66" i="123" s="1"/>
  <c r="V66" i="123"/>
  <c r="Y66" i="123" s="1"/>
  <c r="W65" i="123"/>
  <c r="Z65" i="123" s="1"/>
  <c r="V65" i="123"/>
  <c r="Y65" i="123" s="1"/>
  <c r="W64" i="123"/>
  <c r="V64" i="123"/>
  <c r="W62" i="123"/>
  <c r="Z62" i="123" s="1"/>
  <c r="V62" i="123"/>
  <c r="Y62" i="123" s="1"/>
  <c r="W61" i="123"/>
  <c r="Z61" i="123" s="1"/>
  <c r="V61" i="123"/>
  <c r="Y61" i="123" s="1"/>
  <c r="W60" i="123"/>
  <c r="Z60" i="123" s="1"/>
  <c r="V60" i="123"/>
  <c r="Y60" i="123" s="1"/>
  <c r="W59" i="123"/>
  <c r="Z59" i="123" s="1"/>
  <c r="V59" i="123"/>
  <c r="Y59" i="123" s="1"/>
  <c r="W58" i="123"/>
  <c r="Z58" i="123" s="1"/>
  <c r="V58" i="123"/>
  <c r="Y58" i="123" s="1"/>
  <c r="W57" i="123"/>
  <c r="Z57" i="123" s="1"/>
  <c r="V57" i="123"/>
  <c r="Y57" i="123" s="1"/>
  <c r="W56" i="123"/>
  <c r="Z56" i="123" s="1"/>
  <c r="V56" i="123"/>
  <c r="Y56" i="123" s="1"/>
  <c r="W55" i="123"/>
  <c r="Z55" i="123" s="1"/>
  <c r="V55" i="123"/>
  <c r="Y55" i="123" s="1"/>
  <c r="W54" i="123"/>
  <c r="Z54" i="123" s="1"/>
  <c r="V54" i="123"/>
  <c r="Y54" i="123" s="1"/>
  <c r="W53" i="123"/>
  <c r="Z53" i="123" s="1"/>
  <c r="V53" i="123"/>
  <c r="Y53" i="123" s="1"/>
  <c r="W52" i="123"/>
  <c r="Z52" i="123" s="1"/>
  <c r="V52" i="123"/>
  <c r="Y52" i="123" s="1"/>
  <c r="W51" i="123"/>
  <c r="Z51" i="123" s="1"/>
  <c r="V51" i="123"/>
  <c r="Y51" i="123" s="1"/>
  <c r="W50" i="123"/>
  <c r="Z50" i="123" s="1"/>
  <c r="V50" i="123"/>
  <c r="Y50" i="123" s="1"/>
  <c r="W49" i="123"/>
  <c r="Z49" i="123" s="1"/>
  <c r="V49" i="123"/>
  <c r="Y49" i="123" s="1"/>
  <c r="W48" i="123"/>
  <c r="Z48" i="123" s="1"/>
  <c r="V48" i="123"/>
  <c r="Y48" i="123" s="1"/>
  <c r="W47" i="123"/>
  <c r="Z47" i="123" s="1"/>
  <c r="V47" i="123"/>
  <c r="Y47" i="123" s="1"/>
  <c r="W46" i="123"/>
  <c r="Z46" i="123" s="1"/>
  <c r="V46" i="123"/>
  <c r="Y46" i="123" s="1"/>
  <c r="W45" i="123"/>
  <c r="Z45" i="123" s="1"/>
  <c r="V45" i="123"/>
  <c r="Y45" i="123" s="1"/>
  <c r="W44" i="123"/>
  <c r="Z44" i="123" s="1"/>
  <c r="V44" i="123"/>
  <c r="Y44" i="123" s="1"/>
  <c r="W43" i="123"/>
  <c r="V43" i="123"/>
  <c r="W41" i="123"/>
  <c r="Z41" i="123" s="1"/>
  <c r="V41" i="123"/>
  <c r="Y41" i="123" s="1"/>
  <c r="W40" i="123"/>
  <c r="Z40" i="123" s="1"/>
  <c r="V40" i="123"/>
  <c r="Y40" i="123" s="1"/>
  <c r="W39" i="123"/>
  <c r="Z39" i="123" s="1"/>
  <c r="V39" i="123"/>
  <c r="Y39" i="123" s="1"/>
  <c r="W38" i="123"/>
  <c r="Z38" i="123" s="1"/>
  <c r="V38" i="123"/>
  <c r="Y38" i="123" s="1"/>
  <c r="W37" i="123"/>
  <c r="Z37" i="123" s="1"/>
  <c r="V37" i="123"/>
  <c r="Y37" i="123" s="1"/>
  <c r="W36" i="123"/>
  <c r="Z36" i="123" s="1"/>
  <c r="V36" i="123"/>
  <c r="Y36" i="123" s="1"/>
  <c r="W35" i="123"/>
  <c r="Z35" i="123" s="1"/>
  <c r="V35" i="123"/>
  <c r="Y35" i="123" s="1"/>
  <c r="W34" i="123"/>
  <c r="Z34" i="123" s="1"/>
  <c r="V34" i="123"/>
  <c r="Y34" i="123" s="1"/>
  <c r="W33" i="123"/>
  <c r="Z33" i="123" s="1"/>
  <c r="V33" i="123"/>
  <c r="Y33" i="123" s="1"/>
  <c r="W32" i="123"/>
  <c r="Z32" i="123" s="1"/>
  <c r="V32" i="123"/>
  <c r="Y32" i="123" s="1"/>
  <c r="W31" i="123"/>
  <c r="Z31" i="123" s="1"/>
  <c r="V31" i="123"/>
  <c r="Y31" i="123" s="1"/>
  <c r="W30" i="123"/>
  <c r="Z30" i="123" s="1"/>
  <c r="V30" i="123"/>
  <c r="Y30" i="123" s="1"/>
  <c r="W29" i="123"/>
  <c r="Z29" i="123" s="1"/>
  <c r="V29" i="123"/>
  <c r="Y29" i="123" s="1"/>
  <c r="W28" i="123"/>
  <c r="Z28" i="123" s="1"/>
  <c r="V28" i="123"/>
  <c r="Y28" i="123" s="1"/>
  <c r="W27" i="123"/>
  <c r="Z27" i="123" s="1"/>
  <c r="V27" i="123"/>
  <c r="Y27" i="123" s="1"/>
  <c r="W26" i="123"/>
  <c r="Z26" i="123" s="1"/>
  <c r="V26" i="123"/>
  <c r="Y26" i="123" s="1"/>
  <c r="W25" i="123"/>
  <c r="Z25" i="123" s="1"/>
  <c r="V25" i="123"/>
  <c r="Y25" i="123" s="1"/>
  <c r="W24" i="123"/>
  <c r="Z24" i="123" s="1"/>
  <c r="V24" i="123"/>
  <c r="Y24" i="123" s="1"/>
  <c r="W23" i="123"/>
  <c r="Z23" i="123" s="1"/>
  <c r="V23" i="123"/>
  <c r="Y23" i="123" s="1"/>
  <c r="W22" i="123"/>
  <c r="Z22" i="123" s="1"/>
  <c r="V22" i="123"/>
  <c r="Y22" i="123" s="1"/>
  <c r="AB97" i="123"/>
  <c r="AB96" i="123"/>
  <c r="AB95" i="123"/>
  <c r="AB94" i="123"/>
  <c r="AB93" i="123"/>
  <c r="AB92" i="123"/>
  <c r="AB91" i="123"/>
  <c r="AB90" i="123"/>
  <c r="AB89" i="123"/>
  <c r="AB88" i="123"/>
  <c r="AB87" i="123"/>
  <c r="AB86" i="123"/>
  <c r="AB85" i="123"/>
  <c r="AB84" i="123"/>
  <c r="AB83" i="123"/>
  <c r="AB82" i="123"/>
  <c r="AB81" i="123"/>
  <c r="AB80" i="123"/>
  <c r="AB79" i="123"/>
  <c r="AB78" i="123"/>
  <c r="X74" i="123"/>
  <c r="X73" i="123"/>
  <c r="X72" i="123"/>
  <c r="X71" i="123"/>
  <c r="X70" i="123"/>
  <c r="X68" i="123"/>
  <c r="X67" i="123"/>
  <c r="X66" i="123"/>
  <c r="X65" i="123"/>
  <c r="X64" i="123"/>
  <c r="X62" i="123"/>
  <c r="X61" i="123"/>
  <c r="X60" i="123"/>
  <c r="X59" i="123"/>
  <c r="X58" i="123"/>
  <c r="X57" i="123"/>
  <c r="X56" i="123"/>
  <c r="X55" i="123"/>
  <c r="X54" i="123"/>
  <c r="X53" i="123"/>
  <c r="X52" i="123"/>
  <c r="X51" i="123"/>
  <c r="X50" i="123"/>
  <c r="X49" i="123"/>
  <c r="X48" i="123"/>
  <c r="X47" i="123"/>
  <c r="X46" i="123"/>
  <c r="X45" i="123"/>
  <c r="X44" i="123"/>
  <c r="X43" i="123"/>
  <c r="X41" i="123"/>
  <c r="X40" i="123"/>
  <c r="X39" i="123"/>
  <c r="X38" i="123"/>
  <c r="X37" i="123"/>
  <c r="X36" i="123"/>
  <c r="X35" i="123"/>
  <c r="X34" i="123"/>
  <c r="X33" i="123"/>
  <c r="X32" i="123"/>
  <c r="X31" i="123"/>
  <c r="X30" i="123"/>
  <c r="X29" i="123"/>
  <c r="X28" i="123"/>
  <c r="X27" i="123"/>
  <c r="X26" i="123"/>
  <c r="X25" i="123"/>
  <c r="X24" i="123"/>
  <c r="X23" i="123"/>
  <c r="X22" i="123"/>
  <c r="U12" i="123"/>
  <c r="V12" i="123"/>
  <c r="W12" i="123"/>
  <c r="X12" i="123"/>
  <c r="U13" i="123"/>
  <c r="V13" i="123"/>
  <c r="Y13" i="123" s="1"/>
  <c r="W13" i="123"/>
  <c r="Z13" i="123" s="1"/>
  <c r="X13" i="123"/>
  <c r="J14" i="123"/>
  <c r="U14" i="123"/>
  <c r="V14" i="123"/>
  <c r="Y14" i="123" s="1"/>
  <c r="W14" i="123"/>
  <c r="Z14" i="123" s="1"/>
  <c r="X14" i="123"/>
  <c r="U15" i="123"/>
  <c r="V15" i="123"/>
  <c r="Y15" i="123" s="1"/>
  <c r="W15" i="123"/>
  <c r="Z15" i="123" s="1"/>
  <c r="X15" i="123"/>
  <c r="U16" i="123"/>
  <c r="V16" i="123"/>
  <c r="Y16" i="123" s="1"/>
  <c r="W16" i="123"/>
  <c r="Z16" i="123" s="1"/>
  <c r="X16" i="123"/>
  <c r="U17" i="123"/>
  <c r="V17" i="123"/>
  <c r="Y17" i="123" s="1"/>
  <c r="W17" i="123"/>
  <c r="Z17" i="123" s="1"/>
  <c r="X17" i="123"/>
  <c r="U18" i="123"/>
  <c r="V18" i="123"/>
  <c r="Y18" i="123" s="1"/>
  <c r="W18" i="123"/>
  <c r="Z18" i="123" s="1"/>
  <c r="X18" i="123"/>
  <c r="U19" i="123"/>
  <c r="V19" i="123"/>
  <c r="Y19" i="123" s="1"/>
  <c r="W19" i="123"/>
  <c r="Z19" i="123" s="1"/>
  <c r="X19" i="123"/>
  <c r="U20" i="123"/>
  <c r="V20" i="123"/>
  <c r="Y20" i="123" s="1"/>
  <c r="W20" i="123"/>
  <c r="Z20" i="123" s="1"/>
  <c r="X20" i="123"/>
  <c r="U21" i="123"/>
  <c r="V21" i="123"/>
  <c r="Y21" i="123" s="1"/>
  <c r="W21" i="123"/>
  <c r="Z21" i="123" s="1"/>
  <c r="X21" i="123"/>
  <c r="J46" i="123"/>
  <c r="D46" i="123"/>
  <c r="J57" i="123"/>
  <c r="D57" i="123"/>
  <c r="F57" i="123" s="1"/>
  <c r="J52" i="123"/>
  <c r="F52" i="123"/>
  <c r="D52" i="123"/>
  <c r="J22" i="123"/>
  <c r="J30" i="123"/>
  <c r="J38" i="123"/>
  <c r="D47" i="123"/>
  <c r="F47" i="123" s="1"/>
  <c r="D48" i="123"/>
  <c r="F48" i="123" s="1"/>
  <c r="D49" i="123"/>
  <c r="F49" i="123" s="1"/>
  <c r="D50" i="123"/>
  <c r="F50" i="123" s="1"/>
  <c r="D51" i="123"/>
  <c r="F51" i="123" s="1"/>
  <c r="D53" i="123"/>
  <c r="F53" i="123"/>
  <c r="D54" i="123"/>
  <c r="F54" i="123"/>
  <c r="D55" i="123"/>
  <c r="F55" i="123"/>
  <c r="D56" i="123"/>
  <c r="F56" i="123"/>
  <c r="D58" i="123"/>
  <c r="F58" i="123" s="1"/>
  <c r="F60" i="123"/>
  <c r="G60" i="123" s="1"/>
  <c r="L60" i="123" s="1"/>
  <c r="T78" i="123"/>
  <c r="T98" i="123" s="1"/>
  <c r="G86" i="123" s="1"/>
  <c r="H81" i="123" s="1"/>
  <c r="Y78" i="123"/>
  <c r="Y98" i="123" s="1"/>
  <c r="J20" i="122"/>
  <c r="AA97" i="122"/>
  <c r="AA96" i="122"/>
  <c r="AA95" i="122"/>
  <c r="AA94" i="122"/>
  <c r="AA93" i="122"/>
  <c r="AA92" i="122"/>
  <c r="AA91" i="122"/>
  <c r="AA90" i="122"/>
  <c r="AA89" i="122"/>
  <c r="AA88" i="122"/>
  <c r="AA87" i="122"/>
  <c r="AA86" i="122"/>
  <c r="AA85" i="122"/>
  <c r="AA84" i="122"/>
  <c r="AA83" i="122"/>
  <c r="AA82" i="122"/>
  <c r="AA81" i="122"/>
  <c r="AA80" i="122"/>
  <c r="AA79" i="122"/>
  <c r="AA78" i="122"/>
  <c r="U74" i="122"/>
  <c r="U73" i="122"/>
  <c r="U72" i="122"/>
  <c r="U71" i="122"/>
  <c r="U70" i="122"/>
  <c r="U68" i="122"/>
  <c r="U67" i="122"/>
  <c r="U66" i="122"/>
  <c r="U65" i="122"/>
  <c r="U64" i="122"/>
  <c r="U62" i="122"/>
  <c r="U61" i="122"/>
  <c r="U60" i="122"/>
  <c r="U59" i="122"/>
  <c r="U58" i="122"/>
  <c r="U57" i="122"/>
  <c r="U56" i="122"/>
  <c r="U55" i="122"/>
  <c r="U54" i="122"/>
  <c r="U53" i="122"/>
  <c r="U52" i="122"/>
  <c r="U51" i="122"/>
  <c r="U50" i="122"/>
  <c r="U49" i="122"/>
  <c r="U48" i="122"/>
  <c r="U47" i="122"/>
  <c r="U46" i="122"/>
  <c r="U45" i="122"/>
  <c r="U44" i="122"/>
  <c r="U43" i="122"/>
  <c r="U41" i="122"/>
  <c r="U40" i="122"/>
  <c r="U39" i="122"/>
  <c r="U38" i="122"/>
  <c r="U37" i="122"/>
  <c r="U36" i="122"/>
  <c r="U35" i="122"/>
  <c r="U34" i="122"/>
  <c r="U33" i="122"/>
  <c r="U32" i="122"/>
  <c r="U31" i="122"/>
  <c r="U30" i="122"/>
  <c r="U29" i="122"/>
  <c r="U28" i="122"/>
  <c r="U27" i="122"/>
  <c r="U26" i="122"/>
  <c r="U25" i="122"/>
  <c r="U24" i="122"/>
  <c r="U23" i="122"/>
  <c r="U22" i="122"/>
  <c r="W74" i="122"/>
  <c r="Z74" i="122" s="1"/>
  <c r="V74" i="122"/>
  <c r="Y74" i="122" s="1"/>
  <c r="W73" i="122"/>
  <c r="Z73" i="122" s="1"/>
  <c r="V73" i="122"/>
  <c r="Y73" i="122" s="1"/>
  <c r="W72" i="122"/>
  <c r="Z72" i="122" s="1"/>
  <c r="V72" i="122"/>
  <c r="Y72" i="122" s="1"/>
  <c r="W71" i="122"/>
  <c r="Z71" i="122" s="1"/>
  <c r="V71" i="122"/>
  <c r="Y71" i="122" s="1"/>
  <c r="W70" i="122"/>
  <c r="V70" i="122"/>
  <c r="W68" i="122"/>
  <c r="Z68" i="122" s="1"/>
  <c r="V68" i="122"/>
  <c r="Y68" i="122" s="1"/>
  <c r="W67" i="122"/>
  <c r="Z67" i="122" s="1"/>
  <c r="V67" i="122"/>
  <c r="Y67" i="122" s="1"/>
  <c r="W66" i="122"/>
  <c r="Z66" i="122" s="1"/>
  <c r="V66" i="122"/>
  <c r="Y66" i="122" s="1"/>
  <c r="W65" i="122"/>
  <c r="Z65" i="122" s="1"/>
  <c r="V65" i="122"/>
  <c r="Y65" i="122" s="1"/>
  <c r="W64" i="122"/>
  <c r="V64" i="122"/>
  <c r="W62" i="122"/>
  <c r="Z62" i="122" s="1"/>
  <c r="V62" i="122"/>
  <c r="Y62" i="122" s="1"/>
  <c r="W61" i="122"/>
  <c r="Z61" i="122" s="1"/>
  <c r="V61" i="122"/>
  <c r="Y61" i="122" s="1"/>
  <c r="W60" i="122"/>
  <c r="Z60" i="122" s="1"/>
  <c r="V60" i="122"/>
  <c r="Y60" i="122" s="1"/>
  <c r="W59" i="122"/>
  <c r="Z59" i="122" s="1"/>
  <c r="V59" i="122"/>
  <c r="Y59" i="122" s="1"/>
  <c r="W58" i="122"/>
  <c r="Z58" i="122" s="1"/>
  <c r="V58" i="122"/>
  <c r="Y58" i="122" s="1"/>
  <c r="W57" i="122"/>
  <c r="Z57" i="122" s="1"/>
  <c r="V57" i="122"/>
  <c r="Y57" i="122" s="1"/>
  <c r="W56" i="122"/>
  <c r="Z56" i="122" s="1"/>
  <c r="V56" i="122"/>
  <c r="Y56" i="122" s="1"/>
  <c r="W55" i="122"/>
  <c r="Z55" i="122" s="1"/>
  <c r="V55" i="122"/>
  <c r="Y55" i="122" s="1"/>
  <c r="W54" i="122"/>
  <c r="Z54" i="122" s="1"/>
  <c r="V54" i="122"/>
  <c r="Y54" i="122" s="1"/>
  <c r="W53" i="122"/>
  <c r="Z53" i="122" s="1"/>
  <c r="V53" i="122"/>
  <c r="Y53" i="122" s="1"/>
  <c r="W52" i="122"/>
  <c r="Z52" i="122" s="1"/>
  <c r="V52" i="122"/>
  <c r="Y52" i="122" s="1"/>
  <c r="W51" i="122"/>
  <c r="Z51" i="122" s="1"/>
  <c r="V51" i="122"/>
  <c r="Y51" i="122" s="1"/>
  <c r="W50" i="122"/>
  <c r="Z50" i="122" s="1"/>
  <c r="V50" i="122"/>
  <c r="Y50" i="122" s="1"/>
  <c r="W49" i="122"/>
  <c r="Z49" i="122" s="1"/>
  <c r="V49" i="122"/>
  <c r="Y49" i="122" s="1"/>
  <c r="W48" i="122"/>
  <c r="Z48" i="122" s="1"/>
  <c r="V48" i="122"/>
  <c r="Y48" i="122" s="1"/>
  <c r="W47" i="122"/>
  <c r="Z47" i="122" s="1"/>
  <c r="V47" i="122"/>
  <c r="Y47" i="122" s="1"/>
  <c r="W46" i="122"/>
  <c r="Z46" i="122" s="1"/>
  <c r="V46" i="122"/>
  <c r="Y46" i="122" s="1"/>
  <c r="W45" i="122"/>
  <c r="Z45" i="122" s="1"/>
  <c r="V45" i="122"/>
  <c r="Y45" i="122" s="1"/>
  <c r="W44" i="122"/>
  <c r="Z44" i="122" s="1"/>
  <c r="V44" i="122"/>
  <c r="Y44" i="122" s="1"/>
  <c r="W43" i="122"/>
  <c r="V43" i="122"/>
  <c r="W41" i="122"/>
  <c r="Z41" i="122" s="1"/>
  <c r="V41" i="122"/>
  <c r="Y41" i="122" s="1"/>
  <c r="W40" i="122"/>
  <c r="Z40" i="122" s="1"/>
  <c r="V40" i="122"/>
  <c r="Y40" i="122" s="1"/>
  <c r="W39" i="122"/>
  <c r="Z39" i="122" s="1"/>
  <c r="V39" i="122"/>
  <c r="Y39" i="122" s="1"/>
  <c r="W38" i="122"/>
  <c r="Z38" i="122" s="1"/>
  <c r="V38" i="122"/>
  <c r="Y38" i="122" s="1"/>
  <c r="W37" i="122"/>
  <c r="Z37" i="122" s="1"/>
  <c r="V37" i="122"/>
  <c r="Y37" i="122" s="1"/>
  <c r="W36" i="122"/>
  <c r="Z36" i="122" s="1"/>
  <c r="V36" i="122"/>
  <c r="Y36" i="122" s="1"/>
  <c r="W35" i="122"/>
  <c r="Z35" i="122" s="1"/>
  <c r="V35" i="122"/>
  <c r="Y35" i="122" s="1"/>
  <c r="W34" i="122"/>
  <c r="Z34" i="122" s="1"/>
  <c r="V34" i="122"/>
  <c r="Y34" i="122" s="1"/>
  <c r="W33" i="122"/>
  <c r="Z33" i="122" s="1"/>
  <c r="V33" i="122"/>
  <c r="Y33" i="122" s="1"/>
  <c r="W32" i="122"/>
  <c r="Z32" i="122" s="1"/>
  <c r="V32" i="122"/>
  <c r="Y32" i="122" s="1"/>
  <c r="W31" i="122"/>
  <c r="Z31" i="122" s="1"/>
  <c r="V31" i="122"/>
  <c r="Y31" i="122" s="1"/>
  <c r="W30" i="122"/>
  <c r="Z30" i="122" s="1"/>
  <c r="V30" i="122"/>
  <c r="Y30" i="122" s="1"/>
  <c r="W29" i="122"/>
  <c r="Z29" i="122" s="1"/>
  <c r="V29" i="122"/>
  <c r="Y29" i="122" s="1"/>
  <c r="W28" i="122"/>
  <c r="Z28" i="122" s="1"/>
  <c r="V28" i="122"/>
  <c r="Y28" i="122" s="1"/>
  <c r="W27" i="122"/>
  <c r="Z27" i="122" s="1"/>
  <c r="V27" i="122"/>
  <c r="Y27" i="122" s="1"/>
  <c r="W26" i="122"/>
  <c r="Z26" i="122" s="1"/>
  <c r="V26" i="122"/>
  <c r="Y26" i="122" s="1"/>
  <c r="W25" i="122"/>
  <c r="Z25" i="122" s="1"/>
  <c r="V25" i="122"/>
  <c r="Y25" i="122" s="1"/>
  <c r="W24" i="122"/>
  <c r="Z24" i="122" s="1"/>
  <c r="V24" i="122"/>
  <c r="Y24" i="122" s="1"/>
  <c r="W23" i="122"/>
  <c r="Z23" i="122" s="1"/>
  <c r="V23" i="122"/>
  <c r="Y23" i="122" s="1"/>
  <c r="W22" i="122"/>
  <c r="Z22" i="122" s="1"/>
  <c r="V22" i="122"/>
  <c r="Y22" i="122" s="1"/>
  <c r="AB97" i="122"/>
  <c r="AB96" i="122"/>
  <c r="AB95" i="122"/>
  <c r="AB94" i="122"/>
  <c r="AB93" i="122"/>
  <c r="AB92" i="122"/>
  <c r="AB91" i="122"/>
  <c r="AB90" i="122"/>
  <c r="AB89" i="122"/>
  <c r="AB88" i="122"/>
  <c r="AB87" i="122"/>
  <c r="AB86" i="122"/>
  <c r="AB85" i="122"/>
  <c r="AB84" i="122"/>
  <c r="AB83" i="122"/>
  <c r="AB82" i="122"/>
  <c r="AB81" i="122"/>
  <c r="AB80" i="122"/>
  <c r="AB79" i="122"/>
  <c r="AB78" i="122"/>
  <c r="X74" i="122"/>
  <c r="X73" i="122"/>
  <c r="X72" i="122"/>
  <c r="X71" i="122"/>
  <c r="X70" i="122"/>
  <c r="X68" i="122"/>
  <c r="X67" i="122"/>
  <c r="X66" i="122"/>
  <c r="X65" i="122"/>
  <c r="X64" i="122"/>
  <c r="X62" i="122"/>
  <c r="X61" i="122"/>
  <c r="X60" i="122"/>
  <c r="X59" i="122"/>
  <c r="X58" i="122"/>
  <c r="X57" i="122"/>
  <c r="X56" i="122"/>
  <c r="X55" i="122"/>
  <c r="X54" i="122"/>
  <c r="X53" i="122"/>
  <c r="X52" i="122"/>
  <c r="X51" i="122"/>
  <c r="X50" i="122"/>
  <c r="X49" i="122"/>
  <c r="X48" i="122"/>
  <c r="X47" i="122"/>
  <c r="X46" i="122"/>
  <c r="X45" i="122"/>
  <c r="X44" i="122"/>
  <c r="X43" i="122"/>
  <c r="X41" i="122"/>
  <c r="X40" i="122"/>
  <c r="X39" i="122"/>
  <c r="X38" i="122"/>
  <c r="X37" i="122"/>
  <c r="X36" i="122"/>
  <c r="X35" i="122"/>
  <c r="X34" i="122"/>
  <c r="X33" i="122"/>
  <c r="X32" i="122"/>
  <c r="X31" i="122"/>
  <c r="X30" i="122"/>
  <c r="X29" i="122"/>
  <c r="X28" i="122"/>
  <c r="X27" i="122"/>
  <c r="X26" i="122"/>
  <c r="X25" i="122"/>
  <c r="X24" i="122"/>
  <c r="X23" i="122"/>
  <c r="X22" i="122"/>
  <c r="U12" i="122"/>
  <c r="V12" i="122"/>
  <c r="W12" i="122"/>
  <c r="X12" i="122"/>
  <c r="U13" i="122"/>
  <c r="V13" i="122"/>
  <c r="Y13" i="122" s="1"/>
  <c r="W13" i="122"/>
  <c r="Z13" i="122" s="1"/>
  <c r="X13" i="122"/>
  <c r="J14" i="122"/>
  <c r="U14" i="122"/>
  <c r="V14" i="122"/>
  <c r="Y14" i="122" s="1"/>
  <c r="W14" i="122"/>
  <c r="Z14" i="122" s="1"/>
  <c r="X14" i="122"/>
  <c r="U15" i="122"/>
  <c r="V15" i="122"/>
  <c r="Y15" i="122" s="1"/>
  <c r="W15" i="122"/>
  <c r="Z15" i="122" s="1"/>
  <c r="X15" i="122"/>
  <c r="U16" i="122"/>
  <c r="V16" i="122"/>
  <c r="Y16" i="122" s="1"/>
  <c r="W16" i="122"/>
  <c r="Z16" i="122" s="1"/>
  <c r="X16" i="122"/>
  <c r="U17" i="122"/>
  <c r="V17" i="122"/>
  <c r="Y17" i="122" s="1"/>
  <c r="W17" i="122"/>
  <c r="Z17" i="122" s="1"/>
  <c r="X17" i="122"/>
  <c r="U18" i="122"/>
  <c r="V18" i="122"/>
  <c r="Y18" i="122" s="1"/>
  <c r="W18" i="122"/>
  <c r="Z18" i="122" s="1"/>
  <c r="X18" i="122"/>
  <c r="U19" i="122"/>
  <c r="V19" i="122"/>
  <c r="Y19" i="122" s="1"/>
  <c r="W19" i="122"/>
  <c r="Z19" i="122" s="1"/>
  <c r="X19" i="122"/>
  <c r="U20" i="122"/>
  <c r="V20" i="122"/>
  <c r="Y20" i="122" s="1"/>
  <c r="W20" i="122"/>
  <c r="Z20" i="122" s="1"/>
  <c r="X20" i="122"/>
  <c r="U21" i="122"/>
  <c r="V21" i="122"/>
  <c r="Y21" i="122" s="1"/>
  <c r="W21" i="122"/>
  <c r="Z21" i="122" s="1"/>
  <c r="X21" i="122"/>
  <c r="J46" i="122"/>
  <c r="D46" i="122"/>
  <c r="J57" i="122"/>
  <c r="D57" i="122"/>
  <c r="F57" i="122" s="1"/>
  <c r="J52" i="122"/>
  <c r="F52" i="122"/>
  <c r="D52" i="122"/>
  <c r="J22" i="122"/>
  <c r="J30" i="122"/>
  <c r="J38" i="122"/>
  <c r="D47" i="122"/>
  <c r="F47" i="122" s="1"/>
  <c r="D48" i="122"/>
  <c r="F48" i="122" s="1"/>
  <c r="D49" i="122"/>
  <c r="F49" i="122" s="1"/>
  <c r="D53" i="122"/>
  <c r="F53" i="122"/>
  <c r="D54" i="122"/>
  <c r="F54" i="122"/>
  <c r="D55" i="122"/>
  <c r="F55" i="122"/>
  <c r="D56" i="122"/>
  <c r="F56" i="122"/>
  <c r="D58" i="122"/>
  <c r="F58" i="122" s="1"/>
  <c r="F60" i="122"/>
  <c r="G60" i="122" s="1"/>
  <c r="L60" i="122" s="1"/>
  <c r="T78" i="122"/>
  <c r="T98" i="122" s="1"/>
  <c r="G86" i="122" s="1"/>
  <c r="H81" i="122" s="1"/>
  <c r="Y78" i="122"/>
  <c r="Y98" i="122" s="1"/>
  <c r="J20" i="121"/>
  <c r="AA97" i="121"/>
  <c r="AA96" i="121"/>
  <c r="AA95" i="121"/>
  <c r="AA94" i="121"/>
  <c r="AA93" i="121"/>
  <c r="AA92" i="121"/>
  <c r="AA91" i="121"/>
  <c r="AA90" i="121"/>
  <c r="AA89" i="121"/>
  <c r="AA88" i="121"/>
  <c r="AA87" i="121"/>
  <c r="AA86" i="121"/>
  <c r="AA85" i="121"/>
  <c r="AA84" i="121"/>
  <c r="AA83" i="121"/>
  <c r="AA82" i="121"/>
  <c r="AA81" i="121"/>
  <c r="AA80" i="121"/>
  <c r="AA79" i="121"/>
  <c r="AA78" i="121"/>
  <c r="U74" i="121"/>
  <c r="U73" i="121"/>
  <c r="U72" i="121"/>
  <c r="U71" i="121"/>
  <c r="U70" i="121"/>
  <c r="U68" i="121"/>
  <c r="U67" i="121"/>
  <c r="U66" i="121"/>
  <c r="U65" i="121"/>
  <c r="U64" i="121"/>
  <c r="U62" i="121"/>
  <c r="U61" i="121"/>
  <c r="U60" i="121"/>
  <c r="U59" i="121"/>
  <c r="U58" i="121"/>
  <c r="U57" i="121"/>
  <c r="U56" i="121"/>
  <c r="U55" i="121"/>
  <c r="U54" i="121"/>
  <c r="U53" i="121"/>
  <c r="U52" i="121"/>
  <c r="U51" i="121"/>
  <c r="U50" i="121"/>
  <c r="U49" i="121"/>
  <c r="U48" i="121"/>
  <c r="U47" i="121"/>
  <c r="U46" i="121"/>
  <c r="U45" i="121"/>
  <c r="U44" i="121"/>
  <c r="U43" i="121"/>
  <c r="U41" i="121"/>
  <c r="U40" i="121"/>
  <c r="U39" i="121"/>
  <c r="U38" i="121"/>
  <c r="U37" i="121"/>
  <c r="U36" i="121"/>
  <c r="U35" i="121"/>
  <c r="U34" i="121"/>
  <c r="U33" i="121"/>
  <c r="U32" i="121"/>
  <c r="U31" i="121"/>
  <c r="U30" i="121"/>
  <c r="U29" i="121"/>
  <c r="U28" i="121"/>
  <c r="U27" i="121"/>
  <c r="U26" i="121"/>
  <c r="U25" i="121"/>
  <c r="U24" i="121"/>
  <c r="U23" i="121"/>
  <c r="U22" i="121"/>
  <c r="W74" i="121"/>
  <c r="Z74" i="121" s="1"/>
  <c r="V74" i="121"/>
  <c r="Y74" i="121" s="1"/>
  <c r="W73" i="121"/>
  <c r="Z73" i="121" s="1"/>
  <c r="V73" i="121"/>
  <c r="Y73" i="121" s="1"/>
  <c r="W72" i="121"/>
  <c r="Z72" i="121" s="1"/>
  <c r="V72" i="121"/>
  <c r="Y72" i="121" s="1"/>
  <c r="W71" i="121"/>
  <c r="Z71" i="121" s="1"/>
  <c r="V71" i="121"/>
  <c r="Y71" i="121" s="1"/>
  <c r="W70" i="121"/>
  <c r="V70" i="121"/>
  <c r="W68" i="121"/>
  <c r="Z68" i="121" s="1"/>
  <c r="V68" i="121"/>
  <c r="Y68" i="121" s="1"/>
  <c r="W67" i="121"/>
  <c r="Z67" i="121" s="1"/>
  <c r="V67" i="121"/>
  <c r="Y67" i="121" s="1"/>
  <c r="W66" i="121"/>
  <c r="Z66" i="121" s="1"/>
  <c r="V66" i="121"/>
  <c r="Y66" i="121" s="1"/>
  <c r="W65" i="121"/>
  <c r="Z65" i="121" s="1"/>
  <c r="V65" i="121"/>
  <c r="Y65" i="121" s="1"/>
  <c r="W64" i="121"/>
  <c r="V64" i="121"/>
  <c r="W62" i="121"/>
  <c r="Z62" i="121" s="1"/>
  <c r="V62" i="121"/>
  <c r="Y62" i="121" s="1"/>
  <c r="W61" i="121"/>
  <c r="Z61" i="121" s="1"/>
  <c r="V61" i="121"/>
  <c r="Y61" i="121" s="1"/>
  <c r="W60" i="121"/>
  <c r="Z60" i="121" s="1"/>
  <c r="V60" i="121"/>
  <c r="Y60" i="121" s="1"/>
  <c r="W59" i="121"/>
  <c r="Z59" i="121" s="1"/>
  <c r="V59" i="121"/>
  <c r="Y59" i="121" s="1"/>
  <c r="W58" i="121"/>
  <c r="Z58" i="121" s="1"/>
  <c r="V58" i="121"/>
  <c r="Y58" i="121" s="1"/>
  <c r="W57" i="121"/>
  <c r="Z57" i="121" s="1"/>
  <c r="V57" i="121"/>
  <c r="Y57" i="121" s="1"/>
  <c r="W56" i="121"/>
  <c r="Z56" i="121" s="1"/>
  <c r="V56" i="121"/>
  <c r="Y56" i="121" s="1"/>
  <c r="W55" i="121"/>
  <c r="Z55" i="121" s="1"/>
  <c r="V55" i="121"/>
  <c r="Y55" i="121" s="1"/>
  <c r="W54" i="121"/>
  <c r="Z54" i="121" s="1"/>
  <c r="V54" i="121"/>
  <c r="Y54" i="121" s="1"/>
  <c r="W53" i="121"/>
  <c r="Z53" i="121" s="1"/>
  <c r="V53" i="121"/>
  <c r="Y53" i="121" s="1"/>
  <c r="W52" i="121"/>
  <c r="Z52" i="121" s="1"/>
  <c r="V52" i="121"/>
  <c r="Y52" i="121" s="1"/>
  <c r="W51" i="121"/>
  <c r="Z51" i="121" s="1"/>
  <c r="V51" i="121"/>
  <c r="Y51" i="121" s="1"/>
  <c r="W50" i="121"/>
  <c r="Z50" i="121" s="1"/>
  <c r="V50" i="121"/>
  <c r="Y50" i="121" s="1"/>
  <c r="W49" i="121"/>
  <c r="Z49" i="121" s="1"/>
  <c r="V49" i="121"/>
  <c r="Y49" i="121" s="1"/>
  <c r="W48" i="121"/>
  <c r="Z48" i="121" s="1"/>
  <c r="V48" i="121"/>
  <c r="Y48" i="121" s="1"/>
  <c r="W47" i="121"/>
  <c r="Z47" i="121" s="1"/>
  <c r="V47" i="121"/>
  <c r="Y47" i="121" s="1"/>
  <c r="W46" i="121"/>
  <c r="Z46" i="121" s="1"/>
  <c r="V46" i="121"/>
  <c r="Y46" i="121" s="1"/>
  <c r="W45" i="121"/>
  <c r="Z45" i="121" s="1"/>
  <c r="V45" i="121"/>
  <c r="Y45" i="121" s="1"/>
  <c r="W44" i="121"/>
  <c r="Z44" i="121" s="1"/>
  <c r="V44" i="121"/>
  <c r="Y44" i="121" s="1"/>
  <c r="W43" i="121"/>
  <c r="V43" i="121"/>
  <c r="W41" i="121"/>
  <c r="Z41" i="121" s="1"/>
  <c r="V41" i="121"/>
  <c r="Y41" i="121" s="1"/>
  <c r="W40" i="121"/>
  <c r="Z40" i="121" s="1"/>
  <c r="V40" i="121"/>
  <c r="Y40" i="121" s="1"/>
  <c r="W39" i="121"/>
  <c r="Z39" i="121" s="1"/>
  <c r="V39" i="121"/>
  <c r="Y39" i="121" s="1"/>
  <c r="W38" i="121"/>
  <c r="Z38" i="121" s="1"/>
  <c r="V38" i="121"/>
  <c r="Y38" i="121" s="1"/>
  <c r="W37" i="121"/>
  <c r="Z37" i="121" s="1"/>
  <c r="V37" i="121"/>
  <c r="Y37" i="121" s="1"/>
  <c r="W36" i="121"/>
  <c r="Z36" i="121" s="1"/>
  <c r="V36" i="121"/>
  <c r="Y36" i="121" s="1"/>
  <c r="W35" i="121"/>
  <c r="Z35" i="121" s="1"/>
  <c r="V35" i="121"/>
  <c r="Y35" i="121" s="1"/>
  <c r="W34" i="121"/>
  <c r="Z34" i="121" s="1"/>
  <c r="V34" i="121"/>
  <c r="Y34" i="121" s="1"/>
  <c r="W33" i="121"/>
  <c r="Z33" i="121" s="1"/>
  <c r="V33" i="121"/>
  <c r="Y33" i="121" s="1"/>
  <c r="W32" i="121"/>
  <c r="Z32" i="121" s="1"/>
  <c r="V32" i="121"/>
  <c r="Y32" i="121" s="1"/>
  <c r="W31" i="121"/>
  <c r="Z31" i="121" s="1"/>
  <c r="V31" i="121"/>
  <c r="Y31" i="121" s="1"/>
  <c r="W30" i="121"/>
  <c r="Z30" i="121" s="1"/>
  <c r="V30" i="121"/>
  <c r="Y30" i="121" s="1"/>
  <c r="W29" i="121"/>
  <c r="Z29" i="121" s="1"/>
  <c r="V29" i="121"/>
  <c r="Y29" i="121" s="1"/>
  <c r="W28" i="121"/>
  <c r="Z28" i="121" s="1"/>
  <c r="V28" i="121"/>
  <c r="Y28" i="121" s="1"/>
  <c r="W27" i="121"/>
  <c r="Z27" i="121" s="1"/>
  <c r="V27" i="121"/>
  <c r="Y27" i="121" s="1"/>
  <c r="W26" i="121"/>
  <c r="Z26" i="121" s="1"/>
  <c r="V26" i="121"/>
  <c r="Y26" i="121" s="1"/>
  <c r="W25" i="121"/>
  <c r="Z25" i="121" s="1"/>
  <c r="V25" i="121"/>
  <c r="Y25" i="121" s="1"/>
  <c r="W24" i="121"/>
  <c r="Z24" i="121" s="1"/>
  <c r="V24" i="121"/>
  <c r="Y24" i="121" s="1"/>
  <c r="W23" i="121"/>
  <c r="Z23" i="121" s="1"/>
  <c r="V23" i="121"/>
  <c r="Y23" i="121" s="1"/>
  <c r="W22" i="121"/>
  <c r="Z22" i="121" s="1"/>
  <c r="V22" i="121"/>
  <c r="Y22" i="121" s="1"/>
  <c r="AB97" i="121"/>
  <c r="AB96" i="121"/>
  <c r="AB95" i="121"/>
  <c r="AB94" i="121"/>
  <c r="AB93" i="121"/>
  <c r="AB92" i="121"/>
  <c r="AB91" i="121"/>
  <c r="AB90" i="121"/>
  <c r="AB89" i="121"/>
  <c r="AB88" i="121"/>
  <c r="AB87" i="121"/>
  <c r="AB86" i="121"/>
  <c r="AB85" i="121"/>
  <c r="AB84" i="121"/>
  <c r="AB83" i="121"/>
  <c r="AB82" i="121"/>
  <c r="AB81" i="121"/>
  <c r="AB80" i="121"/>
  <c r="AB79" i="121"/>
  <c r="AB78" i="121"/>
  <c r="X74" i="121"/>
  <c r="X73" i="121"/>
  <c r="X72" i="121"/>
  <c r="X71" i="121"/>
  <c r="X70" i="121"/>
  <c r="X68" i="121"/>
  <c r="X67" i="121"/>
  <c r="X66" i="121"/>
  <c r="X65" i="121"/>
  <c r="X64" i="121"/>
  <c r="X62" i="121"/>
  <c r="X61" i="121"/>
  <c r="X60" i="121"/>
  <c r="X59" i="121"/>
  <c r="X58" i="121"/>
  <c r="X57" i="121"/>
  <c r="X56" i="121"/>
  <c r="X55" i="121"/>
  <c r="X54" i="121"/>
  <c r="X53" i="121"/>
  <c r="X52" i="121"/>
  <c r="X51" i="121"/>
  <c r="X50" i="121"/>
  <c r="X49" i="121"/>
  <c r="X48" i="121"/>
  <c r="X47" i="121"/>
  <c r="X46" i="121"/>
  <c r="X45" i="121"/>
  <c r="X44" i="121"/>
  <c r="X43" i="121"/>
  <c r="X41" i="121"/>
  <c r="X40" i="121"/>
  <c r="X39" i="121"/>
  <c r="X38" i="121"/>
  <c r="X37" i="121"/>
  <c r="X36" i="121"/>
  <c r="X35" i="121"/>
  <c r="X34" i="121"/>
  <c r="X33" i="121"/>
  <c r="X32" i="121"/>
  <c r="X31" i="121"/>
  <c r="X30" i="121"/>
  <c r="X29" i="121"/>
  <c r="X28" i="121"/>
  <c r="X27" i="121"/>
  <c r="X26" i="121"/>
  <c r="X25" i="121"/>
  <c r="X24" i="121"/>
  <c r="X23" i="121"/>
  <c r="X22" i="121"/>
  <c r="U12" i="121"/>
  <c r="V12" i="121"/>
  <c r="W12" i="121"/>
  <c r="X12" i="121"/>
  <c r="U13" i="121"/>
  <c r="V13" i="121"/>
  <c r="Y13" i="121" s="1"/>
  <c r="W13" i="121"/>
  <c r="Z13" i="121" s="1"/>
  <c r="X13" i="121"/>
  <c r="J14" i="121"/>
  <c r="U14" i="121"/>
  <c r="V14" i="121"/>
  <c r="Y14" i="121" s="1"/>
  <c r="W14" i="121"/>
  <c r="Z14" i="121" s="1"/>
  <c r="X14" i="121"/>
  <c r="U15" i="121"/>
  <c r="V15" i="121"/>
  <c r="Y15" i="121" s="1"/>
  <c r="W15" i="121"/>
  <c r="Z15" i="121" s="1"/>
  <c r="X15" i="121"/>
  <c r="U16" i="121"/>
  <c r="V16" i="121"/>
  <c r="Y16" i="121" s="1"/>
  <c r="W16" i="121"/>
  <c r="Z16" i="121" s="1"/>
  <c r="X16" i="121"/>
  <c r="U17" i="121"/>
  <c r="V17" i="121"/>
  <c r="Y17" i="121" s="1"/>
  <c r="W17" i="121"/>
  <c r="Z17" i="121" s="1"/>
  <c r="X17" i="121"/>
  <c r="U18" i="121"/>
  <c r="V18" i="121"/>
  <c r="Y18" i="121" s="1"/>
  <c r="W18" i="121"/>
  <c r="Z18" i="121" s="1"/>
  <c r="X18" i="121"/>
  <c r="U19" i="121"/>
  <c r="V19" i="121"/>
  <c r="Y19" i="121" s="1"/>
  <c r="W19" i="121"/>
  <c r="Z19" i="121" s="1"/>
  <c r="X19" i="121"/>
  <c r="U20" i="121"/>
  <c r="V20" i="121"/>
  <c r="Y20" i="121" s="1"/>
  <c r="W20" i="121"/>
  <c r="Z20" i="121" s="1"/>
  <c r="X20" i="121"/>
  <c r="U21" i="121"/>
  <c r="V21" i="121"/>
  <c r="Y21" i="121" s="1"/>
  <c r="W21" i="121"/>
  <c r="Z21" i="121" s="1"/>
  <c r="X21" i="121"/>
  <c r="J46" i="121"/>
  <c r="D46" i="121"/>
  <c r="J57" i="121"/>
  <c r="D57" i="121"/>
  <c r="F57" i="121" s="1"/>
  <c r="J52" i="121"/>
  <c r="F52" i="121"/>
  <c r="D52" i="121"/>
  <c r="J22" i="121"/>
  <c r="J30" i="121"/>
  <c r="J38" i="121"/>
  <c r="D47" i="121"/>
  <c r="F47" i="121" s="1"/>
  <c r="D48" i="121"/>
  <c r="F48" i="121" s="1"/>
  <c r="D49" i="121"/>
  <c r="F49" i="121" s="1"/>
  <c r="D50" i="121"/>
  <c r="F50" i="121" s="1"/>
  <c r="D53" i="121"/>
  <c r="F53" i="121"/>
  <c r="D54" i="121"/>
  <c r="F54" i="121"/>
  <c r="D55" i="121"/>
  <c r="F55" i="121"/>
  <c r="D56" i="121"/>
  <c r="F56" i="121"/>
  <c r="D58" i="121"/>
  <c r="F58" i="121" s="1"/>
  <c r="F60" i="121"/>
  <c r="G60" i="121" s="1"/>
  <c r="L60" i="121" s="1"/>
  <c r="T78" i="121"/>
  <c r="T98" i="121" s="1"/>
  <c r="G86" i="121" s="1"/>
  <c r="H81" i="121" s="1"/>
  <c r="Y78" i="121"/>
  <c r="Y98" i="121" s="1"/>
  <c r="J20" i="120"/>
  <c r="AA97" i="120"/>
  <c r="AA96" i="120"/>
  <c r="AA95" i="120"/>
  <c r="AA94" i="120"/>
  <c r="AA93" i="120"/>
  <c r="AA92" i="120"/>
  <c r="AA91" i="120"/>
  <c r="AA90" i="120"/>
  <c r="AA89" i="120"/>
  <c r="AA88" i="120"/>
  <c r="AA87" i="120"/>
  <c r="AA86" i="120"/>
  <c r="AA85" i="120"/>
  <c r="AA84" i="120"/>
  <c r="AA83" i="120"/>
  <c r="AA82" i="120"/>
  <c r="AA81" i="120"/>
  <c r="AA80" i="120"/>
  <c r="AA79" i="120"/>
  <c r="AA78" i="120"/>
  <c r="U74" i="120"/>
  <c r="U73" i="120"/>
  <c r="U72" i="120"/>
  <c r="U71" i="120"/>
  <c r="U70" i="120"/>
  <c r="U68" i="120"/>
  <c r="U67" i="120"/>
  <c r="U66" i="120"/>
  <c r="U65" i="120"/>
  <c r="U64" i="120"/>
  <c r="U62" i="120"/>
  <c r="U61" i="120"/>
  <c r="U60" i="120"/>
  <c r="U59" i="120"/>
  <c r="U58" i="120"/>
  <c r="U57" i="120"/>
  <c r="U56" i="120"/>
  <c r="U55" i="120"/>
  <c r="U54" i="120"/>
  <c r="U53" i="120"/>
  <c r="U52" i="120"/>
  <c r="U51" i="120"/>
  <c r="U50" i="120"/>
  <c r="U49" i="120"/>
  <c r="U48" i="120"/>
  <c r="U47" i="120"/>
  <c r="U46" i="120"/>
  <c r="U45" i="120"/>
  <c r="U44" i="120"/>
  <c r="U43" i="120"/>
  <c r="U41" i="120"/>
  <c r="U40" i="120"/>
  <c r="U39" i="120"/>
  <c r="U38" i="120"/>
  <c r="U37" i="120"/>
  <c r="U36" i="120"/>
  <c r="U35" i="120"/>
  <c r="U34" i="120"/>
  <c r="U33" i="120"/>
  <c r="U32" i="120"/>
  <c r="U31" i="120"/>
  <c r="U30" i="120"/>
  <c r="U29" i="120"/>
  <c r="U28" i="120"/>
  <c r="U27" i="120"/>
  <c r="U26" i="120"/>
  <c r="U25" i="120"/>
  <c r="U24" i="120"/>
  <c r="U23" i="120"/>
  <c r="U22" i="120"/>
  <c r="W74" i="120"/>
  <c r="Z74" i="120" s="1"/>
  <c r="V74" i="120"/>
  <c r="Y74" i="120" s="1"/>
  <c r="W73" i="120"/>
  <c r="Z73" i="120" s="1"/>
  <c r="V73" i="120"/>
  <c r="Y73" i="120" s="1"/>
  <c r="W72" i="120"/>
  <c r="Z72" i="120" s="1"/>
  <c r="V72" i="120"/>
  <c r="Y72" i="120" s="1"/>
  <c r="W71" i="120"/>
  <c r="Z71" i="120" s="1"/>
  <c r="V71" i="120"/>
  <c r="Y71" i="120" s="1"/>
  <c r="W70" i="120"/>
  <c r="V70" i="120"/>
  <c r="W68" i="120"/>
  <c r="Z68" i="120" s="1"/>
  <c r="V68" i="120"/>
  <c r="Y68" i="120" s="1"/>
  <c r="W67" i="120"/>
  <c r="Z67" i="120" s="1"/>
  <c r="V67" i="120"/>
  <c r="Y67" i="120" s="1"/>
  <c r="W66" i="120"/>
  <c r="Z66" i="120" s="1"/>
  <c r="V66" i="120"/>
  <c r="Y66" i="120" s="1"/>
  <c r="W65" i="120"/>
  <c r="Z65" i="120" s="1"/>
  <c r="V65" i="120"/>
  <c r="Y65" i="120" s="1"/>
  <c r="W64" i="120"/>
  <c r="V64" i="120"/>
  <c r="W62" i="120"/>
  <c r="Z62" i="120" s="1"/>
  <c r="V62" i="120"/>
  <c r="Y62" i="120" s="1"/>
  <c r="W61" i="120"/>
  <c r="Z61" i="120" s="1"/>
  <c r="V61" i="120"/>
  <c r="Y61" i="120" s="1"/>
  <c r="W60" i="120"/>
  <c r="Z60" i="120" s="1"/>
  <c r="V60" i="120"/>
  <c r="Y60" i="120" s="1"/>
  <c r="W59" i="120"/>
  <c r="Z59" i="120" s="1"/>
  <c r="V59" i="120"/>
  <c r="Y59" i="120" s="1"/>
  <c r="W58" i="120"/>
  <c r="Z58" i="120" s="1"/>
  <c r="V58" i="120"/>
  <c r="Y58" i="120" s="1"/>
  <c r="W57" i="120"/>
  <c r="Z57" i="120" s="1"/>
  <c r="V57" i="120"/>
  <c r="Y57" i="120" s="1"/>
  <c r="W56" i="120"/>
  <c r="Z56" i="120" s="1"/>
  <c r="V56" i="120"/>
  <c r="Y56" i="120" s="1"/>
  <c r="W55" i="120"/>
  <c r="Z55" i="120" s="1"/>
  <c r="V55" i="120"/>
  <c r="Y55" i="120" s="1"/>
  <c r="W54" i="120"/>
  <c r="Z54" i="120" s="1"/>
  <c r="V54" i="120"/>
  <c r="Y54" i="120" s="1"/>
  <c r="W53" i="120"/>
  <c r="Z53" i="120" s="1"/>
  <c r="V53" i="120"/>
  <c r="Y53" i="120" s="1"/>
  <c r="W52" i="120"/>
  <c r="Z52" i="120" s="1"/>
  <c r="V52" i="120"/>
  <c r="Y52" i="120" s="1"/>
  <c r="W51" i="120"/>
  <c r="Z51" i="120" s="1"/>
  <c r="V51" i="120"/>
  <c r="Y51" i="120" s="1"/>
  <c r="W50" i="120"/>
  <c r="Z50" i="120" s="1"/>
  <c r="V50" i="120"/>
  <c r="Y50" i="120" s="1"/>
  <c r="W49" i="120"/>
  <c r="Z49" i="120" s="1"/>
  <c r="V49" i="120"/>
  <c r="Y49" i="120" s="1"/>
  <c r="W48" i="120"/>
  <c r="Z48" i="120" s="1"/>
  <c r="V48" i="120"/>
  <c r="Y48" i="120" s="1"/>
  <c r="W47" i="120"/>
  <c r="Z47" i="120" s="1"/>
  <c r="V47" i="120"/>
  <c r="Y47" i="120" s="1"/>
  <c r="W46" i="120"/>
  <c r="Z46" i="120" s="1"/>
  <c r="V46" i="120"/>
  <c r="Y46" i="120" s="1"/>
  <c r="W45" i="120"/>
  <c r="Z45" i="120" s="1"/>
  <c r="V45" i="120"/>
  <c r="Y45" i="120" s="1"/>
  <c r="W44" i="120"/>
  <c r="Z44" i="120" s="1"/>
  <c r="V44" i="120"/>
  <c r="Y44" i="120" s="1"/>
  <c r="W43" i="120"/>
  <c r="V43" i="120"/>
  <c r="W41" i="120"/>
  <c r="Z41" i="120" s="1"/>
  <c r="V41" i="120"/>
  <c r="Y41" i="120" s="1"/>
  <c r="W40" i="120"/>
  <c r="Z40" i="120" s="1"/>
  <c r="V40" i="120"/>
  <c r="Y40" i="120" s="1"/>
  <c r="W39" i="120"/>
  <c r="Z39" i="120" s="1"/>
  <c r="V39" i="120"/>
  <c r="Y39" i="120" s="1"/>
  <c r="W38" i="120"/>
  <c r="Z38" i="120" s="1"/>
  <c r="V38" i="120"/>
  <c r="Y38" i="120" s="1"/>
  <c r="W37" i="120"/>
  <c r="Z37" i="120" s="1"/>
  <c r="V37" i="120"/>
  <c r="Y37" i="120" s="1"/>
  <c r="W36" i="120"/>
  <c r="Z36" i="120" s="1"/>
  <c r="V36" i="120"/>
  <c r="Y36" i="120" s="1"/>
  <c r="W35" i="120"/>
  <c r="Z35" i="120" s="1"/>
  <c r="V35" i="120"/>
  <c r="Y35" i="120" s="1"/>
  <c r="W34" i="120"/>
  <c r="Z34" i="120" s="1"/>
  <c r="V34" i="120"/>
  <c r="Y34" i="120" s="1"/>
  <c r="W33" i="120"/>
  <c r="Z33" i="120" s="1"/>
  <c r="V33" i="120"/>
  <c r="Y33" i="120" s="1"/>
  <c r="W32" i="120"/>
  <c r="Z32" i="120" s="1"/>
  <c r="V32" i="120"/>
  <c r="Y32" i="120" s="1"/>
  <c r="W31" i="120"/>
  <c r="Z31" i="120" s="1"/>
  <c r="V31" i="120"/>
  <c r="Y31" i="120" s="1"/>
  <c r="W30" i="120"/>
  <c r="Z30" i="120" s="1"/>
  <c r="V30" i="120"/>
  <c r="Y30" i="120" s="1"/>
  <c r="W29" i="120"/>
  <c r="Z29" i="120" s="1"/>
  <c r="V29" i="120"/>
  <c r="Y29" i="120" s="1"/>
  <c r="W28" i="120"/>
  <c r="Z28" i="120" s="1"/>
  <c r="V28" i="120"/>
  <c r="Y28" i="120" s="1"/>
  <c r="W27" i="120"/>
  <c r="Z27" i="120" s="1"/>
  <c r="V27" i="120"/>
  <c r="Y27" i="120" s="1"/>
  <c r="W26" i="120"/>
  <c r="Z26" i="120" s="1"/>
  <c r="V26" i="120"/>
  <c r="Y26" i="120" s="1"/>
  <c r="W25" i="120"/>
  <c r="Z25" i="120" s="1"/>
  <c r="V25" i="120"/>
  <c r="Y25" i="120" s="1"/>
  <c r="W24" i="120"/>
  <c r="Z24" i="120" s="1"/>
  <c r="V24" i="120"/>
  <c r="Y24" i="120" s="1"/>
  <c r="W23" i="120"/>
  <c r="Z23" i="120" s="1"/>
  <c r="V23" i="120"/>
  <c r="Y23" i="120" s="1"/>
  <c r="W22" i="120"/>
  <c r="Z22" i="120" s="1"/>
  <c r="V22" i="120"/>
  <c r="Y22" i="120" s="1"/>
  <c r="AB97" i="120"/>
  <c r="AB96" i="120"/>
  <c r="AB95" i="120"/>
  <c r="AB94" i="120"/>
  <c r="AB93" i="120"/>
  <c r="AB92" i="120"/>
  <c r="AB91" i="120"/>
  <c r="AB90" i="120"/>
  <c r="AB89" i="120"/>
  <c r="AB88" i="120"/>
  <c r="AB87" i="120"/>
  <c r="AB86" i="120"/>
  <c r="AB85" i="120"/>
  <c r="AB84" i="120"/>
  <c r="AB83" i="120"/>
  <c r="AB82" i="120"/>
  <c r="AB81" i="120"/>
  <c r="AB80" i="120"/>
  <c r="AB79" i="120"/>
  <c r="AB78" i="120"/>
  <c r="X74" i="120"/>
  <c r="X73" i="120"/>
  <c r="X72" i="120"/>
  <c r="X71" i="120"/>
  <c r="X70" i="120"/>
  <c r="X68" i="120"/>
  <c r="X67" i="120"/>
  <c r="X66" i="120"/>
  <c r="X65" i="120"/>
  <c r="X64" i="120"/>
  <c r="X62" i="120"/>
  <c r="X61" i="120"/>
  <c r="X60" i="120"/>
  <c r="X59" i="120"/>
  <c r="X58" i="120"/>
  <c r="X57" i="120"/>
  <c r="X56" i="120"/>
  <c r="X55" i="120"/>
  <c r="X54" i="120"/>
  <c r="X53" i="120"/>
  <c r="X52" i="120"/>
  <c r="X51" i="120"/>
  <c r="X50" i="120"/>
  <c r="X49" i="120"/>
  <c r="X48" i="120"/>
  <c r="X47" i="120"/>
  <c r="X46" i="120"/>
  <c r="X45" i="120"/>
  <c r="X44" i="120"/>
  <c r="X43" i="120"/>
  <c r="X41" i="120"/>
  <c r="X40" i="120"/>
  <c r="X39" i="120"/>
  <c r="X38" i="120"/>
  <c r="X37" i="120"/>
  <c r="X36" i="120"/>
  <c r="X35" i="120"/>
  <c r="X34" i="120"/>
  <c r="X33" i="120"/>
  <c r="X32" i="120"/>
  <c r="X31" i="120"/>
  <c r="X30" i="120"/>
  <c r="X29" i="120"/>
  <c r="X28" i="120"/>
  <c r="X27" i="120"/>
  <c r="X26" i="120"/>
  <c r="X25" i="120"/>
  <c r="X24" i="120"/>
  <c r="X23" i="120"/>
  <c r="X22" i="120"/>
  <c r="U12" i="120"/>
  <c r="V12" i="120"/>
  <c r="W12" i="120"/>
  <c r="X12" i="120"/>
  <c r="U13" i="120"/>
  <c r="V13" i="120"/>
  <c r="Y13" i="120" s="1"/>
  <c r="W13" i="120"/>
  <c r="Z13" i="120" s="1"/>
  <c r="X13" i="120"/>
  <c r="J14" i="120"/>
  <c r="U14" i="120"/>
  <c r="V14" i="120"/>
  <c r="Y14" i="120" s="1"/>
  <c r="W14" i="120"/>
  <c r="Z14" i="120" s="1"/>
  <c r="X14" i="120"/>
  <c r="U15" i="120"/>
  <c r="V15" i="120"/>
  <c r="Y15" i="120" s="1"/>
  <c r="W15" i="120"/>
  <c r="Z15" i="120" s="1"/>
  <c r="X15" i="120"/>
  <c r="U16" i="120"/>
  <c r="V16" i="120"/>
  <c r="Y16" i="120" s="1"/>
  <c r="W16" i="120"/>
  <c r="Z16" i="120" s="1"/>
  <c r="X16" i="120"/>
  <c r="U17" i="120"/>
  <c r="V17" i="120"/>
  <c r="Y17" i="120" s="1"/>
  <c r="W17" i="120"/>
  <c r="Z17" i="120" s="1"/>
  <c r="X17" i="120"/>
  <c r="U18" i="120"/>
  <c r="V18" i="120"/>
  <c r="Y18" i="120" s="1"/>
  <c r="W18" i="120"/>
  <c r="Z18" i="120" s="1"/>
  <c r="X18" i="120"/>
  <c r="U19" i="120"/>
  <c r="V19" i="120"/>
  <c r="Y19" i="120" s="1"/>
  <c r="W19" i="120"/>
  <c r="Z19" i="120" s="1"/>
  <c r="X19" i="120"/>
  <c r="U20" i="120"/>
  <c r="V20" i="120"/>
  <c r="Y20" i="120" s="1"/>
  <c r="W20" i="120"/>
  <c r="Z20" i="120" s="1"/>
  <c r="X20" i="120"/>
  <c r="U21" i="120"/>
  <c r="V21" i="120"/>
  <c r="Y21" i="120" s="1"/>
  <c r="W21" i="120"/>
  <c r="Z21" i="120" s="1"/>
  <c r="X21" i="120"/>
  <c r="J46" i="120"/>
  <c r="D46" i="120"/>
  <c r="J57" i="120"/>
  <c r="D57" i="120"/>
  <c r="F57" i="120" s="1"/>
  <c r="J52" i="120"/>
  <c r="F52" i="120"/>
  <c r="D52" i="120"/>
  <c r="J22" i="120"/>
  <c r="J30" i="120"/>
  <c r="J38" i="120"/>
  <c r="D47" i="120"/>
  <c r="F47" i="120" s="1"/>
  <c r="D48" i="120"/>
  <c r="F48" i="120" s="1"/>
  <c r="D49" i="120"/>
  <c r="F49" i="120" s="1"/>
  <c r="D51" i="120"/>
  <c r="F51" i="120" s="1"/>
  <c r="D53" i="120"/>
  <c r="F53" i="120"/>
  <c r="D54" i="120"/>
  <c r="F54" i="120"/>
  <c r="D55" i="120"/>
  <c r="F55" i="120"/>
  <c r="D56" i="120"/>
  <c r="F56" i="120"/>
  <c r="D58" i="120"/>
  <c r="F58" i="120" s="1"/>
  <c r="F60" i="120"/>
  <c r="G60" i="120" s="1"/>
  <c r="L60" i="120" s="1"/>
  <c r="T78" i="120"/>
  <c r="T98" i="120" s="1"/>
  <c r="G86" i="120" s="1"/>
  <c r="H81" i="120" s="1"/>
  <c r="Y78" i="120"/>
  <c r="Y98" i="120" s="1"/>
  <c r="J20" i="119"/>
  <c r="AA97" i="119"/>
  <c r="AA96" i="119"/>
  <c r="AA95" i="119"/>
  <c r="AA94" i="119"/>
  <c r="AA93" i="119"/>
  <c r="AA92" i="119"/>
  <c r="AA91" i="119"/>
  <c r="AA90" i="119"/>
  <c r="AA89" i="119"/>
  <c r="AA88" i="119"/>
  <c r="AA87" i="119"/>
  <c r="AA86" i="119"/>
  <c r="AA85" i="119"/>
  <c r="AA84" i="119"/>
  <c r="AA83" i="119"/>
  <c r="AA82" i="119"/>
  <c r="AA81" i="119"/>
  <c r="AA80" i="119"/>
  <c r="AA79" i="119"/>
  <c r="AA78" i="119"/>
  <c r="U74" i="119"/>
  <c r="U73" i="119"/>
  <c r="U72" i="119"/>
  <c r="U71" i="119"/>
  <c r="U70" i="119"/>
  <c r="U68" i="119"/>
  <c r="U67" i="119"/>
  <c r="U66" i="119"/>
  <c r="U65" i="119"/>
  <c r="U64" i="119"/>
  <c r="U62" i="119"/>
  <c r="U61" i="119"/>
  <c r="U60" i="119"/>
  <c r="U59" i="119"/>
  <c r="U58" i="119"/>
  <c r="U57" i="119"/>
  <c r="U56" i="119"/>
  <c r="U55" i="119"/>
  <c r="U54" i="119"/>
  <c r="U53" i="119"/>
  <c r="U52" i="119"/>
  <c r="U51" i="119"/>
  <c r="U50" i="119"/>
  <c r="U49" i="119"/>
  <c r="U48" i="119"/>
  <c r="U47" i="119"/>
  <c r="U46" i="119"/>
  <c r="U45" i="119"/>
  <c r="U44" i="119"/>
  <c r="U43" i="119"/>
  <c r="U41" i="119"/>
  <c r="U40" i="119"/>
  <c r="U39" i="119"/>
  <c r="U38" i="119"/>
  <c r="U37" i="119"/>
  <c r="U36" i="119"/>
  <c r="U35" i="119"/>
  <c r="U34" i="119"/>
  <c r="U33" i="119"/>
  <c r="U32" i="119"/>
  <c r="U31" i="119"/>
  <c r="U30" i="119"/>
  <c r="U29" i="119"/>
  <c r="U28" i="119"/>
  <c r="U27" i="119"/>
  <c r="U26" i="119"/>
  <c r="U25" i="119"/>
  <c r="U24" i="119"/>
  <c r="U23" i="119"/>
  <c r="U22" i="119"/>
  <c r="W74" i="119"/>
  <c r="Z74" i="119" s="1"/>
  <c r="V74" i="119"/>
  <c r="Y74" i="119" s="1"/>
  <c r="W73" i="119"/>
  <c r="Z73" i="119" s="1"/>
  <c r="V73" i="119"/>
  <c r="Y73" i="119" s="1"/>
  <c r="W72" i="119"/>
  <c r="Z72" i="119" s="1"/>
  <c r="V72" i="119"/>
  <c r="Y72" i="119" s="1"/>
  <c r="W71" i="119"/>
  <c r="Z71" i="119" s="1"/>
  <c r="V71" i="119"/>
  <c r="Y71" i="119" s="1"/>
  <c r="W70" i="119"/>
  <c r="V70" i="119"/>
  <c r="W68" i="119"/>
  <c r="Z68" i="119" s="1"/>
  <c r="V68" i="119"/>
  <c r="Y68" i="119" s="1"/>
  <c r="W67" i="119"/>
  <c r="Z67" i="119" s="1"/>
  <c r="V67" i="119"/>
  <c r="Y67" i="119" s="1"/>
  <c r="W66" i="119"/>
  <c r="Z66" i="119" s="1"/>
  <c r="V66" i="119"/>
  <c r="Y66" i="119" s="1"/>
  <c r="W65" i="119"/>
  <c r="Z65" i="119" s="1"/>
  <c r="V65" i="119"/>
  <c r="Y65" i="119" s="1"/>
  <c r="W64" i="119"/>
  <c r="V64" i="119"/>
  <c r="W62" i="119"/>
  <c r="Z62" i="119" s="1"/>
  <c r="V62" i="119"/>
  <c r="Y62" i="119" s="1"/>
  <c r="W61" i="119"/>
  <c r="Z61" i="119" s="1"/>
  <c r="V61" i="119"/>
  <c r="Y61" i="119" s="1"/>
  <c r="W60" i="119"/>
  <c r="Z60" i="119" s="1"/>
  <c r="V60" i="119"/>
  <c r="Y60" i="119" s="1"/>
  <c r="W59" i="119"/>
  <c r="Z59" i="119" s="1"/>
  <c r="V59" i="119"/>
  <c r="Y59" i="119" s="1"/>
  <c r="W58" i="119"/>
  <c r="Z58" i="119" s="1"/>
  <c r="V58" i="119"/>
  <c r="Y58" i="119" s="1"/>
  <c r="W57" i="119"/>
  <c r="Z57" i="119" s="1"/>
  <c r="V57" i="119"/>
  <c r="Y57" i="119" s="1"/>
  <c r="W56" i="119"/>
  <c r="Z56" i="119" s="1"/>
  <c r="V56" i="119"/>
  <c r="Y56" i="119" s="1"/>
  <c r="W55" i="119"/>
  <c r="Z55" i="119" s="1"/>
  <c r="V55" i="119"/>
  <c r="Y55" i="119" s="1"/>
  <c r="W54" i="119"/>
  <c r="Z54" i="119" s="1"/>
  <c r="V54" i="119"/>
  <c r="Y54" i="119" s="1"/>
  <c r="W53" i="119"/>
  <c r="Z53" i="119" s="1"/>
  <c r="V53" i="119"/>
  <c r="Y53" i="119" s="1"/>
  <c r="W52" i="119"/>
  <c r="Z52" i="119" s="1"/>
  <c r="V52" i="119"/>
  <c r="Y52" i="119" s="1"/>
  <c r="W51" i="119"/>
  <c r="Z51" i="119" s="1"/>
  <c r="V51" i="119"/>
  <c r="Y51" i="119" s="1"/>
  <c r="W50" i="119"/>
  <c r="Z50" i="119" s="1"/>
  <c r="V50" i="119"/>
  <c r="Y50" i="119" s="1"/>
  <c r="W49" i="119"/>
  <c r="Z49" i="119" s="1"/>
  <c r="V49" i="119"/>
  <c r="Y49" i="119" s="1"/>
  <c r="W48" i="119"/>
  <c r="Z48" i="119" s="1"/>
  <c r="V48" i="119"/>
  <c r="Y48" i="119" s="1"/>
  <c r="W47" i="119"/>
  <c r="Z47" i="119" s="1"/>
  <c r="V47" i="119"/>
  <c r="Y47" i="119" s="1"/>
  <c r="W46" i="119"/>
  <c r="Z46" i="119" s="1"/>
  <c r="V46" i="119"/>
  <c r="Y46" i="119" s="1"/>
  <c r="W45" i="119"/>
  <c r="Z45" i="119" s="1"/>
  <c r="V45" i="119"/>
  <c r="Y45" i="119" s="1"/>
  <c r="W44" i="119"/>
  <c r="Z44" i="119" s="1"/>
  <c r="V44" i="119"/>
  <c r="Y44" i="119" s="1"/>
  <c r="W43" i="119"/>
  <c r="V43" i="119"/>
  <c r="W41" i="119"/>
  <c r="Z41" i="119" s="1"/>
  <c r="V41" i="119"/>
  <c r="Y41" i="119" s="1"/>
  <c r="W40" i="119"/>
  <c r="Z40" i="119" s="1"/>
  <c r="V40" i="119"/>
  <c r="Y40" i="119" s="1"/>
  <c r="W39" i="119"/>
  <c r="Z39" i="119" s="1"/>
  <c r="V39" i="119"/>
  <c r="Y39" i="119" s="1"/>
  <c r="W38" i="119"/>
  <c r="Z38" i="119" s="1"/>
  <c r="V38" i="119"/>
  <c r="Y38" i="119" s="1"/>
  <c r="W37" i="119"/>
  <c r="Z37" i="119" s="1"/>
  <c r="V37" i="119"/>
  <c r="Y37" i="119" s="1"/>
  <c r="W36" i="119"/>
  <c r="Z36" i="119" s="1"/>
  <c r="V36" i="119"/>
  <c r="Y36" i="119" s="1"/>
  <c r="W35" i="119"/>
  <c r="Z35" i="119" s="1"/>
  <c r="V35" i="119"/>
  <c r="Y35" i="119" s="1"/>
  <c r="W34" i="119"/>
  <c r="Z34" i="119" s="1"/>
  <c r="V34" i="119"/>
  <c r="Y34" i="119" s="1"/>
  <c r="W33" i="119"/>
  <c r="Z33" i="119" s="1"/>
  <c r="V33" i="119"/>
  <c r="Y33" i="119" s="1"/>
  <c r="W32" i="119"/>
  <c r="Z32" i="119" s="1"/>
  <c r="V32" i="119"/>
  <c r="Y32" i="119" s="1"/>
  <c r="W31" i="119"/>
  <c r="Z31" i="119" s="1"/>
  <c r="V31" i="119"/>
  <c r="Y31" i="119" s="1"/>
  <c r="W30" i="119"/>
  <c r="Z30" i="119" s="1"/>
  <c r="V30" i="119"/>
  <c r="Y30" i="119" s="1"/>
  <c r="W29" i="119"/>
  <c r="Z29" i="119" s="1"/>
  <c r="V29" i="119"/>
  <c r="Y29" i="119" s="1"/>
  <c r="W28" i="119"/>
  <c r="Z28" i="119" s="1"/>
  <c r="V28" i="119"/>
  <c r="Y28" i="119" s="1"/>
  <c r="W27" i="119"/>
  <c r="Z27" i="119" s="1"/>
  <c r="V27" i="119"/>
  <c r="Y27" i="119" s="1"/>
  <c r="W26" i="119"/>
  <c r="Z26" i="119" s="1"/>
  <c r="V26" i="119"/>
  <c r="Y26" i="119" s="1"/>
  <c r="W25" i="119"/>
  <c r="Z25" i="119" s="1"/>
  <c r="V25" i="119"/>
  <c r="Y25" i="119" s="1"/>
  <c r="W24" i="119"/>
  <c r="Z24" i="119" s="1"/>
  <c r="V24" i="119"/>
  <c r="Y24" i="119" s="1"/>
  <c r="W23" i="119"/>
  <c r="Z23" i="119" s="1"/>
  <c r="V23" i="119"/>
  <c r="Y23" i="119" s="1"/>
  <c r="W22" i="119"/>
  <c r="Z22" i="119" s="1"/>
  <c r="V22" i="119"/>
  <c r="Y22" i="119" s="1"/>
  <c r="AB97" i="119"/>
  <c r="AB96" i="119"/>
  <c r="AB95" i="119"/>
  <c r="AB94" i="119"/>
  <c r="AB93" i="119"/>
  <c r="AB92" i="119"/>
  <c r="AB91" i="119"/>
  <c r="AB90" i="119"/>
  <c r="AB89" i="119"/>
  <c r="AB88" i="119"/>
  <c r="AB87" i="119"/>
  <c r="AB86" i="119"/>
  <c r="AB85" i="119"/>
  <c r="AB84" i="119"/>
  <c r="AB83" i="119"/>
  <c r="AB82" i="119"/>
  <c r="AB81" i="119"/>
  <c r="AB80" i="119"/>
  <c r="AB79" i="119"/>
  <c r="AB78" i="119"/>
  <c r="X74" i="119"/>
  <c r="X73" i="119"/>
  <c r="X72" i="119"/>
  <c r="X71" i="119"/>
  <c r="X70" i="119"/>
  <c r="X68" i="119"/>
  <c r="X67" i="119"/>
  <c r="X66" i="119"/>
  <c r="X65" i="119"/>
  <c r="X64" i="119"/>
  <c r="X62" i="119"/>
  <c r="X61" i="119"/>
  <c r="X60" i="119"/>
  <c r="X59" i="119"/>
  <c r="X58" i="119"/>
  <c r="X57" i="119"/>
  <c r="X56" i="119"/>
  <c r="X55" i="119"/>
  <c r="X54" i="119"/>
  <c r="X53" i="119"/>
  <c r="X52" i="119"/>
  <c r="X51" i="119"/>
  <c r="X50" i="119"/>
  <c r="X49" i="119"/>
  <c r="X48" i="119"/>
  <c r="X47" i="119"/>
  <c r="X46" i="119"/>
  <c r="X45" i="119"/>
  <c r="X44" i="119"/>
  <c r="X43" i="119"/>
  <c r="X41" i="119"/>
  <c r="X40" i="119"/>
  <c r="X39" i="119"/>
  <c r="X38" i="119"/>
  <c r="X37" i="119"/>
  <c r="X36" i="119"/>
  <c r="X35" i="119"/>
  <c r="X34" i="119"/>
  <c r="X33" i="119"/>
  <c r="X32" i="119"/>
  <c r="X31" i="119"/>
  <c r="X30" i="119"/>
  <c r="X29" i="119"/>
  <c r="X28" i="119"/>
  <c r="X27" i="119"/>
  <c r="X26" i="119"/>
  <c r="X25" i="119"/>
  <c r="X24" i="119"/>
  <c r="X23" i="119"/>
  <c r="X22" i="119"/>
  <c r="U12" i="119"/>
  <c r="V12" i="119"/>
  <c r="W12" i="119"/>
  <c r="X12" i="119"/>
  <c r="U13" i="119"/>
  <c r="V13" i="119"/>
  <c r="Y13" i="119" s="1"/>
  <c r="W13" i="119"/>
  <c r="Z13" i="119" s="1"/>
  <c r="X13" i="119"/>
  <c r="J14" i="119"/>
  <c r="U14" i="119"/>
  <c r="V14" i="119"/>
  <c r="Y14" i="119" s="1"/>
  <c r="W14" i="119"/>
  <c r="Z14" i="119" s="1"/>
  <c r="X14" i="119"/>
  <c r="U15" i="119"/>
  <c r="V15" i="119"/>
  <c r="Y15" i="119" s="1"/>
  <c r="W15" i="119"/>
  <c r="Z15" i="119" s="1"/>
  <c r="X15" i="119"/>
  <c r="U16" i="119"/>
  <c r="V16" i="119"/>
  <c r="Y16" i="119" s="1"/>
  <c r="W16" i="119"/>
  <c r="Z16" i="119" s="1"/>
  <c r="X16" i="119"/>
  <c r="U17" i="119"/>
  <c r="V17" i="119"/>
  <c r="Y17" i="119" s="1"/>
  <c r="W17" i="119"/>
  <c r="Z17" i="119" s="1"/>
  <c r="X17" i="119"/>
  <c r="U18" i="119"/>
  <c r="V18" i="119"/>
  <c r="Y18" i="119" s="1"/>
  <c r="W18" i="119"/>
  <c r="Z18" i="119" s="1"/>
  <c r="X18" i="119"/>
  <c r="U19" i="119"/>
  <c r="V19" i="119"/>
  <c r="Y19" i="119" s="1"/>
  <c r="W19" i="119"/>
  <c r="Z19" i="119" s="1"/>
  <c r="X19" i="119"/>
  <c r="U20" i="119"/>
  <c r="V20" i="119"/>
  <c r="Y20" i="119" s="1"/>
  <c r="W20" i="119"/>
  <c r="Z20" i="119" s="1"/>
  <c r="X20" i="119"/>
  <c r="U21" i="119"/>
  <c r="V21" i="119"/>
  <c r="Y21" i="119" s="1"/>
  <c r="W21" i="119"/>
  <c r="Z21" i="119" s="1"/>
  <c r="X21" i="119"/>
  <c r="J46" i="119"/>
  <c r="D46" i="119"/>
  <c r="J57" i="119"/>
  <c r="D57" i="119"/>
  <c r="F57" i="119" s="1"/>
  <c r="J52" i="119"/>
  <c r="F52" i="119"/>
  <c r="D52" i="119"/>
  <c r="J22" i="119"/>
  <c r="J30" i="119"/>
  <c r="J38" i="119"/>
  <c r="D47" i="119"/>
  <c r="F47" i="119" s="1"/>
  <c r="D48" i="119"/>
  <c r="F48" i="119" s="1"/>
  <c r="D49" i="119"/>
  <c r="F49" i="119" s="1"/>
  <c r="D50" i="119"/>
  <c r="F50" i="119" s="1"/>
  <c r="D53" i="119"/>
  <c r="F53" i="119"/>
  <c r="D54" i="119"/>
  <c r="F54" i="119"/>
  <c r="D55" i="119"/>
  <c r="F55" i="119"/>
  <c r="D56" i="119"/>
  <c r="F56" i="119"/>
  <c r="D58" i="119"/>
  <c r="F58" i="119" s="1"/>
  <c r="G58" i="119" s="1"/>
  <c r="L58" i="119" s="1"/>
  <c r="F60" i="119"/>
  <c r="G60" i="119" s="1"/>
  <c r="L60" i="119" s="1"/>
  <c r="T78" i="119"/>
  <c r="T98" i="119" s="1"/>
  <c r="G86" i="119" s="1"/>
  <c r="H81" i="119" s="1"/>
  <c r="Y78" i="119"/>
  <c r="Y98" i="119" s="1"/>
  <c r="J20" i="118"/>
  <c r="AA97" i="118"/>
  <c r="AA96" i="118"/>
  <c r="AA95" i="118"/>
  <c r="AA94" i="118"/>
  <c r="AA93" i="118"/>
  <c r="AA92" i="118"/>
  <c r="AA91" i="118"/>
  <c r="AA90" i="118"/>
  <c r="AA89" i="118"/>
  <c r="AA88" i="118"/>
  <c r="AA87" i="118"/>
  <c r="AA86" i="118"/>
  <c r="AA85" i="118"/>
  <c r="AA84" i="118"/>
  <c r="AA83" i="118"/>
  <c r="AA82" i="118"/>
  <c r="AA81" i="118"/>
  <c r="AA80" i="118"/>
  <c r="AA79" i="118"/>
  <c r="AA78" i="118"/>
  <c r="U74" i="118"/>
  <c r="U73" i="118"/>
  <c r="U72" i="118"/>
  <c r="U71" i="118"/>
  <c r="U70" i="118"/>
  <c r="U68" i="118"/>
  <c r="U67" i="118"/>
  <c r="U66" i="118"/>
  <c r="U65" i="118"/>
  <c r="U64" i="118"/>
  <c r="U62" i="118"/>
  <c r="U61" i="118"/>
  <c r="U60" i="118"/>
  <c r="U59" i="118"/>
  <c r="U58" i="118"/>
  <c r="U57" i="118"/>
  <c r="U56" i="118"/>
  <c r="U55" i="118"/>
  <c r="U54" i="118"/>
  <c r="U53" i="118"/>
  <c r="U52" i="118"/>
  <c r="U51" i="118"/>
  <c r="U50" i="118"/>
  <c r="U49" i="118"/>
  <c r="U48" i="118"/>
  <c r="U47" i="118"/>
  <c r="U46" i="118"/>
  <c r="U45" i="118"/>
  <c r="U44" i="118"/>
  <c r="U43" i="118"/>
  <c r="U41" i="118"/>
  <c r="U40" i="118"/>
  <c r="U39" i="118"/>
  <c r="U38" i="118"/>
  <c r="U37" i="118"/>
  <c r="U36" i="118"/>
  <c r="U35" i="118"/>
  <c r="U34" i="118"/>
  <c r="U33" i="118"/>
  <c r="U32" i="118"/>
  <c r="U31" i="118"/>
  <c r="U30" i="118"/>
  <c r="U29" i="118"/>
  <c r="U28" i="118"/>
  <c r="U27" i="118"/>
  <c r="U26" i="118"/>
  <c r="U25" i="118"/>
  <c r="U24" i="118"/>
  <c r="U23" i="118"/>
  <c r="U22" i="118"/>
  <c r="W74" i="118"/>
  <c r="Z74" i="118" s="1"/>
  <c r="V74" i="118"/>
  <c r="Y74" i="118" s="1"/>
  <c r="W73" i="118"/>
  <c r="Z73" i="118" s="1"/>
  <c r="V73" i="118"/>
  <c r="Y73" i="118" s="1"/>
  <c r="W72" i="118"/>
  <c r="Z72" i="118" s="1"/>
  <c r="V72" i="118"/>
  <c r="Y72" i="118" s="1"/>
  <c r="W71" i="118"/>
  <c r="Z71" i="118" s="1"/>
  <c r="V71" i="118"/>
  <c r="Y71" i="118" s="1"/>
  <c r="W70" i="118"/>
  <c r="V70" i="118"/>
  <c r="W68" i="118"/>
  <c r="Z68" i="118" s="1"/>
  <c r="V68" i="118"/>
  <c r="Y68" i="118" s="1"/>
  <c r="W67" i="118"/>
  <c r="Z67" i="118" s="1"/>
  <c r="V67" i="118"/>
  <c r="Y67" i="118" s="1"/>
  <c r="W66" i="118"/>
  <c r="Z66" i="118" s="1"/>
  <c r="V66" i="118"/>
  <c r="Y66" i="118" s="1"/>
  <c r="W65" i="118"/>
  <c r="Z65" i="118" s="1"/>
  <c r="V65" i="118"/>
  <c r="Y65" i="118" s="1"/>
  <c r="W64" i="118"/>
  <c r="V64" i="118"/>
  <c r="W62" i="118"/>
  <c r="Z62" i="118" s="1"/>
  <c r="V62" i="118"/>
  <c r="Y62" i="118" s="1"/>
  <c r="W61" i="118"/>
  <c r="Z61" i="118" s="1"/>
  <c r="V61" i="118"/>
  <c r="Y61" i="118" s="1"/>
  <c r="W60" i="118"/>
  <c r="Z60" i="118" s="1"/>
  <c r="V60" i="118"/>
  <c r="Y60" i="118" s="1"/>
  <c r="W59" i="118"/>
  <c r="Z59" i="118" s="1"/>
  <c r="V59" i="118"/>
  <c r="Y59" i="118" s="1"/>
  <c r="W58" i="118"/>
  <c r="Z58" i="118" s="1"/>
  <c r="V58" i="118"/>
  <c r="Y58" i="118" s="1"/>
  <c r="W57" i="118"/>
  <c r="Z57" i="118" s="1"/>
  <c r="V57" i="118"/>
  <c r="Y57" i="118" s="1"/>
  <c r="W56" i="118"/>
  <c r="Z56" i="118" s="1"/>
  <c r="V56" i="118"/>
  <c r="Y56" i="118" s="1"/>
  <c r="W55" i="118"/>
  <c r="Z55" i="118" s="1"/>
  <c r="V55" i="118"/>
  <c r="Y55" i="118" s="1"/>
  <c r="W54" i="118"/>
  <c r="Z54" i="118" s="1"/>
  <c r="V54" i="118"/>
  <c r="Y54" i="118" s="1"/>
  <c r="W53" i="118"/>
  <c r="Z53" i="118" s="1"/>
  <c r="V53" i="118"/>
  <c r="Y53" i="118" s="1"/>
  <c r="W52" i="118"/>
  <c r="Z52" i="118" s="1"/>
  <c r="V52" i="118"/>
  <c r="Y52" i="118" s="1"/>
  <c r="W51" i="118"/>
  <c r="Z51" i="118" s="1"/>
  <c r="V51" i="118"/>
  <c r="Y51" i="118" s="1"/>
  <c r="W50" i="118"/>
  <c r="Z50" i="118" s="1"/>
  <c r="V50" i="118"/>
  <c r="Y50" i="118" s="1"/>
  <c r="W49" i="118"/>
  <c r="Z49" i="118" s="1"/>
  <c r="V49" i="118"/>
  <c r="Y49" i="118" s="1"/>
  <c r="W48" i="118"/>
  <c r="Z48" i="118" s="1"/>
  <c r="V48" i="118"/>
  <c r="Y48" i="118" s="1"/>
  <c r="W47" i="118"/>
  <c r="Z47" i="118" s="1"/>
  <c r="V47" i="118"/>
  <c r="Y47" i="118" s="1"/>
  <c r="W46" i="118"/>
  <c r="Z46" i="118" s="1"/>
  <c r="V46" i="118"/>
  <c r="Y46" i="118" s="1"/>
  <c r="W45" i="118"/>
  <c r="Z45" i="118" s="1"/>
  <c r="V45" i="118"/>
  <c r="Y45" i="118" s="1"/>
  <c r="W44" i="118"/>
  <c r="Z44" i="118" s="1"/>
  <c r="V44" i="118"/>
  <c r="Y44" i="118" s="1"/>
  <c r="W43" i="118"/>
  <c r="V43" i="118"/>
  <c r="W41" i="118"/>
  <c r="Z41" i="118" s="1"/>
  <c r="V41" i="118"/>
  <c r="Y41" i="118" s="1"/>
  <c r="W40" i="118"/>
  <c r="Z40" i="118" s="1"/>
  <c r="V40" i="118"/>
  <c r="Y40" i="118" s="1"/>
  <c r="W39" i="118"/>
  <c r="Z39" i="118" s="1"/>
  <c r="V39" i="118"/>
  <c r="Y39" i="118" s="1"/>
  <c r="W38" i="118"/>
  <c r="Z38" i="118" s="1"/>
  <c r="V38" i="118"/>
  <c r="Y38" i="118" s="1"/>
  <c r="W37" i="118"/>
  <c r="Z37" i="118" s="1"/>
  <c r="V37" i="118"/>
  <c r="Y37" i="118" s="1"/>
  <c r="W36" i="118"/>
  <c r="Z36" i="118" s="1"/>
  <c r="V36" i="118"/>
  <c r="Y36" i="118" s="1"/>
  <c r="W35" i="118"/>
  <c r="Z35" i="118" s="1"/>
  <c r="V35" i="118"/>
  <c r="Y35" i="118" s="1"/>
  <c r="W34" i="118"/>
  <c r="Z34" i="118" s="1"/>
  <c r="V34" i="118"/>
  <c r="Y34" i="118" s="1"/>
  <c r="W33" i="118"/>
  <c r="Z33" i="118" s="1"/>
  <c r="V33" i="118"/>
  <c r="Y33" i="118" s="1"/>
  <c r="W32" i="118"/>
  <c r="Z32" i="118" s="1"/>
  <c r="V32" i="118"/>
  <c r="Y32" i="118" s="1"/>
  <c r="W31" i="118"/>
  <c r="Z31" i="118" s="1"/>
  <c r="V31" i="118"/>
  <c r="Y31" i="118" s="1"/>
  <c r="W30" i="118"/>
  <c r="Z30" i="118" s="1"/>
  <c r="V30" i="118"/>
  <c r="Y30" i="118" s="1"/>
  <c r="W29" i="118"/>
  <c r="Z29" i="118" s="1"/>
  <c r="V29" i="118"/>
  <c r="Y29" i="118" s="1"/>
  <c r="W28" i="118"/>
  <c r="Z28" i="118" s="1"/>
  <c r="V28" i="118"/>
  <c r="Y28" i="118" s="1"/>
  <c r="W27" i="118"/>
  <c r="Z27" i="118" s="1"/>
  <c r="V27" i="118"/>
  <c r="Y27" i="118" s="1"/>
  <c r="W26" i="118"/>
  <c r="Z26" i="118" s="1"/>
  <c r="V26" i="118"/>
  <c r="Y26" i="118" s="1"/>
  <c r="W25" i="118"/>
  <c r="Z25" i="118" s="1"/>
  <c r="V25" i="118"/>
  <c r="Y25" i="118" s="1"/>
  <c r="W24" i="118"/>
  <c r="Z24" i="118" s="1"/>
  <c r="V24" i="118"/>
  <c r="Y24" i="118" s="1"/>
  <c r="W23" i="118"/>
  <c r="Z23" i="118" s="1"/>
  <c r="V23" i="118"/>
  <c r="Y23" i="118" s="1"/>
  <c r="W22" i="118"/>
  <c r="Z22" i="118" s="1"/>
  <c r="V22" i="118"/>
  <c r="Y22" i="118" s="1"/>
  <c r="AB97" i="118"/>
  <c r="AB96" i="118"/>
  <c r="AB95" i="118"/>
  <c r="AB94" i="118"/>
  <c r="AB93" i="118"/>
  <c r="AB92" i="118"/>
  <c r="AB91" i="118"/>
  <c r="AB90" i="118"/>
  <c r="AB89" i="118"/>
  <c r="AB88" i="118"/>
  <c r="AB87" i="118"/>
  <c r="AB86" i="118"/>
  <c r="AB85" i="118"/>
  <c r="AB84" i="118"/>
  <c r="AB83" i="118"/>
  <c r="AB82" i="118"/>
  <c r="AB81" i="118"/>
  <c r="AB80" i="118"/>
  <c r="AB79" i="118"/>
  <c r="AB78" i="118"/>
  <c r="X74" i="118"/>
  <c r="X73" i="118"/>
  <c r="X72" i="118"/>
  <c r="X71" i="118"/>
  <c r="X70" i="118"/>
  <c r="X68" i="118"/>
  <c r="X67" i="118"/>
  <c r="X66" i="118"/>
  <c r="X65" i="118"/>
  <c r="X64" i="118"/>
  <c r="X62" i="118"/>
  <c r="X61" i="118"/>
  <c r="X60" i="118"/>
  <c r="X59" i="118"/>
  <c r="X58" i="118"/>
  <c r="X57" i="118"/>
  <c r="X56" i="118"/>
  <c r="X55" i="118"/>
  <c r="X54" i="118"/>
  <c r="X53" i="118"/>
  <c r="X52" i="118"/>
  <c r="X51" i="118"/>
  <c r="X50" i="118"/>
  <c r="X49" i="118"/>
  <c r="X48" i="118"/>
  <c r="X47" i="118"/>
  <c r="X46" i="118"/>
  <c r="X45" i="118"/>
  <c r="X44" i="118"/>
  <c r="X43" i="118"/>
  <c r="X41" i="118"/>
  <c r="X40" i="118"/>
  <c r="X39" i="118"/>
  <c r="X38" i="118"/>
  <c r="X37" i="118"/>
  <c r="X36" i="118"/>
  <c r="X35" i="118"/>
  <c r="X34" i="118"/>
  <c r="X33" i="118"/>
  <c r="X32" i="118"/>
  <c r="X31" i="118"/>
  <c r="X30" i="118"/>
  <c r="X29" i="118"/>
  <c r="X28" i="118"/>
  <c r="X27" i="118"/>
  <c r="X26" i="118"/>
  <c r="X25" i="118"/>
  <c r="X24" i="118"/>
  <c r="X23" i="118"/>
  <c r="X22" i="118"/>
  <c r="U12" i="118"/>
  <c r="V12" i="118"/>
  <c r="W12" i="118"/>
  <c r="X12" i="118"/>
  <c r="U13" i="118"/>
  <c r="V13" i="118"/>
  <c r="Y13" i="118" s="1"/>
  <c r="W13" i="118"/>
  <c r="Z13" i="118" s="1"/>
  <c r="X13" i="118"/>
  <c r="J14" i="118"/>
  <c r="U14" i="118"/>
  <c r="V14" i="118"/>
  <c r="Y14" i="118" s="1"/>
  <c r="W14" i="118"/>
  <c r="Z14" i="118" s="1"/>
  <c r="X14" i="118"/>
  <c r="U15" i="118"/>
  <c r="V15" i="118"/>
  <c r="Y15" i="118" s="1"/>
  <c r="W15" i="118"/>
  <c r="Z15" i="118" s="1"/>
  <c r="X15" i="118"/>
  <c r="U16" i="118"/>
  <c r="V16" i="118"/>
  <c r="Y16" i="118" s="1"/>
  <c r="W16" i="118"/>
  <c r="Z16" i="118" s="1"/>
  <c r="X16" i="118"/>
  <c r="U17" i="118"/>
  <c r="V17" i="118"/>
  <c r="Y17" i="118" s="1"/>
  <c r="W17" i="118"/>
  <c r="Z17" i="118" s="1"/>
  <c r="X17" i="118"/>
  <c r="U18" i="118"/>
  <c r="V18" i="118"/>
  <c r="Y18" i="118" s="1"/>
  <c r="W18" i="118"/>
  <c r="Z18" i="118" s="1"/>
  <c r="X18" i="118"/>
  <c r="U19" i="118"/>
  <c r="V19" i="118"/>
  <c r="Y19" i="118" s="1"/>
  <c r="W19" i="118"/>
  <c r="Z19" i="118" s="1"/>
  <c r="X19" i="118"/>
  <c r="U20" i="118"/>
  <c r="V20" i="118"/>
  <c r="Y20" i="118" s="1"/>
  <c r="W20" i="118"/>
  <c r="Z20" i="118" s="1"/>
  <c r="X20" i="118"/>
  <c r="U21" i="118"/>
  <c r="V21" i="118"/>
  <c r="Y21" i="118" s="1"/>
  <c r="W21" i="118"/>
  <c r="Z21" i="118" s="1"/>
  <c r="X21" i="118"/>
  <c r="J46" i="118"/>
  <c r="D46" i="118"/>
  <c r="J57" i="118"/>
  <c r="D57" i="118"/>
  <c r="F57" i="118" s="1"/>
  <c r="J52" i="118"/>
  <c r="F52" i="118"/>
  <c r="D52" i="118"/>
  <c r="J22" i="118"/>
  <c r="J30" i="118"/>
  <c r="J38" i="118"/>
  <c r="D47" i="118"/>
  <c r="F47" i="118" s="1"/>
  <c r="D48" i="118"/>
  <c r="F48" i="118" s="1"/>
  <c r="D49" i="118"/>
  <c r="F49" i="118" s="1"/>
  <c r="D50" i="118"/>
  <c r="F50" i="118" s="1"/>
  <c r="D53" i="118"/>
  <c r="F53" i="118"/>
  <c r="D54" i="118"/>
  <c r="F54" i="118"/>
  <c r="G54" i="118"/>
  <c r="D55" i="118"/>
  <c r="F55" i="118"/>
  <c r="G55" i="118" s="1"/>
  <c r="D56" i="118"/>
  <c r="F56" i="118"/>
  <c r="D58" i="118"/>
  <c r="F58" i="118" s="1"/>
  <c r="F60" i="118"/>
  <c r="G60" i="118" s="1"/>
  <c r="L60" i="118" s="1"/>
  <c r="T78" i="118"/>
  <c r="T98" i="118" s="1"/>
  <c r="G86" i="118" s="1"/>
  <c r="H81" i="118" s="1"/>
  <c r="Y78" i="118"/>
  <c r="Y98" i="118" s="1"/>
  <c r="J20" i="117"/>
  <c r="AA97" i="117"/>
  <c r="AA96" i="117"/>
  <c r="AA95" i="117"/>
  <c r="AA94" i="117"/>
  <c r="AA93" i="117"/>
  <c r="AA92" i="117"/>
  <c r="AA91" i="117"/>
  <c r="AA90" i="117"/>
  <c r="AA89" i="117"/>
  <c r="AA88" i="117"/>
  <c r="AA87" i="117"/>
  <c r="AA86" i="117"/>
  <c r="AA85" i="117"/>
  <c r="AA84" i="117"/>
  <c r="AA83" i="117"/>
  <c r="AA82" i="117"/>
  <c r="AA81" i="117"/>
  <c r="AA80" i="117"/>
  <c r="AA79" i="117"/>
  <c r="AA78" i="117"/>
  <c r="U74" i="117"/>
  <c r="U73" i="117"/>
  <c r="U72" i="117"/>
  <c r="U71" i="117"/>
  <c r="U70" i="117"/>
  <c r="U68" i="117"/>
  <c r="U67" i="117"/>
  <c r="U66" i="117"/>
  <c r="U65" i="117"/>
  <c r="U64" i="117"/>
  <c r="U62" i="117"/>
  <c r="U61" i="117"/>
  <c r="U60" i="117"/>
  <c r="U59" i="117"/>
  <c r="U58" i="117"/>
  <c r="U57" i="117"/>
  <c r="U56" i="117"/>
  <c r="U55" i="117"/>
  <c r="U54" i="117"/>
  <c r="U53" i="117"/>
  <c r="U52" i="117"/>
  <c r="U51" i="117"/>
  <c r="U50" i="117"/>
  <c r="U49" i="117"/>
  <c r="U48" i="117"/>
  <c r="U47" i="117"/>
  <c r="U46" i="117"/>
  <c r="U45" i="117"/>
  <c r="U44" i="117"/>
  <c r="U43" i="117"/>
  <c r="U41" i="117"/>
  <c r="U40" i="117"/>
  <c r="U39" i="117"/>
  <c r="U38" i="117"/>
  <c r="U37" i="117"/>
  <c r="U36" i="117"/>
  <c r="U35" i="117"/>
  <c r="U34" i="117"/>
  <c r="U33" i="117"/>
  <c r="U32" i="117"/>
  <c r="U31" i="117"/>
  <c r="U30" i="117"/>
  <c r="U29" i="117"/>
  <c r="U28" i="117"/>
  <c r="U27" i="117"/>
  <c r="U26" i="117"/>
  <c r="U25" i="117"/>
  <c r="U24" i="117"/>
  <c r="U23" i="117"/>
  <c r="U22" i="117"/>
  <c r="W74" i="117"/>
  <c r="Z74" i="117" s="1"/>
  <c r="V74" i="117"/>
  <c r="Y74" i="117" s="1"/>
  <c r="W73" i="117"/>
  <c r="Z73" i="117" s="1"/>
  <c r="V73" i="117"/>
  <c r="Y73" i="117" s="1"/>
  <c r="W72" i="117"/>
  <c r="Z72" i="117" s="1"/>
  <c r="V72" i="117"/>
  <c r="Y72" i="117" s="1"/>
  <c r="W71" i="117"/>
  <c r="Z71" i="117" s="1"/>
  <c r="V71" i="117"/>
  <c r="Y71" i="117" s="1"/>
  <c r="W70" i="117"/>
  <c r="V70" i="117"/>
  <c r="W68" i="117"/>
  <c r="Z68" i="117" s="1"/>
  <c r="V68" i="117"/>
  <c r="Y68" i="117" s="1"/>
  <c r="W67" i="117"/>
  <c r="Z67" i="117" s="1"/>
  <c r="V67" i="117"/>
  <c r="Y67" i="117" s="1"/>
  <c r="W66" i="117"/>
  <c r="Z66" i="117" s="1"/>
  <c r="V66" i="117"/>
  <c r="Y66" i="117" s="1"/>
  <c r="W65" i="117"/>
  <c r="Z65" i="117" s="1"/>
  <c r="V65" i="117"/>
  <c r="Y65" i="117" s="1"/>
  <c r="W64" i="117"/>
  <c r="V64" i="117"/>
  <c r="W62" i="117"/>
  <c r="Z62" i="117" s="1"/>
  <c r="V62" i="117"/>
  <c r="Y62" i="117" s="1"/>
  <c r="W61" i="117"/>
  <c r="Z61" i="117" s="1"/>
  <c r="V61" i="117"/>
  <c r="Y61" i="117" s="1"/>
  <c r="W60" i="117"/>
  <c r="Z60" i="117" s="1"/>
  <c r="V60" i="117"/>
  <c r="Y60" i="117" s="1"/>
  <c r="W59" i="117"/>
  <c r="Z59" i="117" s="1"/>
  <c r="V59" i="117"/>
  <c r="Y59" i="117" s="1"/>
  <c r="W58" i="117"/>
  <c r="Z58" i="117" s="1"/>
  <c r="V58" i="117"/>
  <c r="Y58" i="117" s="1"/>
  <c r="W57" i="117"/>
  <c r="Z57" i="117" s="1"/>
  <c r="V57" i="117"/>
  <c r="Y57" i="117" s="1"/>
  <c r="W56" i="117"/>
  <c r="Z56" i="117" s="1"/>
  <c r="V56" i="117"/>
  <c r="Y56" i="117" s="1"/>
  <c r="W55" i="117"/>
  <c r="Z55" i="117" s="1"/>
  <c r="V55" i="117"/>
  <c r="Y55" i="117" s="1"/>
  <c r="W54" i="117"/>
  <c r="Z54" i="117" s="1"/>
  <c r="V54" i="117"/>
  <c r="Y54" i="117" s="1"/>
  <c r="W53" i="117"/>
  <c r="Z53" i="117" s="1"/>
  <c r="V53" i="117"/>
  <c r="Y53" i="117" s="1"/>
  <c r="W52" i="117"/>
  <c r="Z52" i="117" s="1"/>
  <c r="V52" i="117"/>
  <c r="Y52" i="117" s="1"/>
  <c r="W51" i="117"/>
  <c r="Z51" i="117" s="1"/>
  <c r="V51" i="117"/>
  <c r="Y51" i="117" s="1"/>
  <c r="W50" i="117"/>
  <c r="Z50" i="117" s="1"/>
  <c r="V50" i="117"/>
  <c r="Y50" i="117" s="1"/>
  <c r="W49" i="117"/>
  <c r="Z49" i="117" s="1"/>
  <c r="V49" i="117"/>
  <c r="Y49" i="117" s="1"/>
  <c r="W48" i="117"/>
  <c r="Z48" i="117" s="1"/>
  <c r="V48" i="117"/>
  <c r="Y48" i="117" s="1"/>
  <c r="W47" i="117"/>
  <c r="Z47" i="117" s="1"/>
  <c r="V47" i="117"/>
  <c r="Y47" i="117" s="1"/>
  <c r="W46" i="117"/>
  <c r="Z46" i="117" s="1"/>
  <c r="V46" i="117"/>
  <c r="Y46" i="117" s="1"/>
  <c r="W45" i="117"/>
  <c r="Z45" i="117" s="1"/>
  <c r="V45" i="117"/>
  <c r="Y45" i="117" s="1"/>
  <c r="W44" i="117"/>
  <c r="Z44" i="117" s="1"/>
  <c r="V44" i="117"/>
  <c r="Y44" i="117" s="1"/>
  <c r="W43" i="117"/>
  <c r="V43" i="117"/>
  <c r="W41" i="117"/>
  <c r="Z41" i="117" s="1"/>
  <c r="V41" i="117"/>
  <c r="Y41" i="117" s="1"/>
  <c r="W40" i="117"/>
  <c r="Z40" i="117" s="1"/>
  <c r="V40" i="117"/>
  <c r="Y40" i="117" s="1"/>
  <c r="W39" i="117"/>
  <c r="Z39" i="117" s="1"/>
  <c r="V39" i="117"/>
  <c r="Y39" i="117" s="1"/>
  <c r="W38" i="117"/>
  <c r="Z38" i="117" s="1"/>
  <c r="V38" i="117"/>
  <c r="Y38" i="117" s="1"/>
  <c r="W37" i="117"/>
  <c r="Z37" i="117" s="1"/>
  <c r="V37" i="117"/>
  <c r="Y37" i="117" s="1"/>
  <c r="W36" i="117"/>
  <c r="Z36" i="117" s="1"/>
  <c r="V36" i="117"/>
  <c r="Y36" i="117" s="1"/>
  <c r="W35" i="117"/>
  <c r="Z35" i="117" s="1"/>
  <c r="V35" i="117"/>
  <c r="Y35" i="117" s="1"/>
  <c r="W34" i="117"/>
  <c r="Z34" i="117" s="1"/>
  <c r="V34" i="117"/>
  <c r="Y34" i="117" s="1"/>
  <c r="W33" i="117"/>
  <c r="Z33" i="117" s="1"/>
  <c r="V33" i="117"/>
  <c r="Y33" i="117" s="1"/>
  <c r="W32" i="117"/>
  <c r="Z32" i="117" s="1"/>
  <c r="V32" i="117"/>
  <c r="Y32" i="117" s="1"/>
  <c r="W31" i="117"/>
  <c r="Z31" i="117" s="1"/>
  <c r="V31" i="117"/>
  <c r="Y31" i="117" s="1"/>
  <c r="W30" i="117"/>
  <c r="Z30" i="117" s="1"/>
  <c r="V30" i="117"/>
  <c r="Y30" i="117" s="1"/>
  <c r="W29" i="117"/>
  <c r="Z29" i="117" s="1"/>
  <c r="V29" i="117"/>
  <c r="Y29" i="117" s="1"/>
  <c r="W28" i="117"/>
  <c r="Z28" i="117" s="1"/>
  <c r="V28" i="117"/>
  <c r="Y28" i="117" s="1"/>
  <c r="W27" i="117"/>
  <c r="Z27" i="117" s="1"/>
  <c r="V27" i="117"/>
  <c r="Y27" i="117" s="1"/>
  <c r="W26" i="117"/>
  <c r="Z26" i="117" s="1"/>
  <c r="V26" i="117"/>
  <c r="Y26" i="117" s="1"/>
  <c r="W25" i="117"/>
  <c r="Z25" i="117" s="1"/>
  <c r="V25" i="117"/>
  <c r="Y25" i="117" s="1"/>
  <c r="W24" i="117"/>
  <c r="Z24" i="117" s="1"/>
  <c r="V24" i="117"/>
  <c r="Y24" i="117" s="1"/>
  <c r="W23" i="117"/>
  <c r="Z23" i="117" s="1"/>
  <c r="V23" i="117"/>
  <c r="Y23" i="117" s="1"/>
  <c r="W22" i="117"/>
  <c r="Z22" i="117" s="1"/>
  <c r="V22" i="117"/>
  <c r="Y22" i="117" s="1"/>
  <c r="AB97" i="117"/>
  <c r="AB96" i="117"/>
  <c r="AB95" i="117"/>
  <c r="AB94" i="117"/>
  <c r="AB93" i="117"/>
  <c r="AB92" i="117"/>
  <c r="AB91" i="117"/>
  <c r="AB90" i="117"/>
  <c r="AB89" i="117"/>
  <c r="AB88" i="117"/>
  <c r="AB87" i="117"/>
  <c r="AB86" i="117"/>
  <c r="AB85" i="117"/>
  <c r="AB84" i="117"/>
  <c r="AB83" i="117"/>
  <c r="AB82" i="117"/>
  <c r="AB81" i="117"/>
  <c r="AB80" i="117"/>
  <c r="AB79" i="117"/>
  <c r="AB78" i="117"/>
  <c r="X74" i="117"/>
  <c r="X73" i="117"/>
  <c r="X72" i="117"/>
  <c r="X71" i="117"/>
  <c r="X70" i="117"/>
  <c r="X68" i="117"/>
  <c r="X67" i="117"/>
  <c r="X66" i="117"/>
  <c r="X65" i="117"/>
  <c r="X64" i="117"/>
  <c r="X62" i="117"/>
  <c r="X61" i="117"/>
  <c r="X60" i="117"/>
  <c r="X59" i="117"/>
  <c r="X58" i="117"/>
  <c r="X57" i="117"/>
  <c r="X56" i="117"/>
  <c r="X55" i="117"/>
  <c r="X54" i="117"/>
  <c r="X53" i="117"/>
  <c r="X52" i="117"/>
  <c r="X51" i="117"/>
  <c r="X50" i="117"/>
  <c r="X49" i="117"/>
  <c r="X48" i="117"/>
  <c r="X47" i="117"/>
  <c r="X46" i="117"/>
  <c r="X45" i="117"/>
  <c r="X44" i="117"/>
  <c r="X43" i="117"/>
  <c r="X41" i="117"/>
  <c r="X40" i="117"/>
  <c r="X39" i="117"/>
  <c r="X38" i="117"/>
  <c r="X37" i="117"/>
  <c r="X36" i="117"/>
  <c r="X35" i="117"/>
  <c r="X34" i="117"/>
  <c r="X33" i="117"/>
  <c r="X32" i="117"/>
  <c r="X31" i="117"/>
  <c r="X30" i="117"/>
  <c r="X29" i="117"/>
  <c r="X28" i="117"/>
  <c r="X27" i="117"/>
  <c r="X26" i="117"/>
  <c r="X25" i="117"/>
  <c r="X24" i="117"/>
  <c r="X23" i="117"/>
  <c r="X22" i="117"/>
  <c r="U12" i="117"/>
  <c r="V12" i="117"/>
  <c r="W12" i="117"/>
  <c r="X12" i="117"/>
  <c r="U13" i="117"/>
  <c r="V13" i="117"/>
  <c r="Y13" i="117" s="1"/>
  <c r="W13" i="117"/>
  <c r="Z13" i="117" s="1"/>
  <c r="X13" i="117"/>
  <c r="J14" i="117"/>
  <c r="U14" i="117"/>
  <c r="V14" i="117"/>
  <c r="Y14" i="117" s="1"/>
  <c r="W14" i="117"/>
  <c r="Z14" i="117" s="1"/>
  <c r="X14" i="117"/>
  <c r="U15" i="117"/>
  <c r="V15" i="117"/>
  <c r="Y15" i="117" s="1"/>
  <c r="W15" i="117"/>
  <c r="Z15" i="117" s="1"/>
  <c r="X15" i="117"/>
  <c r="U16" i="117"/>
  <c r="V16" i="117"/>
  <c r="Y16" i="117" s="1"/>
  <c r="W16" i="117"/>
  <c r="Z16" i="117" s="1"/>
  <c r="X16" i="117"/>
  <c r="U17" i="117"/>
  <c r="V17" i="117"/>
  <c r="Y17" i="117" s="1"/>
  <c r="W17" i="117"/>
  <c r="Z17" i="117" s="1"/>
  <c r="X17" i="117"/>
  <c r="U18" i="117"/>
  <c r="V18" i="117"/>
  <c r="Y18" i="117" s="1"/>
  <c r="W18" i="117"/>
  <c r="Z18" i="117" s="1"/>
  <c r="X18" i="117"/>
  <c r="U19" i="117"/>
  <c r="V19" i="117"/>
  <c r="Y19" i="117" s="1"/>
  <c r="W19" i="117"/>
  <c r="Z19" i="117" s="1"/>
  <c r="X19" i="117"/>
  <c r="U20" i="117"/>
  <c r="V20" i="117"/>
  <c r="Y20" i="117" s="1"/>
  <c r="W20" i="117"/>
  <c r="Z20" i="117" s="1"/>
  <c r="X20" i="117"/>
  <c r="U21" i="117"/>
  <c r="V21" i="117"/>
  <c r="Y21" i="117" s="1"/>
  <c r="W21" i="117"/>
  <c r="Z21" i="117" s="1"/>
  <c r="X21" i="117"/>
  <c r="J46" i="117"/>
  <c r="D46" i="117"/>
  <c r="J57" i="117"/>
  <c r="D57" i="117"/>
  <c r="F57" i="117" s="1"/>
  <c r="J52" i="117"/>
  <c r="J22" i="117"/>
  <c r="J30" i="117"/>
  <c r="J38" i="117"/>
  <c r="D47" i="117"/>
  <c r="F47" i="117" s="1"/>
  <c r="D48" i="117"/>
  <c r="F48" i="117" s="1"/>
  <c r="D49" i="117"/>
  <c r="F49" i="117" s="1"/>
  <c r="D53" i="117"/>
  <c r="D54" i="117"/>
  <c r="F54" i="117"/>
  <c r="D55" i="117"/>
  <c r="F55" i="117"/>
  <c r="D56" i="117"/>
  <c r="F56" i="117"/>
  <c r="D58" i="117"/>
  <c r="F58" i="117" s="1"/>
  <c r="F60" i="117"/>
  <c r="G60" i="117" s="1"/>
  <c r="L60" i="117" s="1"/>
  <c r="T78" i="117"/>
  <c r="T98" i="117" s="1"/>
  <c r="G86" i="117" s="1"/>
  <c r="H81" i="117" s="1"/>
  <c r="Y78" i="117"/>
  <c r="Y98" i="117" s="1"/>
  <c r="J20" i="116"/>
  <c r="AA97" i="116"/>
  <c r="AA96" i="116"/>
  <c r="AA95" i="116"/>
  <c r="AA94" i="116"/>
  <c r="AA93" i="116"/>
  <c r="AA92" i="116"/>
  <c r="AA91" i="116"/>
  <c r="AA90" i="116"/>
  <c r="AA89" i="116"/>
  <c r="AA88" i="116"/>
  <c r="AA87" i="116"/>
  <c r="AA86" i="116"/>
  <c r="AA85" i="116"/>
  <c r="AA84" i="116"/>
  <c r="AA83" i="116"/>
  <c r="AA82" i="116"/>
  <c r="AA81" i="116"/>
  <c r="AA80" i="116"/>
  <c r="AA79" i="116"/>
  <c r="AA78" i="116"/>
  <c r="U74" i="116"/>
  <c r="U73" i="116"/>
  <c r="U72" i="116"/>
  <c r="U71" i="116"/>
  <c r="U70" i="116"/>
  <c r="U68" i="116"/>
  <c r="U67" i="116"/>
  <c r="U66" i="116"/>
  <c r="U65" i="116"/>
  <c r="U64" i="116"/>
  <c r="U62" i="116"/>
  <c r="U61" i="116"/>
  <c r="U60" i="116"/>
  <c r="U59" i="116"/>
  <c r="U58" i="116"/>
  <c r="U57" i="116"/>
  <c r="U56" i="116"/>
  <c r="U55" i="116"/>
  <c r="U54" i="116"/>
  <c r="U53" i="116"/>
  <c r="U52" i="116"/>
  <c r="U51" i="116"/>
  <c r="U50" i="116"/>
  <c r="U49" i="116"/>
  <c r="U48" i="116"/>
  <c r="U47" i="116"/>
  <c r="U46" i="116"/>
  <c r="U45" i="116"/>
  <c r="U44" i="116"/>
  <c r="U43" i="116"/>
  <c r="U41" i="116"/>
  <c r="U40" i="116"/>
  <c r="U39" i="116"/>
  <c r="U38" i="116"/>
  <c r="U37" i="116"/>
  <c r="U36" i="116"/>
  <c r="U35" i="116"/>
  <c r="U34" i="116"/>
  <c r="U33" i="116"/>
  <c r="U32" i="116"/>
  <c r="U31" i="116"/>
  <c r="U30" i="116"/>
  <c r="U29" i="116"/>
  <c r="U28" i="116"/>
  <c r="U27" i="116"/>
  <c r="U26" i="116"/>
  <c r="U25" i="116"/>
  <c r="U24" i="116"/>
  <c r="U23" i="116"/>
  <c r="U22" i="116"/>
  <c r="W74" i="116"/>
  <c r="Z74" i="116" s="1"/>
  <c r="V74" i="116"/>
  <c r="Y74" i="116" s="1"/>
  <c r="W73" i="116"/>
  <c r="Z73" i="116" s="1"/>
  <c r="V73" i="116"/>
  <c r="Y73" i="116" s="1"/>
  <c r="W72" i="116"/>
  <c r="Z72" i="116" s="1"/>
  <c r="V72" i="116"/>
  <c r="Y72" i="116" s="1"/>
  <c r="W71" i="116"/>
  <c r="Z71" i="116" s="1"/>
  <c r="V71" i="116"/>
  <c r="Y71" i="116" s="1"/>
  <c r="W70" i="116"/>
  <c r="V70" i="116"/>
  <c r="W68" i="116"/>
  <c r="Z68" i="116" s="1"/>
  <c r="V68" i="116"/>
  <c r="Y68" i="116" s="1"/>
  <c r="W67" i="116"/>
  <c r="Z67" i="116" s="1"/>
  <c r="V67" i="116"/>
  <c r="Y67" i="116" s="1"/>
  <c r="W66" i="116"/>
  <c r="Z66" i="116" s="1"/>
  <c r="V66" i="116"/>
  <c r="Y66" i="116" s="1"/>
  <c r="W65" i="116"/>
  <c r="Z65" i="116" s="1"/>
  <c r="V65" i="116"/>
  <c r="Y65" i="116" s="1"/>
  <c r="W64" i="116"/>
  <c r="V64" i="116"/>
  <c r="W62" i="116"/>
  <c r="Z62" i="116" s="1"/>
  <c r="V62" i="116"/>
  <c r="Y62" i="116" s="1"/>
  <c r="W61" i="116"/>
  <c r="Z61" i="116" s="1"/>
  <c r="V61" i="116"/>
  <c r="Y61" i="116" s="1"/>
  <c r="W60" i="116"/>
  <c r="Z60" i="116" s="1"/>
  <c r="V60" i="116"/>
  <c r="Y60" i="116" s="1"/>
  <c r="W59" i="116"/>
  <c r="Z59" i="116" s="1"/>
  <c r="V59" i="116"/>
  <c r="Y59" i="116" s="1"/>
  <c r="W58" i="116"/>
  <c r="Z58" i="116" s="1"/>
  <c r="V58" i="116"/>
  <c r="Y58" i="116" s="1"/>
  <c r="W57" i="116"/>
  <c r="Z57" i="116" s="1"/>
  <c r="V57" i="116"/>
  <c r="Y57" i="116" s="1"/>
  <c r="W56" i="116"/>
  <c r="Z56" i="116" s="1"/>
  <c r="V56" i="116"/>
  <c r="Y56" i="116" s="1"/>
  <c r="W55" i="116"/>
  <c r="Z55" i="116" s="1"/>
  <c r="V55" i="116"/>
  <c r="Y55" i="116" s="1"/>
  <c r="W54" i="116"/>
  <c r="Z54" i="116" s="1"/>
  <c r="V54" i="116"/>
  <c r="Y54" i="116" s="1"/>
  <c r="W53" i="116"/>
  <c r="Z53" i="116" s="1"/>
  <c r="V53" i="116"/>
  <c r="Y53" i="116" s="1"/>
  <c r="W52" i="116"/>
  <c r="Z52" i="116" s="1"/>
  <c r="V52" i="116"/>
  <c r="Y52" i="116" s="1"/>
  <c r="W51" i="116"/>
  <c r="Z51" i="116" s="1"/>
  <c r="V51" i="116"/>
  <c r="Y51" i="116" s="1"/>
  <c r="W50" i="116"/>
  <c r="Z50" i="116" s="1"/>
  <c r="V50" i="116"/>
  <c r="Y50" i="116" s="1"/>
  <c r="W49" i="116"/>
  <c r="Z49" i="116" s="1"/>
  <c r="V49" i="116"/>
  <c r="Y49" i="116" s="1"/>
  <c r="W48" i="116"/>
  <c r="Z48" i="116" s="1"/>
  <c r="V48" i="116"/>
  <c r="Y48" i="116" s="1"/>
  <c r="W47" i="116"/>
  <c r="Z47" i="116" s="1"/>
  <c r="V47" i="116"/>
  <c r="Y47" i="116" s="1"/>
  <c r="W46" i="116"/>
  <c r="Z46" i="116" s="1"/>
  <c r="V46" i="116"/>
  <c r="Y46" i="116" s="1"/>
  <c r="W45" i="116"/>
  <c r="Z45" i="116" s="1"/>
  <c r="V45" i="116"/>
  <c r="Y45" i="116" s="1"/>
  <c r="W44" i="116"/>
  <c r="Z44" i="116" s="1"/>
  <c r="V44" i="116"/>
  <c r="Y44" i="116" s="1"/>
  <c r="W43" i="116"/>
  <c r="V43" i="116"/>
  <c r="W41" i="116"/>
  <c r="Z41" i="116" s="1"/>
  <c r="V41" i="116"/>
  <c r="Y41" i="116" s="1"/>
  <c r="W40" i="116"/>
  <c r="Z40" i="116" s="1"/>
  <c r="V40" i="116"/>
  <c r="Y40" i="116" s="1"/>
  <c r="W39" i="116"/>
  <c r="Z39" i="116" s="1"/>
  <c r="V39" i="116"/>
  <c r="Y39" i="116" s="1"/>
  <c r="W38" i="116"/>
  <c r="Z38" i="116" s="1"/>
  <c r="V38" i="116"/>
  <c r="Y38" i="116" s="1"/>
  <c r="W37" i="116"/>
  <c r="Z37" i="116" s="1"/>
  <c r="V37" i="116"/>
  <c r="Y37" i="116" s="1"/>
  <c r="W36" i="116"/>
  <c r="Z36" i="116" s="1"/>
  <c r="V36" i="116"/>
  <c r="Y36" i="116" s="1"/>
  <c r="W35" i="116"/>
  <c r="Z35" i="116" s="1"/>
  <c r="V35" i="116"/>
  <c r="Y35" i="116" s="1"/>
  <c r="W34" i="116"/>
  <c r="Z34" i="116" s="1"/>
  <c r="V34" i="116"/>
  <c r="Y34" i="116" s="1"/>
  <c r="W33" i="116"/>
  <c r="Z33" i="116" s="1"/>
  <c r="V33" i="116"/>
  <c r="Y33" i="116" s="1"/>
  <c r="W32" i="116"/>
  <c r="Z32" i="116" s="1"/>
  <c r="V32" i="116"/>
  <c r="Y32" i="116" s="1"/>
  <c r="W31" i="116"/>
  <c r="Z31" i="116" s="1"/>
  <c r="V31" i="116"/>
  <c r="Y31" i="116" s="1"/>
  <c r="W30" i="116"/>
  <c r="Z30" i="116" s="1"/>
  <c r="V30" i="116"/>
  <c r="Y30" i="116" s="1"/>
  <c r="W29" i="116"/>
  <c r="Z29" i="116" s="1"/>
  <c r="V29" i="116"/>
  <c r="Y29" i="116" s="1"/>
  <c r="W28" i="116"/>
  <c r="Z28" i="116" s="1"/>
  <c r="V28" i="116"/>
  <c r="Y28" i="116" s="1"/>
  <c r="W27" i="116"/>
  <c r="Z27" i="116" s="1"/>
  <c r="V27" i="116"/>
  <c r="Y27" i="116" s="1"/>
  <c r="W26" i="116"/>
  <c r="Z26" i="116" s="1"/>
  <c r="V26" i="116"/>
  <c r="Y26" i="116" s="1"/>
  <c r="W25" i="116"/>
  <c r="Z25" i="116" s="1"/>
  <c r="V25" i="116"/>
  <c r="Y25" i="116" s="1"/>
  <c r="W24" i="116"/>
  <c r="Z24" i="116" s="1"/>
  <c r="V24" i="116"/>
  <c r="Y24" i="116" s="1"/>
  <c r="W23" i="116"/>
  <c r="Z23" i="116" s="1"/>
  <c r="V23" i="116"/>
  <c r="Y23" i="116" s="1"/>
  <c r="W22" i="116"/>
  <c r="Z22" i="116" s="1"/>
  <c r="V22" i="116"/>
  <c r="Y22" i="116" s="1"/>
  <c r="AB97" i="116"/>
  <c r="AB96" i="116"/>
  <c r="AB95" i="116"/>
  <c r="AB94" i="116"/>
  <c r="AB93" i="116"/>
  <c r="AB92" i="116"/>
  <c r="AB91" i="116"/>
  <c r="AB90" i="116"/>
  <c r="AB89" i="116"/>
  <c r="AB88" i="116"/>
  <c r="AB87" i="116"/>
  <c r="AB86" i="116"/>
  <c r="AB85" i="116"/>
  <c r="AB84" i="116"/>
  <c r="AB83" i="116"/>
  <c r="AB82" i="116"/>
  <c r="AB81" i="116"/>
  <c r="AB80" i="116"/>
  <c r="AB79" i="116"/>
  <c r="AB78" i="116"/>
  <c r="X74" i="116"/>
  <c r="X73" i="116"/>
  <c r="X72" i="116"/>
  <c r="X71" i="116"/>
  <c r="X70" i="116"/>
  <c r="X68" i="116"/>
  <c r="X67" i="116"/>
  <c r="X66" i="116"/>
  <c r="X65" i="116"/>
  <c r="X64" i="116"/>
  <c r="X62" i="116"/>
  <c r="X61" i="116"/>
  <c r="X60" i="116"/>
  <c r="X59" i="116"/>
  <c r="X58" i="116"/>
  <c r="X57" i="116"/>
  <c r="X56" i="116"/>
  <c r="X55" i="116"/>
  <c r="X54" i="116"/>
  <c r="X53" i="116"/>
  <c r="X52" i="116"/>
  <c r="X51" i="116"/>
  <c r="X50" i="116"/>
  <c r="X49" i="116"/>
  <c r="X48" i="116"/>
  <c r="X47" i="116"/>
  <c r="X46" i="116"/>
  <c r="X45" i="116"/>
  <c r="X44" i="116"/>
  <c r="X43" i="116"/>
  <c r="X41" i="116"/>
  <c r="X40" i="116"/>
  <c r="X39" i="116"/>
  <c r="X38" i="116"/>
  <c r="X37" i="116"/>
  <c r="X36" i="116"/>
  <c r="X35" i="116"/>
  <c r="X34" i="116"/>
  <c r="X33" i="116"/>
  <c r="X32" i="116"/>
  <c r="X31" i="116"/>
  <c r="X30" i="116"/>
  <c r="X29" i="116"/>
  <c r="X28" i="116"/>
  <c r="X27" i="116"/>
  <c r="X26" i="116"/>
  <c r="X25" i="116"/>
  <c r="X24" i="116"/>
  <c r="X23" i="116"/>
  <c r="X22" i="116"/>
  <c r="U12" i="116"/>
  <c r="V12" i="116"/>
  <c r="W12" i="116"/>
  <c r="X12" i="116"/>
  <c r="U13" i="116"/>
  <c r="V13" i="116"/>
  <c r="Y13" i="116" s="1"/>
  <c r="W13" i="116"/>
  <c r="Z13" i="116" s="1"/>
  <c r="X13" i="116"/>
  <c r="J14" i="116"/>
  <c r="U14" i="116"/>
  <c r="V14" i="116"/>
  <c r="Y14" i="116" s="1"/>
  <c r="W14" i="116"/>
  <c r="Z14" i="116" s="1"/>
  <c r="X14" i="116"/>
  <c r="U15" i="116"/>
  <c r="V15" i="116"/>
  <c r="Y15" i="116" s="1"/>
  <c r="W15" i="116"/>
  <c r="Z15" i="116" s="1"/>
  <c r="X15" i="116"/>
  <c r="U16" i="116"/>
  <c r="V16" i="116"/>
  <c r="Y16" i="116" s="1"/>
  <c r="W16" i="116"/>
  <c r="Z16" i="116" s="1"/>
  <c r="X16" i="116"/>
  <c r="U17" i="116"/>
  <c r="V17" i="116"/>
  <c r="Y17" i="116" s="1"/>
  <c r="W17" i="116"/>
  <c r="Z17" i="116" s="1"/>
  <c r="X17" i="116"/>
  <c r="U18" i="116"/>
  <c r="V18" i="116"/>
  <c r="Y18" i="116" s="1"/>
  <c r="W18" i="116"/>
  <c r="Z18" i="116" s="1"/>
  <c r="X18" i="116"/>
  <c r="U19" i="116"/>
  <c r="V19" i="116"/>
  <c r="Y19" i="116" s="1"/>
  <c r="W19" i="116"/>
  <c r="Z19" i="116" s="1"/>
  <c r="X19" i="116"/>
  <c r="U20" i="116"/>
  <c r="V20" i="116"/>
  <c r="Y20" i="116" s="1"/>
  <c r="W20" i="116"/>
  <c r="Z20" i="116" s="1"/>
  <c r="X20" i="116"/>
  <c r="U21" i="116"/>
  <c r="V21" i="116"/>
  <c r="Y21" i="116" s="1"/>
  <c r="W21" i="116"/>
  <c r="Z21" i="116" s="1"/>
  <c r="X21" i="116"/>
  <c r="J46" i="116"/>
  <c r="D46" i="116"/>
  <c r="J57" i="116"/>
  <c r="D57" i="116"/>
  <c r="F57" i="116" s="1"/>
  <c r="J52" i="116"/>
  <c r="F52" i="116"/>
  <c r="D52" i="116"/>
  <c r="J22" i="116"/>
  <c r="J30" i="116"/>
  <c r="J38" i="116"/>
  <c r="D47" i="116"/>
  <c r="F47" i="116" s="1"/>
  <c r="D48" i="116"/>
  <c r="F48" i="116" s="1"/>
  <c r="D49" i="116"/>
  <c r="F49" i="116" s="1"/>
  <c r="D50" i="116"/>
  <c r="F50" i="116" s="1"/>
  <c r="D53" i="116"/>
  <c r="F53" i="116"/>
  <c r="D54" i="116"/>
  <c r="F54" i="116"/>
  <c r="D55" i="116"/>
  <c r="F55" i="116"/>
  <c r="D56" i="116"/>
  <c r="F56" i="116"/>
  <c r="D58" i="116"/>
  <c r="F58" i="116" s="1"/>
  <c r="F60" i="116"/>
  <c r="G60" i="116" s="1"/>
  <c r="L60" i="116" s="1"/>
  <c r="T78" i="116"/>
  <c r="T98" i="116" s="1"/>
  <c r="G79" i="116" s="1"/>
  <c r="G86" i="116" s="1"/>
  <c r="H81" i="116" s="1"/>
  <c r="Y78" i="116"/>
  <c r="Y98" i="116" s="1"/>
  <c r="J20" i="115"/>
  <c r="AA97" i="115"/>
  <c r="AA96" i="115"/>
  <c r="AA95" i="115"/>
  <c r="AA94" i="115"/>
  <c r="AA93" i="115"/>
  <c r="AA92" i="115"/>
  <c r="AA91" i="115"/>
  <c r="AA90" i="115"/>
  <c r="AA89" i="115"/>
  <c r="AA88" i="115"/>
  <c r="AA87" i="115"/>
  <c r="AA86" i="115"/>
  <c r="AA85" i="115"/>
  <c r="AA84" i="115"/>
  <c r="AA83" i="115"/>
  <c r="AA82" i="115"/>
  <c r="AA81" i="115"/>
  <c r="AA80" i="115"/>
  <c r="AA79" i="115"/>
  <c r="AA78" i="115"/>
  <c r="U74" i="115"/>
  <c r="U73" i="115"/>
  <c r="U72" i="115"/>
  <c r="U71" i="115"/>
  <c r="U70" i="115"/>
  <c r="U68" i="115"/>
  <c r="U67" i="115"/>
  <c r="U66" i="115"/>
  <c r="U65" i="115"/>
  <c r="U64" i="115"/>
  <c r="U62" i="115"/>
  <c r="U61" i="115"/>
  <c r="U60" i="115"/>
  <c r="U59" i="115"/>
  <c r="U58" i="115"/>
  <c r="U57" i="115"/>
  <c r="U56" i="115"/>
  <c r="U55" i="115"/>
  <c r="U54" i="115"/>
  <c r="U53" i="115"/>
  <c r="U52" i="115"/>
  <c r="U51" i="115"/>
  <c r="U50" i="115"/>
  <c r="U49" i="115"/>
  <c r="U48" i="115"/>
  <c r="U47" i="115"/>
  <c r="U46" i="115"/>
  <c r="U45" i="115"/>
  <c r="U44" i="115"/>
  <c r="U43" i="115"/>
  <c r="U41" i="115"/>
  <c r="U40" i="115"/>
  <c r="U39" i="115"/>
  <c r="U38" i="115"/>
  <c r="U37" i="115"/>
  <c r="U36" i="115"/>
  <c r="U35" i="115"/>
  <c r="U34" i="115"/>
  <c r="U33" i="115"/>
  <c r="U32" i="115"/>
  <c r="U31" i="115"/>
  <c r="U30" i="115"/>
  <c r="U29" i="115"/>
  <c r="U28" i="115"/>
  <c r="U27" i="115"/>
  <c r="U26" i="115"/>
  <c r="U25" i="115"/>
  <c r="U24" i="115"/>
  <c r="U23" i="115"/>
  <c r="U22" i="115"/>
  <c r="W74" i="115"/>
  <c r="Z74" i="115" s="1"/>
  <c r="V74" i="115"/>
  <c r="Y74" i="115" s="1"/>
  <c r="W73" i="115"/>
  <c r="Z73" i="115" s="1"/>
  <c r="V73" i="115"/>
  <c r="Y73" i="115" s="1"/>
  <c r="W72" i="115"/>
  <c r="Z72" i="115" s="1"/>
  <c r="V72" i="115"/>
  <c r="Y72" i="115" s="1"/>
  <c r="W71" i="115"/>
  <c r="Z71" i="115" s="1"/>
  <c r="V71" i="115"/>
  <c r="Y71" i="115" s="1"/>
  <c r="W70" i="115"/>
  <c r="V70" i="115"/>
  <c r="W68" i="115"/>
  <c r="Z68" i="115" s="1"/>
  <c r="V68" i="115"/>
  <c r="Y68" i="115" s="1"/>
  <c r="W67" i="115"/>
  <c r="Z67" i="115" s="1"/>
  <c r="V67" i="115"/>
  <c r="Y67" i="115" s="1"/>
  <c r="W66" i="115"/>
  <c r="Z66" i="115" s="1"/>
  <c r="V66" i="115"/>
  <c r="Y66" i="115" s="1"/>
  <c r="W65" i="115"/>
  <c r="Z65" i="115" s="1"/>
  <c r="V65" i="115"/>
  <c r="Y65" i="115" s="1"/>
  <c r="W64" i="115"/>
  <c r="V64" i="115"/>
  <c r="W62" i="115"/>
  <c r="Z62" i="115" s="1"/>
  <c r="V62" i="115"/>
  <c r="Y62" i="115" s="1"/>
  <c r="W61" i="115"/>
  <c r="Z61" i="115" s="1"/>
  <c r="V61" i="115"/>
  <c r="Y61" i="115" s="1"/>
  <c r="W60" i="115"/>
  <c r="Z60" i="115" s="1"/>
  <c r="V60" i="115"/>
  <c r="Y60" i="115" s="1"/>
  <c r="W59" i="115"/>
  <c r="Z59" i="115" s="1"/>
  <c r="V59" i="115"/>
  <c r="Y59" i="115" s="1"/>
  <c r="W58" i="115"/>
  <c r="Z58" i="115" s="1"/>
  <c r="V58" i="115"/>
  <c r="Y58" i="115" s="1"/>
  <c r="W57" i="115"/>
  <c r="Z57" i="115" s="1"/>
  <c r="V57" i="115"/>
  <c r="Y57" i="115" s="1"/>
  <c r="W56" i="115"/>
  <c r="Z56" i="115" s="1"/>
  <c r="V56" i="115"/>
  <c r="Y56" i="115" s="1"/>
  <c r="W55" i="115"/>
  <c r="Z55" i="115" s="1"/>
  <c r="V55" i="115"/>
  <c r="Y55" i="115" s="1"/>
  <c r="W54" i="115"/>
  <c r="Z54" i="115" s="1"/>
  <c r="V54" i="115"/>
  <c r="Y54" i="115" s="1"/>
  <c r="W53" i="115"/>
  <c r="Z53" i="115" s="1"/>
  <c r="V53" i="115"/>
  <c r="Y53" i="115" s="1"/>
  <c r="W52" i="115"/>
  <c r="Z52" i="115" s="1"/>
  <c r="V52" i="115"/>
  <c r="Y52" i="115" s="1"/>
  <c r="W51" i="115"/>
  <c r="Z51" i="115" s="1"/>
  <c r="V51" i="115"/>
  <c r="Y51" i="115" s="1"/>
  <c r="W50" i="115"/>
  <c r="Z50" i="115" s="1"/>
  <c r="V50" i="115"/>
  <c r="Y50" i="115" s="1"/>
  <c r="W49" i="115"/>
  <c r="Z49" i="115" s="1"/>
  <c r="V49" i="115"/>
  <c r="Y49" i="115" s="1"/>
  <c r="W48" i="115"/>
  <c r="Z48" i="115" s="1"/>
  <c r="V48" i="115"/>
  <c r="Y48" i="115" s="1"/>
  <c r="W47" i="115"/>
  <c r="Z47" i="115" s="1"/>
  <c r="V47" i="115"/>
  <c r="Y47" i="115" s="1"/>
  <c r="W46" i="115"/>
  <c r="Z46" i="115" s="1"/>
  <c r="V46" i="115"/>
  <c r="Y46" i="115" s="1"/>
  <c r="W45" i="115"/>
  <c r="Z45" i="115" s="1"/>
  <c r="V45" i="115"/>
  <c r="Y45" i="115" s="1"/>
  <c r="W44" i="115"/>
  <c r="Z44" i="115" s="1"/>
  <c r="V44" i="115"/>
  <c r="Y44" i="115" s="1"/>
  <c r="W43" i="115"/>
  <c r="V43" i="115"/>
  <c r="W41" i="115"/>
  <c r="Z41" i="115" s="1"/>
  <c r="V41" i="115"/>
  <c r="Y41" i="115" s="1"/>
  <c r="W40" i="115"/>
  <c r="Z40" i="115" s="1"/>
  <c r="V40" i="115"/>
  <c r="Y40" i="115" s="1"/>
  <c r="W39" i="115"/>
  <c r="Z39" i="115" s="1"/>
  <c r="V39" i="115"/>
  <c r="Y39" i="115" s="1"/>
  <c r="W38" i="115"/>
  <c r="Z38" i="115" s="1"/>
  <c r="V38" i="115"/>
  <c r="Y38" i="115" s="1"/>
  <c r="W37" i="115"/>
  <c r="Z37" i="115" s="1"/>
  <c r="V37" i="115"/>
  <c r="Y37" i="115" s="1"/>
  <c r="W36" i="115"/>
  <c r="Z36" i="115" s="1"/>
  <c r="V36" i="115"/>
  <c r="Y36" i="115" s="1"/>
  <c r="W35" i="115"/>
  <c r="Z35" i="115" s="1"/>
  <c r="V35" i="115"/>
  <c r="Y35" i="115" s="1"/>
  <c r="W34" i="115"/>
  <c r="Z34" i="115" s="1"/>
  <c r="V34" i="115"/>
  <c r="Y34" i="115" s="1"/>
  <c r="W33" i="115"/>
  <c r="Z33" i="115" s="1"/>
  <c r="V33" i="115"/>
  <c r="Y33" i="115" s="1"/>
  <c r="W32" i="115"/>
  <c r="Z32" i="115" s="1"/>
  <c r="V32" i="115"/>
  <c r="Y32" i="115" s="1"/>
  <c r="W31" i="115"/>
  <c r="Z31" i="115" s="1"/>
  <c r="V31" i="115"/>
  <c r="Y31" i="115" s="1"/>
  <c r="W30" i="115"/>
  <c r="Z30" i="115" s="1"/>
  <c r="V30" i="115"/>
  <c r="Y30" i="115" s="1"/>
  <c r="W29" i="115"/>
  <c r="Z29" i="115" s="1"/>
  <c r="V29" i="115"/>
  <c r="Y29" i="115" s="1"/>
  <c r="W28" i="115"/>
  <c r="Z28" i="115" s="1"/>
  <c r="V28" i="115"/>
  <c r="Y28" i="115" s="1"/>
  <c r="W27" i="115"/>
  <c r="Z27" i="115" s="1"/>
  <c r="V27" i="115"/>
  <c r="Y27" i="115" s="1"/>
  <c r="W26" i="115"/>
  <c r="Z26" i="115" s="1"/>
  <c r="V26" i="115"/>
  <c r="Y26" i="115" s="1"/>
  <c r="W25" i="115"/>
  <c r="Z25" i="115" s="1"/>
  <c r="V25" i="115"/>
  <c r="Y25" i="115" s="1"/>
  <c r="W24" i="115"/>
  <c r="Z24" i="115" s="1"/>
  <c r="V24" i="115"/>
  <c r="Y24" i="115" s="1"/>
  <c r="W23" i="115"/>
  <c r="Z23" i="115" s="1"/>
  <c r="V23" i="115"/>
  <c r="Y23" i="115" s="1"/>
  <c r="W22" i="115"/>
  <c r="Z22" i="115" s="1"/>
  <c r="V22" i="115"/>
  <c r="Y22" i="115" s="1"/>
  <c r="AB97" i="115"/>
  <c r="AB96" i="115"/>
  <c r="AB95" i="115"/>
  <c r="AB94" i="115"/>
  <c r="AB93" i="115"/>
  <c r="AB92" i="115"/>
  <c r="AB91" i="115"/>
  <c r="AB90" i="115"/>
  <c r="AB89" i="115"/>
  <c r="AB88" i="115"/>
  <c r="AB87" i="115"/>
  <c r="AB86" i="115"/>
  <c r="AB85" i="115"/>
  <c r="AB84" i="115"/>
  <c r="AB83" i="115"/>
  <c r="AB82" i="115"/>
  <c r="AB81" i="115"/>
  <c r="AB80" i="115"/>
  <c r="AB79" i="115"/>
  <c r="AB78" i="115"/>
  <c r="X74" i="115"/>
  <c r="X73" i="115"/>
  <c r="X72" i="115"/>
  <c r="X71" i="115"/>
  <c r="X70" i="115"/>
  <c r="X68" i="115"/>
  <c r="X67" i="115"/>
  <c r="X66" i="115"/>
  <c r="X65" i="115"/>
  <c r="X64" i="115"/>
  <c r="X62" i="115"/>
  <c r="X61" i="115"/>
  <c r="X60" i="115"/>
  <c r="X59" i="115"/>
  <c r="X58" i="115"/>
  <c r="X57" i="115"/>
  <c r="X56" i="115"/>
  <c r="X55" i="115"/>
  <c r="X54" i="115"/>
  <c r="X53" i="115"/>
  <c r="X52" i="115"/>
  <c r="X51" i="115"/>
  <c r="X50" i="115"/>
  <c r="X49" i="115"/>
  <c r="X48" i="115"/>
  <c r="X47" i="115"/>
  <c r="X46" i="115"/>
  <c r="X45" i="115"/>
  <c r="X44" i="115"/>
  <c r="X43" i="115"/>
  <c r="X41" i="115"/>
  <c r="X40" i="115"/>
  <c r="X39" i="115"/>
  <c r="X38" i="115"/>
  <c r="X37" i="115"/>
  <c r="X36" i="115"/>
  <c r="X35" i="115"/>
  <c r="X34" i="115"/>
  <c r="X33" i="115"/>
  <c r="X32" i="115"/>
  <c r="X31" i="115"/>
  <c r="X30" i="115"/>
  <c r="X29" i="115"/>
  <c r="X28" i="115"/>
  <c r="X27" i="115"/>
  <c r="X26" i="115"/>
  <c r="X25" i="115"/>
  <c r="X24" i="115"/>
  <c r="X23" i="115"/>
  <c r="X22" i="115"/>
  <c r="U12" i="115"/>
  <c r="V12" i="115"/>
  <c r="W12" i="115"/>
  <c r="X12" i="115"/>
  <c r="U13" i="115"/>
  <c r="V13" i="115"/>
  <c r="Y13" i="115" s="1"/>
  <c r="W13" i="115"/>
  <c r="Z13" i="115" s="1"/>
  <c r="X13" i="115"/>
  <c r="J14" i="115"/>
  <c r="U14" i="115"/>
  <c r="V14" i="115"/>
  <c r="Y14" i="115" s="1"/>
  <c r="W14" i="115"/>
  <c r="Z14" i="115" s="1"/>
  <c r="X14" i="115"/>
  <c r="U15" i="115"/>
  <c r="V15" i="115"/>
  <c r="Y15" i="115" s="1"/>
  <c r="W15" i="115"/>
  <c r="Z15" i="115" s="1"/>
  <c r="X15" i="115"/>
  <c r="U16" i="115"/>
  <c r="V16" i="115"/>
  <c r="Y16" i="115" s="1"/>
  <c r="W16" i="115"/>
  <c r="Z16" i="115" s="1"/>
  <c r="X16" i="115"/>
  <c r="U17" i="115"/>
  <c r="V17" i="115"/>
  <c r="Y17" i="115" s="1"/>
  <c r="W17" i="115"/>
  <c r="Z17" i="115" s="1"/>
  <c r="X17" i="115"/>
  <c r="U18" i="115"/>
  <c r="V18" i="115"/>
  <c r="Y18" i="115" s="1"/>
  <c r="W18" i="115"/>
  <c r="Z18" i="115" s="1"/>
  <c r="X18" i="115"/>
  <c r="U19" i="115"/>
  <c r="V19" i="115"/>
  <c r="Y19" i="115" s="1"/>
  <c r="W19" i="115"/>
  <c r="Z19" i="115" s="1"/>
  <c r="X19" i="115"/>
  <c r="U20" i="115"/>
  <c r="V20" i="115"/>
  <c r="Y20" i="115" s="1"/>
  <c r="W20" i="115"/>
  <c r="Z20" i="115" s="1"/>
  <c r="X20" i="115"/>
  <c r="U21" i="115"/>
  <c r="V21" i="115"/>
  <c r="Y21" i="115" s="1"/>
  <c r="W21" i="115"/>
  <c r="Z21" i="115" s="1"/>
  <c r="X21" i="115"/>
  <c r="J46" i="115"/>
  <c r="D46" i="115"/>
  <c r="J57" i="115"/>
  <c r="D57" i="115"/>
  <c r="F57" i="115" s="1"/>
  <c r="J52" i="115"/>
  <c r="F52" i="115"/>
  <c r="D52" i="115"/>
  <c r="J22" i="115"/>
  <c r="J30" i="115"/>
  <c r="J38" i="115"/>
  <c r="D47" i="115"/>
  <c r="F47" i="115" s="1"/>
  <c r="D48" i="115"/>
  <c r="F48" i="115" s="1"/>
  <c r="D49" i="115"/>
  <c r="F49" i="115" s="1"/>
  <c r="D50" i="115"/>
  <c r="F50" i="115" s="1"/>
  <c r="D51" i="115"/>
  <c r="F51" i="115" s="1"/>
  <c r="D53" i="115"/>
  <c r="F53" i="115"/>
  <c r="D54" i="115"/>
  <c r="F54" i="115"/>
  <c r="D55" i="115"/>
  <c r="F55" i="115"/>
  <c r="D56" i="115"/>
  <c r="F56" i="115"/>
  <c r="D58" i="115"/>
  <c r="F58" i="115" s="1"/>
  <c r="F60" i="115"/>
  <c r="G60" i="115" s="1"/>
  <c r="L60" i="115" s="1"/>
  <c r="T98" i="115"/>
  <c r="G86" i="115" s="1"/>
  <c r="H81" i="115" s="1"/>
  <c r="Y78" i="115"/>
  <c r="Y98" i="115" s="1"/>
  <c r="J20" i="114"/>
  <c r="AA97" i="114"/>
  <c r="AA96" i="114"/>
  <c r="AA95" i="114"/>
  <c r="AA94" i="114"/>
  <c r="AA93" i="114"/>
  <c r="AA92" i="114"/>
  <c r="AA91" i="114"/>
  <c r="AA90" i="114"/>
  <c r="AA89" i="114"/>
  <c r="AA88" i="114"/>
  <c r="AA87" i="114"/>
  <c r="AA86" i="114"/>
  <c r="AA85" i="114"/>
  <c r="AA84" i="114"/>
  <c r="AA83" i="114"/>
  <c r="AA82" i="114"/>
  <c r="AA81" i="114"/>
  <c r="AA80" i="114"/>
  <c r="AA79" i="114"/>
  <c r="AA78" i="114"/>
  <c r="U74" i="114"/>
  <c r="U73" i="114"/>
  <c r="U72" i="114"/>
  <c r="U71" i="114"/>
  <c r="U70" i="114"/>
  <c r="U68" i="114"/>
  <c r="U67" i="114"/>
  <c r="U66" i="114"/>
  <c r="U65" i="114"/>
  <c r="U64" i="114"/>
  <c r="U62" i="114"/>
  <c r="U61" i="114"/>
  <c r="U60" i="114"/>
  <c r="U59" i="114"/>
  <c r="U58" i="114"/>
  <c r="U57" i="114"/>
  <c r="U56" i="114"/>
  <c r="U55" i="114"/>
  <c r="U54" i="114"/>
  <c r="U53" i="114"/>
  <c r="U52" i="114"/>
  <c r="U51" i="114"/>
  <c r="U50" i="114"/>
  <c r="U49" i="114"/>
  <c r="U48" i="114"/>
  <c r="U47" i="114"/>
  <c r="U46" i="114"/>
  <c r="U45" i="114"/>
  <c r="U44" i="114"/>
  <c r="U43" i="114"/>
  <c r="U41" i="114"/>
  <c r="U40" i="114"/>
  <c r="U39" i="114"/>
  <c r="U38" i="114"/>
  <c r="U37" i="114"/>
  <c r="U36" i="114"/>
  <c r="U35" i="114"/>
  <c r="U34" i="114"/>
  <c r="U33" i="114"/>
  <c r="U32" i="114"/>
  <c r="U31" i="114"/>
  <c r="U30" i="114"/>
  <c r="U29" i="114"/>
  <c r="U28" i="114"/>
  <c r="U27" i="114"/>
  <c r="U26" i="114"/>
  <c r="U25" i="114"/>
  <c r="U24" i="114"/>
  <c r="U23" i="114"/>
  <c r="U22" i="114"/>
  <c r="W74" i="114"/>
  <c r="Z74" i="114" s="1"/>
  <c r="V74" i="114"/>
  <c r="Y74" i="114" s="1"/>
  <c r="W73" i="114"/>
  <c r="Z73" i="114" s="1"/>
  <c r="V73" i="114"/>
  <c r="Y73" i="114" s="1"/>
  <c r="W72" i="114"/>
  <c r="Z72" i="114" s="1"/>
  <c r="V72" i="114"/>
  <c r="Y72" i="114" s="1"/>
  <c r="W71" i="114"/>
  <c r="Z71" i="114" s="1"/>
  <c r="V71" i="114"/>
  <c r="Y71" i="114" s="1"/>
  <c r="W70" i="114"/>
  <c r="V70" i="114"/>
  <c r="W68" i="114"/>
  <c r="Z68" i="114" s="1"/>
  <c r="V68" i="114"/>
  <c r="Y68" i="114" s="1"/>
  <c r="W67" i="114"/>
  <c r="Z67" i="114" s="1"/>
  <c r="V67" i="114"/>
  <c r="Y67" i="114" s="1"/>
  <c r="W66" i="114"/>
  <c r="Z66" i="114" s="1"/>
  <c r="V66" i="114"/>
  <c r="Y66" i="114" s="1"/>
  <c r="W65" i="114"/>
  <c r="Z65" i="114" s="1"/>
  <c r="V65" i="114"/>
  <c r="Y65" i="114" s="1"/>
  <c r="W64" i="114"/>
  <c r="V64" i="114"/>
  <c r="W62" i="114"/>
  <c r="Z62" i="114" s="1"/>
  <c r="V62" i="114"/>
  <c r="Y62" i="114" s="1"/>
  <c r="W61" i="114"/>
  <c r="Z61" i="114" s="1"/>
  <c r="V61" i="114"/>
  <c r="Y61" i="114" s="1"/>
  <c r="W60" i="114"/>
  <c r="Z60" i="114" s="1"/>
  <c r="V60" i="114"/>
  <c r="Y60" i="114" s="1"/>
  <c r="W59" i="114"/>
  <c r="Z59" i="114" s="1"/>
  <c r="V59" i="114"/>
  <c r="Y59" i="114" s="1"/>
  <c r="W58" i="114"/>
  <c r="Z58" i="114" s="1"/>
  <c r="V58" i="114"/>
  <c r="Y58" i="114" s="1"/>
  <c r="W57" i="114"/>
  <c r="Z57" i="114" s="1"/>
  <c r="V57" i="114"/>
  <c r="Y57" i="114" s="1"/>
  <c r="W56" i="114"/>
  <c r="Z56" i="114" s="1"/>
  <c r="V56" i="114"/>
  <c r="Y56" i="114" s="1"/>
  <c r="W55" i="114"/>
  <c r="Z55" i="114" s="1"/>
  <c r="V55" i="114"/>
  <c r="Y55" i="114" s="1"/>
  <c r="W54" i="114"/>
  <c r="Z54" i="114" s="1"/>
  <c r="V54" i="114"/>
  <c r="Y54" i="114" s="1"/>
  <c r="W53" i="114"/>
  <c r="Z53" i="114" s="1"/>
  <c r="V53" i="114"/>
  <c r="Y53" i="114" s="1"/>
  <c r="W52" i="114"/>
  <c r="Z52" i="114" s="1"/>
  <c r="V52" i="114"/>
  <c r="Y52" i="114" s="1"/>
  <c r="W51" i="114"/>
  <c r="Z51" i="114" s="1"/>
  <c r="V51" i="114"/>
  <c r="Y51" i="114" s="1"/>
  <c r="W50" i="114"/>
  <c r="Z50" i="114" s="1"/>
  <c r="V50" i="114"/>
  <c r="Y50" i="114" s="1"/>
  <c r="W49" i="114"/>
  <c r="Z49" i="114" s="1"/>
  <c r="V49" i="114"/>
  <c r="Y49" i="114" s="1"/>
  <c r="W48" i="114"/>
  <c r="Z48" i="114" s="1"/>
  <c r="V48" i="114"/>
  <c r="Y48" i="114" s="1"/>
  <c r="W47" i="114"/>
  <c r="Z47" i="114" s="1"/>
  <c r="V47" i="114"/>
  <c r="Y47" i="114" s="1"/>
  <c r="W46" i="114"/>
  <c r="Z46" i="114" s="1"/>
  <c r="V46" i="114"/>
  <c r="Y46" i="114" s="1"/>
  <c r="W45" i="114"/>
  <c r="Z45" i="114" s="1"/>
  <c r="V45" i="114"/>
  <c r="Y45" i="114" s="1"/>
  <c r="W44" i="114"/>
  <c r="Z44" i="114" s="1"/>
  <c r="V44" i="114"/>
  <c r="Y44" i="114" s="1"/>
  <c r="W43" i="114"/>
  <c r="V43" i="114"/>
  <c r="W41" i="114"/>
  <c r="Z41" i="114" s="1"/>
  <c r="V41" i="114"/>
  <c r="Y41" i="114" s="1"/>
  <c r="W40" i="114"/>
  <c r="Z40" i="114" s="1"/>
  <c r="V40" i="114"/>
  <c r="Y40" i="114" s="1"/>
  <c r="W39" i="114"/>
  <c r="Z39" i="114" s="1"/>
  <c r="V39" i="114"/>
  <c r="Y39" i="114" s="1"/>
  <c r="W38" i="114"/>
  <c r="Z38" i="114" s="1"/>
  <c r="V38" i="114"/>
  <c r="Y38" i="114" s="1"/>
  <c r="W37" i="114"/>
  <c r="Z37" i="114" s="1"/>
  <c r="V37" i="114"/>
  <c r="Y37" i="114" s="1"/>
  <c r="W36" i="114"/>
  <c r="Z36" i="114" s="1"/>
  <c r="V36" i="114"/>
  <c r="Y36" i="114" s="1"/>
  <c r="W35" i="114"/>
  <c r="Z35" i="114" s="1"/>
  <c r="V35" i="114"/>
  <c r="Y35" i="114" s="1"/>
  <c r="W34" i="114"/>
  <c r="Z34" i="114" s="1"/>
  <c r="V34" i="114"/>
  <c r="Y34" i="114" s="1"/>
  <c r="W33" i="114"/>
  <c r="Z33" i="114" s="1"/>
  <c r="V33" i="114"/>
  <c r="Y33" i="114" s="1"/>
  <c r="W32" i="114"/>
  <c r="Z32" i="114" s="1"/>
  <c r="V32" i="114"/>
  <c r="Y32" i="114" s="1"/>
  <c r="W31" i="114"/>
  <c r="Z31" i="114" s="1"/>
  <c r="V31" i="114"/>
  <c r="Y31" i="114" s="1"/>
  <c r="W30" i="114"/>
  <c r="Z30" i="114" s="1"/>
  <c r="V30" i="114"/>
  <c r="Y30" i="114" s="1"/>
  <c r="W29" i="114"/>
  <c r="Z29" i="114" s="1"/>
  <c r="V29" i="114"/>
  <c r="Y29" i="114" s="1"/>
  <c r="W28" i="114"/>
  <c r="Z28" i="114" s="1"/>
  <c r="V28" i="114"/>
  <c r="Y28" i="114" s="1"/>
  <c r="W27" i="114"/>
  <c r="Z27" i="114" s="1"/>
  <c r="V27" i="114"/>
  <c r="Y27" i="114" s="1"/>
  <c r="W26" i="114"/>
  <c r="Z26" i="114" s="1"/>
  <c r="V26" i="114"/>
  <c r="Y26" i="114" s="1"/>
  <c r="W25" i="114"/>
  <c r="Z25" i="114" s="1"/>
  <c r="V25" i="114"/>
  <c r="Y25" i="114" s="1"/>
  <c r="W24" i="114"/>
  <c r="Z24" i="114" s="1"/>
  <c r="V24" i="114"/>
  <c r="Y24" i="114" s="1"/>
  <c r="W23" i="114"/>
  <c r="Z23" i="114" s="1"/>
  <c r="V23" i="114"/>
  <c r="Y23" i="114" s="1"/>
  <c r="W22" i="114"/>
  <c r="Z22" i="114" s="1"/>
  <c r="V22" i="114"/>
  <c r="Y22" i="114" s="1"/>
  <c r="AB97" i="114"/>
  <c r="AB96" i="114"/>
  <c r="AB95" i="114"/>
  <c r="AB94" i="114"/>
  <c r="AB93" i="114"/>
  <c r="AB92" i="114"/>
  <c r="AB91" i="114"/>
  <c r="AB90" i="114"/>
  <c r="AB89" i="114"/>
  <c r="AB88" i="114"/>
  <c r="AB87" i="114"/>
  <c r="AB86" i="114"/>
  <c r="AB85" i="114"/>
  <c r="AB84" i="114"/>
  <c r="AB83" i="114"/>
  <c r="AB82" i="114"/>
  <c r="AB81" i="114"/>
  <c r="AB80" i="114"/>
  <c r="AB79" i="114"/>
  <c r="AB78" i="114"/>
  <c r="X74" i="114"/>
  <c r="X73" i="114"/>
  <c r="X72" i="114"/>
  <c r="X71" i="114"/>
  <c r="X70" i="114"/>
  <c r="X68" i="114"/>
  <c r="X67" i="114"/>
  <c r="X66" i="114"/>
  <c r="X65" i="114"/>
  <c r="X64" i="114"/>
  <c r="X62" i="114"/>
  <c r="X61" i="114"/>
  <c r="X60" i="114"/>
  <c r="X59" i="114"/>
  <c r="X58" i="114"/>
  <c r="X57" i="114"/>
  <c r="X56" i="114"/>
  <c r="X55" i="114"/>
  <c r="X54" i="114"/>
  <c r="X53" i="114"/>
  <c r="X52" i="114"/>
  <c r="X51" i="114"/>
  <c r="X50" i="114"/>
  <c r="X49" i="114"/>
  <c r="X48" i="114"/>
  <c r="X47" i="114"/>
  <c r="X46" i="114"/>
  <c r="X45" i="114"/>
  <c r="X44" i="114"/>
  <c r="X43" i="114"/>
  <c r="X41" i="114"/>
  <c r="X40" i="114"/>
  <c r="X39" i="114"/>
  <c r="X38" i="114"/>
  <c r="X37" i="114"/>
  <c r="X36" i="114"/>
  <c r="X35" i="114"/>
  <c r="X34" i="114"/>
  <c r="X33" i="114"/>
  <c r="X32" i="114"/>
  <c r="X31" i="114"/>
  <c r="X30" i="114"/>
  <c r="X29" i="114"/>
  <c r="X28" i="114"/>
  <c r="X27" i="114"/>
  <c r="X26" i="114"/>
  <c r="X25" i="114"/>
  <c r="X24" i="114"/>
  <c r="X23" i="114"/>
  <c r="X22" i="114"/>
  <c r="U12" i="114"/>
  <c r="V12" i="114"/>
  <c r="W12" i="114"/>
  <c r="X12" i="114"/>
  <c r="U13" i="114"/>
  <c r="V13" i="114"/>
  <c r="Y13" i="114" s="1"/>
  <c r="W13" i="114"/>
  <c r="Z13" i="114" s="1"/>
  <c r="X13" i="114"/>
  <c r="J14" i="114"/>
  <c r="U14" i="114"/>
  <c r="V14" i="114"/>
  <c r="Y14" i="114" s="1"/>
  <c r="W14" i="114"/>
  <c r="Z14" i="114" s="1"/>
  <c r="X14" i="114"/>
  <c r="U15" i="114"/>
  <c r="V15" i="114"/>
  <c r="Y15" i="114" s="1"/>
  <c r="W15" i="114"/>
  <c r="Z15" i="114" s="1"/>
  <c r="X15" i="114"/>
  <c r="U16" i="114"/>
  <c r="V16" i="114"/>
  <c r="Y16" i="114" s="1"/>
  <c r="W16" i="114"/>
  <c r="Z16" i="114" s="1"/>
  <c r="X16" i="114"/>
  <c r="U17" i="114"/>
  <c r="V17" i="114"/>
  <c r="Y17" i="114" s="1"/>
  <c r="W17" i="114"/>
  <c r="Z17" i="114" s="1"/>
  <c r="X17" i="114"/>
  <c r="U18" i="114"/>
  <c r="V18" i="114"/>
  <c r="Y18" i="114" s="1"/>
  <c r="W18" i="114"/>
  <c r="Z18" i="114" s="1"/>
  <c r="X18" i="114"/>
  <c r="U19" i="114"/>
  <c r="V19" i="114"/>
  <c r="Y19" i="114" s="1"/>
  <c r="W19" i="114"/>
  <c r="Z19" i="114" s="1"/>
  <c r="X19" i="114"/>
  <c r="U20" i="114"/>
  <c r="V20" i="114"/>
  <c r="Y20" i="114" s="1"/>
  <c r="W20" i="114"/>
  <c r="Z20" i="114" s="1"/>
  <c r="X20" i="114"/>
  <c r="U21" i="114"/>
  <c r="V21" i="114"/>
  <c r="Y21" i="114" s="1"/>
  <c r="W21" i="114"/>
  <c r="Z21" i="114" s="1"/>
  <c r="X21" i="114"/>
  <c r="J46" i="114"/>
  <c r="D46" i="114"/>
  <c r="J57" i="114"/>
  <c r="D57" i="114"/>
  <c r="F57" i="114" s="1"/>
  <c r="J52" i="114"/>
  <c r="F52" i="114"/>
  <c r="D52" i="114"/>
  <c r="J22" i="114"/>
  <c r="J30" i="114"/>
  <c r="J38" i="114"/>
  <c r="D47" i="114"/>
  <c r="F47" i="114" s="1"/>
  <c r="D48" i="114"/>
  <c r="F48" i="114" s="1"/>
  <c r="D49" i="114"/>
  <c r="F49" i="114" s="1"/>
  <c r="D50" i="114"/>
  <c r="F50" i="114" s="1"/>
  <c r="D53" i="114"/>
  <c r="F53" i="114"/>
  <c r="D54" i="114"/>
  <c r="F54" i="114"/>
  <c r="D55" i="114"/>
  <c r="F55" i="114"/>
  <c r="D56" i="114"/>
  <c r="F56" i="114"/>
  <c r="D58" i="114"/>
  <c r="F58" i="114" s="1"/>
  <c r="F60" i="114"/>
  <c r="G60" i="114" s="1"/>
  <c r="L60" i="114" s="1"/>
  <c r="T78" i="114"/>
  <c r="T98" i="114" s="1"/>
  <c r="G86" i="114" s="1"/>
  <c r="H81" i="114" s="1"/>
  <c r="Y78" i="114"/>
  <c r="Y98" i="114" s="1"/>
  <c r="J20" i="113"/>
  <c r="AA97" i="113"/>
  <c r="AA96" i="113"/>
  <c r="AA95" i="113"/>
  <c r="AA94" i="113"/>
  <c r="AA93" i="113"/>
  <c r="AA92" i="113"/>
  <c r="AA91" i="113"/>
  <c r="AA90" i="113"/>
  <c r="AA89" i="113"/>
  <c r="AA88" i="113"/>
  <c r="AA87" i="113"/>
  <c r="AA86" i="113"/>
  <c r="AA85" i="113"/>
  <c r="AA84" i="113"/>
  <c r="AA83" i="113"/>
  <c r="AA82" i="113"/>
  <c r="AA81" i="113"/>
  <c r="AA80" i="113"/>
  <c r="AA79" i="113"/>
  <c r="AA78" i="113"/>
  <c r="U74" i="113"/>
  <c r="U73" i="113"/>
  <c r="U72" i="113"/>
  <c r="U71" i="113"/>
  <c r="U70" i="113"/>
  <c r="U68" i="113"/>
  <c r="U67" i="113"/>
  <c r="U66" i="113"/>
  <c r="U65" i="113"/>
  <c r="U64" i="113"/>
  <c r="U62" i="113"/>
  <c r="U61" i="113"/>
  <c r="U60" i="113"/>
  <c r="U59" i="113"/>
  <c r="U58" i="113"/>
  <c r="U57" i="113"/>
  <c r="U56" i="113"/>
  <c r="U55" i="113"/>
  <c r="U54" i="113"/>
  <c r="U53" i="113"/>
  <c r="U52" i="113"/>
  <c r="U51" i="113"/>
  <c r="U50" i="113"/>
  <c r="U49" i="113"/>
  <c r="U48" i="113"/>
  <c r="U47" i="113"/>
  <c r="U46" i="113"/>
  <c r="U45" i="113"/>
  <c r="U44" i="113"/>
  <c r="U43" i="113"/>
  <c r="U41" i="113"/>
  <c r="U40" i="113"/>
  <c r="U39" i="113"/>
  <c r="U38" i="113"/>
  <c r="U37" i="113"/>
  <c r="U36" i="113"/>
  <c r="U35" i="113"/>
  <c r="U34" i="113"/>
  <c r="U33" i="113"/>
  <c r="U32" i="113"/>
  <c r="U31" i="113"/>
  <c r="U30" i="113"/>
  <c r="U29" i="113"/>
  <c r="U28" i="113"/>
  <c r="U27" i="113"/>
  <c r="U26" i="113"/>
  <c r="U25" i="113"/>
  <c r="U24" i="113"/>
  <c r="U23" i="113"/>
  <c r="U22" i="113"/>
  <c r="W74" i="113"/>
  <c r="Z74" i="113" s="1"/>
  <c r="V74" i="113"/>
  <c r="Y74" i="113" s="1"/>
  <c r="W73" i="113"/>
  <c r="Z73" i="113" s="1"/>
  <c r="V73" i="113"/>
  <c r="Y73" i="113" s="1"/>
  <c r="W72" i="113"/>
  <c r="Z72" i="113" s="1"/>
  <c r="V72" i="113"/>
  <c r="Y72" i="113" s="1"/>
  <c r="W71" i="113"/>
  <c r="Z71" i="113" s="1"/>
  <c r="V71" i="113"/>
  <c r="Y71" i="113" s="1"/>
  <c r="W70" i="113"/>
  <c r="V70" i="113"/>
  <c r="W68" i="113"/>
  <c r="Z68" i="113" s="1"/>
  <c r="V68" i="113"/>
  <c r="Y68" i="113" s="1"/>
  <c r="W67" i="113"/>
  <c r="Z67" i="113" s="1"/>
  <c r="V67" i="113"/>
  <c r="Y67" i="113" s="1"/>
  <c r="W66" i="113"/>
  <c r="Z66" i="113" s="1"/>
  <c r="V66" i="113"/>
  <c r="Y66" i="113" s="1"/>
  <c r="W65" i="113"/>
  <c r="Z65" i="113" s="1"/>
  <c r="V65" i="113"/>
  <c r="Y65" i="113" s="1"/>
  <c r="W64" i="113"/>
  <c r="V64" i="113"/>
  <c r="W62" i="113"/>
  <c r="Z62" i="113" s="1"/>
  <c r="V62" i="113"/>
  <c r="Y62" i="113" s="1"/>
  <c r="W61" i="113"/>
  <c r="Z61" i="113" s="1"/>
  <c r="V61" i="113"/>
  <c r="Y61" i="113" s="1"/>
  <c r="W60" i="113"/>
  <c r="Z60" i="113" s="1"/>
  <c r="V60" i="113"/>
  <c r="Y60" i="113" s="1"/>
  <c r="W59" i="113"/>
  <c r="Z59" i="113" s="1"/>
  <c r="V59" i="113"/>
  <c r="Y59" i="113" s="1"/>
  <c r="W58" i="113"/>
  <c r="Z58" i="113" s="1"/>
  <c r="V58" i="113"/>
  <c r="Y58" i="113" s="1"/>
  <c r="W57" i="113"/>
  <c r="Z57" i="113" s="1"/>
  <c r="V57" i="113"/>
  <c r="Y57" i="113" s="1"/>
  <c r="W56" i="113"/>
  <c r="Z56" i="113" s="1"/>
  <c r="V56" i="113"/>
  <c r="Y56" i="113" s="1"/>
  <c r="W55" i="113"/>
  <c r="Z55" i="113" s="1"/>
  <c r="V55" i="113"/>
  <c r="Y55" i="113" s="1"/>
  <c r="W54" i="113"/>
  <c r="Z54" i="113" s="1"/>
  <c r="V54" i="113"/>
  <c r="Y54" i="113" s="1"/>
  <c r="W53" i="113"/>
  <c r="Z53" i="113" s="1"/>
  <c r="V53" i="113"/>
  <c r="Y53" i="113" s="1"/>
  <c r="W52" i="113"/>
  <c r="Z52" i="113" s="1"/>
  <c r="V52" i="113"/>
  <c r="Y52" i="113" s="1"/>
  <c r="W51" i="113"/>
  <c r="Z51" i="113" s="1"/>
  <c r="V51" i="113"/>
  <c r="Y51" i="113" s="1"/>
  <c r="W50" i="113"/>
  <c r="Z50" i="113" s="1"/>
  <c r="V50" i="113"/>
  <c r="Y50" i="113" s="1"/>
  <c r="W49" i="113"/>
  <c r="Z49" i="113" s="1"/>
  <c r="V49" i="113"/>
  <c r="Y49" i="113" s="1"/>
  <c r="W48" i="113"/>
  <c r="Z48" i="113" s="1"/>
  <c r="V48" i="113"/>
  <c r="Y48" i="113" s="1"/>
  <c r="W47" i="113"/>
  <c r="Z47" i="113" s="1"/>
  <c r="V47" i="113"/>
  <c r="Y47" i="113" s="1"/>
  <c r="W46" i="113"/>
  <c r="Z46" i="113" s="1"/>
  <c r="V46" i="113"/>
  <c r="Y46" i="113" s="1"/>
  <c r="W45" i="113"/>
  <c r="Z45" i="113" s="1"/>
  <c r="V45" i="113"/>
  <c r="Y45" i="113" s="1"/>
  <c r="W44" i="113"/>
  <c r="Z44" i="113" s="1"/>
  <c r="V44" i="113"/>
  <c r="Y44" i="113" s="1"/>
  <c r="W43" i="113"/>
  <c r="V43" i="113"/>
  <c r="W41" i="113"/>
  <c r="Z41" i="113" s="1"/>
  <c r="V41" i="113"/>
  <c r="Y41" i="113" s="1"/>
  <c r="W40" i="113"/>
  <c r="Z40" i="113" s="1"/>
  <c r="V40" i="113"/>
  <c r="Y40" i="113" s="1"/>
  <c r="W39" i="113"/>
  <c r="Z39" i="113" s="1"/>
  <c r="V39" i="113"/>
  <c r="Y39" i="113" s="1"/>
  <c r="W38" i="113"/>
  <c r="Z38" i="113" s="1"/>
  <c r="V38" i="113"/>
  <c r="Y38" i="113" s="1"/>
  <c r="W37" i="113"/>
  <c r="Z37" i="113" s="1"/>
  <c r="V37" i="113"/>
  <c r="Y37" i="113" s="1"/>
  <c r="W36" i="113"/>
  <c r="Z36" i="113" s="1"/>
  <c r="V36" i="113"/>
  <c r="Y36" i="113" s="1"/>
  <c r="W35" i="113"/>
  <c r="Z35" i="113" s="1"/>
  <c r="V35" i="113"/>
  <c r="Y35" i="113" s="1"/>
  <c r="W34" i="113"/>
  <c r="Z34" i="113" s="1"/>
  <c r="V34" i="113"/>
  <c r="Y34" i="113" s="1"/>
  <c r="W33" i="113"/>
  <c r="Z33" i="113" s="1"/>
  <c r="V33" i="113"/>
  <c r="Y33" i="113" s="1"/>
  <c r="W32" i="113"/>
  <c r="Z32" i="113" s="1"/>
  <c r="V32" i="113"/>
  <c r="Y32" i="113" s="1"/>
  <c r="W31" i="113"/>
  <c r="Z31" i="113" s="1"/>
  <c r="V31" i="113"/>
  <c r="Y31" i="113" s="1"/>
  <c r="W30" i="113"/>
  <c r="Z30" i="113" s="1"/>
  <c r="V30" i="113"/>
  <c r="Y30" i="113" s="1"/>
  <c r="W29" i="113"/>
  <c r="Z29" i="113" s="1"/>
  <c r="V29" i="113"/>
  <c r="Y29" i="113" s="1"/>
  <c r="W28" i="113"/>
  <c r="Z28" i="113" s="1"/>
  <c r="V28" i="113"/>
  <c r="Y28" i="113" s="1"/>
  <c r="W27" i="113"/>
  <c r="Z27" i="113" s="1"/>
  <c r="V27" i="113"/>
  <c r="Y27" i="113" s="1"/>
  <c r="W26" i="113"/>
  <c r="Z26" i="113" s="1"/>
  <c r="V26" i="113"/>
  <c r="Y26" i="113" s="1"/>
  <c r="W25" i="113"/>
  <c r="Z25" i="113" s="1"/>
  <c r="V25" i="113"/>
  <c r="Y25" i="113" s="1"/>
  <c r="W24" i="113"/>
  <c r="Z24" i="113" s="1"/>
  <c r="V24" i="113"/>
  <c r="Y24" i="113" s="1"/>
  <c r="W23" i="113"/>
  <c r="Z23" i="113" s="1"/>
  <c r="V23" i="113"/>
  <c r="Y23" i="113" s="1"/>
  <c r="W22" i="113"/>
  <c r="Z22" i="113" s="1"/>
  <c r="V22" i="113"/>
  <c r="Y22" i="113" s="1"/>
  <c r="AB97" i="113"/>
  <c r="AB96" i="113"/>
  <c r="AB95" i="113"/>
  <c r="AB94" i="113"/>
  <c r="AB93" i="113"/>
  <c r="AB92" i="113"/>
  <c r="AB91" i="113"/>
  <c r="AB90" i="113"/>
  <c r="AB89" i="113"/>
  <c r="AB88" i="113"/>
  <c r="AB87" i="113"/>
  <c r="AB86" i="113"/>
  <c r="AB85" i="113"/>
  <c r="AB84" i="113"/>
  <c r="AB83" i="113"/>
  <c r="AB82" i="113"/>
  <c r="AB81" i="113"/>
  <c r="AB80" i="113"/>
  <c r="AB79" i="113"/>
  <c r="AB78" i="113"/>
  <c r="X74" i="113"/>
  <c r="X73" i="113"/>
  <c r="X72" i="113"/>
  <c r="X71" i="113"/>
  <c r="X70" i="113"/>
  <c r="X68" i="113"/>
  <c r="X67" i="113"/>
  <c r="X66" i="113"/>
  <c r="X65" i="113"/>
  <c r="X64" i="113"/>
  <c r="X62" i="113"/>
  <c r="X61" i="113"/>
  <c r="X60" i="113"/>
  <c r="X59" i="113"/>
  <c r="X58" i="113"/>
  <c r="X57" i="113"/>
  <c r="X56" i="113"/>
  <c r="X55" i="113"/>
  <c r="X54" i="113"/>
  <c r="X53" i="113"/>
  <c r="X52" i="113"/>
  <c r="X51" i="113"/>
  <c r="X50" i="113"/>
  <c r="X49" i="113"/>
  <c r="X48" i="113"/>
  <c r="X47" i="113"/>
  <c r="X46" i="113"/>
  <c r="X45" i="113"/>
  <c r="X44" i="113"/>
  <c r="X43" i="113"/>
  <c r="X41" i="113"/>
  <c r="X40" i="113"/>
  <c r="X39" i="113"/>
  <c r="X38" i="113"/>
  <c r="X37" i="113"/>
  <c r="X36" i="113"/>
  <c r="X35" i="113"/>
  <c r="X34" i="113"/>
  <c r="X33" i="113"/>
  <c r="X32" i="113"/>
  <c r="X31" i="113"/>
  <c r="X30" i="113"/>
  <c r="X29" i="113"/>
  <c r="X28" i="113"/>
  <c r="X27" i="113"/>
  <c r="X26" i="113"/>
  <c r="X25" i="113"/>
  <c r="X24" i="113"/>
  <c r="X23" i="113"/>
  <c r="X22" i="113"/>
  <c r="U12" i="113"/>
  <c r="V12" i="113"/>
  <c r="W12" i="113"/>
  <c r="X12" i="113"/>
  <c r="U13" i="113"/>
  <c r="V13" i="113"/>
  <c r="Y13" i="113" s="1"/>
  <c r="W13" i="113"/>
  <c r="Z13" i="113" s="1"/>
  <c r="X13" i="113"/>
  <c r="J14" i="113"/>
  <c r="U14" i="113"/>
  <c r="V14" i="113"/>
  <c r="Y14" i="113" s="1"/>
  <c r="W14" i="113"/>
  <c r="Z14" i="113" s="1"/>
  <c r="X14" i="113"/>
  <c r="U15" i="113"/>
  <c r="V15" i="113"/>
  <c r="Y15" i="113" s="1"/>
  <c r="W15" i="113"/>
  <c r="Z15" i="113" s="1"/>
  <c r="X15" i="113"/>
  <c r="U16" i="113"/>
  <c r="V16" i="113"/>
  <c r="Y16" i="113" s="1"/>
  <c r="W16" i="113"/>
  <c r="Z16" i="113" s="1"/>
  <c r="X16" i="113"/>
  <c r="U17" i="113"/>
  <c r="V17" i="113"/>
  <c r="Y17" i="113" s="1"/>
  <c r="W17" i="113"/>
  <c r="Z17" i="113" s="1"/>
  <c r="X17" i="113"/>
  <c r="U18" i="113"/>
  <c r="V18" i="113"/>
  <c r="Y18" i="113" s="1"/>
  <c r="W18" i="113"/>
  <c r="Z18" i="113" s="1"/>
  <c r="X18" i="113"/>
  <c r="U19" i="113"/>
  <c r="V19" i="113"/>
  <c r="Y19" i="113" s="1"/>
  <c r="W19" i="113"/>
  <c r="Z19" i="113" s="1"/>
  <c r="X19" i="113"/>
  <c r="U20" i="113"/>
  <c r="V20" i="113"/>
  <c r="Y20" i="113" s="1"/>
  <c r="W20" i="113"/>
  <c r="Z20" i="113" s="1"/>
  <c r="X20" i="113"/>
  <c r="U21" i="113"/>
  <c r="V21" i="113"/>
  <c r="Y21" i="113" s="1"/>
  <c r="W21" i="113"/>
  <c r="Z21" i="113" s="1"/>
  <c r="X21" i="113"/>
  <c r="J46" i="113"/>
  <c r="D46" i="113"/>
  <c r="J57" i="113"/>
  <c r="D57" i="113"/>
  <c r="F57" i="113" s="1"/>
  <c r="J52" i="113"/>
  <c r="F52" i="113"/>
  <c r="D52" i="113"/>
  <c r="J22" i="113"/>
  <c r="J30" i="113"/>
  <c r="J38" i="113"/>
  <c r="D47" i="113"/>
  <c r="F47" i="113" s="1"/>
  <c r="D48" i="113"/>
  <c r="F48" i="113" s="1"/>
  <c r="D49" i="113"/>
  <c r="F49" i="113" s="1"/>
  <c r="D50" i="113"/>
  <c r="F50" i="113" s="1"/>
  <c r="D53" i="113"/>
  <c r="F53" i="113"/>
  <c r="D54" i="113"/>
  <c r="F54" i="113"/>
  <c r="D55" i="113"/>
  <c r="F55" i="113"/>
  <c r="D56" i="113"/>
  <c r="F56" i="113"/>
  <c r="D58" i="113"/>
  <c r="F58" i="113" s="1"/>
  <c r="F60" i="113"/>
  <c r="G60" i="113" s="1"/>
  <c r="L60" i="113" s="1"/>
  <c r="T78" i="113"/>
  <c r="T98" i="113" s="1"/>
  <c r="G86" i="113" s="1"/>
  <c r="H81" i="113" s="1"/>
  <c r="Y78" i="113"/>
  <c r="Y98" i="113" s="1"/>
  <c r="B65" i="112"/>
  <c r="B71" i="112" s="1"/>
  <c r="J20" i="112"/>
  <c r="AA97" i="112"/>
  <c r="AA96" i="112"/>
  <c r="AA95" i="112"/>
  <c r="AA94" i="112"/>
  <c r="AA93" i="112"/>
  <c r="AA92" i="112"/>
  <c r="AA91" i="112"/>
  <c r="AA90" i="112"/>
  <c r="AA89" i="112"/>
  <c r="AA88" i="112"/>
  <c r="AA87" i="112"/>
  <c r="AA86" i="112"/>
  <c r="AA85" i="112"/>
  <c r="AA84" i="112"/>
  <c r="AA83" i="112"/>
  <c r="AA82" i="112"/>
  <c r="AA81" i="112"/>
  <c r="AA80" i="112"/>
  <c r="AA79" i="112"/>
  <c r="AA78" i="112"/>
  <c r="U74" i="112"/>
  <c r="U73" i="112"/>
  <c r="U72" i="112"/>
  <c r="U71" i="112"/>
  <c r="U70" i="112"/>
  <c r="U68" i="112"/>
  <c r="U67" i="112"/>
  <c r="U66" i="112"/>
  <c r="U65" i="112"/>
  <c r="U64" i="112"/>
  <c r="U62" i="112"/>
  <c r="U61" i="112"/>
  <c r="U60" i="112"/>
  <c r="U59" i="112"/>
  <c r="U58" i="112"/>
  <c r="U57" i="112"/>
  <c r="U56" i="112"/>
  <c r="U55" i="112"/>
  <c r="U54" i="112"/>
  <c r="U53" i="112"/>
  <c r="U52" i="112"/>
  <c r="U51" i="112"/>
  <c r="U50" i="112"/>
  <c r="U49" i="112"/>
  <c r="U48" i="112"/>
  <c r="U47" i="112"/>
  <c r="U46" i="112"/>
  <c r="U45" i="112"/>
  <c r="U44" i="112"/>
  <c r="U43" i="112"/>
  <c r="U41" i="112"/>
  <c r="U40" i="112"/>
  <c r="U39" i="112"/>
  <c r="U38" i="112"/>
  <c r="U37" i="112"/>
  <c r="U36" i="112"/>
  <c r="U35" i="112"/>
  <c r="U34" i="112"/>
  <c r="U33" i="112"/>
  <c r="U32" i="112"/>
  <c r="U31" i="112"/>
  <c r="U30" i="112"/>
  <c r="U29" i="112"/>
  <c r="U28" i="112"/>
  <c r="U27" i="112"/>
  <c r="U26" i="112"/>
  <c r="U25" i="112"/>
  <c r="U24" i="112"/>
  <c r="U23" i="112"/>
  <c r="U22" i="112"/>
  <c r="W74" i="112"/>
  <c r="Z74" i="112" s="1"/>
  <c r="V74" i="112"/>
  <c r="Y74" i="112" s="1"/>
  <c r="W73" i="112"/>
  <c r="Z73" i="112" s="1"/>
  <c r="V73" i="112"/>
  <c r="Y73" i="112" s="1"/>
  <c r="W72" i="112"/>
  <c r="Z72" i="112" s="1"/>
  <c r="V72" i="112"/>
  <c r="Y72" i="112" s="1"/>
  <c r="W71" i="112"/>
  <c r="Z71" i="112" s="1"/>
  <c r="V71" i="112"/>
  <c r="Y71" i="112" s="1"/>
  <c r="W70" i="112"/>
  <c r="V70" i="112"/>
  <c r="W68" i="112"/>
  <c r="Z68" i="112" s="1"/>
  <c r="V68" i="112"/>
  <c r="Y68" i="112" s="1"/>
  <c r="W67" i="112"/>
  <c r="Z67" i="112" s="1"/>
  <c r="V67" i="112"/>
  <c r="Y67" i="112" s="1"/>
  <c r="W66" i="112"/>
  <c r="Z66" i="112" s="1"/>
  <c r="V66" i="112"/>
  <c r="Y66" i="112" s="1"/>
  <c r="W65" i="112"/>
  <c r="Z65" i="112" s="1"/>
  <c r="V65" i="112"/>
  <c r="Y65" i="112" s="1"/>
  <c r="W64" i="112"/>
  <c r="V64" i="112"/>
  <c r="W62" i="112"/>
  <c r="Z62" i="112" s="1"/>
  <c r="V62" i="112"/>
  <c r="Y62" i="112" s="1"/>
  <c r="W61" i="112"/>
  <c r="Z61" i="112" s="1"/>
  <c r="V61" i="112"/>
  <c r="Y61" i="112" s="1"/>
  <c r="W60" i="112"/>
  <c r="Z60" i="112" s="1"/>
  <c r="V60" i="112"/>
  <c r="Y60" i="112" s="1"/>
  <c r="W59" i="112"/>
  <c r="Z59" i="112" s="1"/>
  <c r="V59" i="112"/>
  <c r="Y59" i="112" s="1"/>
  <c r="W58" i="112"/>
  <c r="Z58" i="112" s="1"/>
  <c r="V58" i="112"/>
  <c r="Y58" i="112" s="1"/>
  <c r="W57" i="112"/>
  <c r="Z57" i="112" s="1"/>
  <c r="V57" i="112"/>
  <c r="Y57" i="112" s="1"/>
  <c r="W56" i="112"/>
  <c r="Z56" i="112" s="1"/>
  <c r="V56" i="112"/>
  <c r="Y56" i="112" s="1"/>
  <c r="W55" i="112"/>
  <c r="Z55" i="112" s="1"/>
  <c r="V55" i="112"/>
  <c r="Y55" i="112" s="1"/>
  <c r="W54" i="112"/>
  <c r="Z54" i="112" s="1"/>
  <c r="V54" i="112"/>
  <c r="Y54" i="112" s="1"/>
  <c r="W53" i="112"/>
  <c r="Z53" i="112" s="1"/>
  <c r="V53" i="112"/>
  <c r="Y53" i="112" s="1"/>
  <c r="W52" i="112"/>
  <c r="Z52" i="112" s="1"/>
  <c r="V52" i="112"/>
  <c r="Y52" i="112" s="1"/>
  <c r="W51" i="112"/>
  <c r="Z51" i="112" s="1"/>
  <c r="V51" i="112"/>
  <c r="Y51" i="112" s="1"/>
  <c r="W50" i="112"/>
  <c r="Z50" i="112" s="1"/>
  <c r="V50" i="112"/>
  <c r="Y50" i="112" s="1"/>
  <c r="W49" i="112"/>
  <c r="Z49" i="112" s="1"/>
  <c r="V49" i="112"/>
  <c r="Y49" i="112" s="1"/>
  <c r="W48" i="112"/>
  <c r="Z48" i="112" s="1"/>
  <c r="V48" i="112"/>
  <c r="Y48" i="112" s="1"/>
  <c r="W47" i="112"/>
  <c r="Z47" i="112" s="1"/>
  <c r="V47" i="112"/>
  <c r="Y47" i="112" s="1"/>
  <c r="W46" i="112"/>
  <c r="Z46" i="112" s="1"/>
  <c r="V46" i="112"/>
  <c r="Y46" i="112" s="1"/>
  <c r="W45" i="112"/>
  <c r="Z45" i="112" s="1"/>
  <c r="V45" i="112"/>
  <c r="Y45" i="112" s="1"/>
  <c r="W44" i="112"/>
  <c r="Z44" i="112" s="1"/>
  <c r="V44" i="112"/>
  <c r="Y44" i="112" s="1"/>
  <c r="W43" i="112"/>
  <c r="V43" i="112"/>
  <c r="W41" i="112"/>
  <c r="Z41" i="112" s="1"/>
  <c r="V41" i="112"/>
  <c r="Y41" i="112" s="1"/>
  <c r="W40" i="112"/>
  <c r="Z40" i="112" s="1"/>
  <c r="V40" i="112"/>
  <c r="Y40" i="112" s="1"/>
  <c r="W39" i="112"/>
  <c r="Z39" i="112" s="1"/>
  <c r="V39" i="112"/>
  <c r="Y39" i="112" s="1"/>
  <c r="W38" i="112"/>
  <c r="Z38" i="112" s="1"/>
  <c r="V38" i="112"/>
  <c r="Y38" i="112" s="1"/>
  <c r="W37" i="112"/>
  <c r="Z37" i="112" s="1"/>
  <c r="V37" i="112"/>
  <c r="Y37" i="112" s="1"/>
  <c r="W36" i="112"/>
  <c r="Z36" i="112" s="1"/>
  <c r="V36" i="112"/>
  <c r="Y36" i="112" s="1"/>
  <c r="W35" i="112"/>
  <c r="Z35" i="112" s="1"/>
  <c r="V35" i="112"/>
  <c r="Y35" i="112" s="1"/>
  <c r="W34" i="112"/>
  <c r="Z34" i="112" s="1"/>
  <c r="V34" i="112"/>
  <c r="Y34" i="112" s="1"/>
  <c r="W33" i="112"/>
  <c r="Z33" i="112" s="1"/>
  <c r="V33" i="112"/>
  <c r="Y33" i="112" s="1"/>
  <c r="W32" i="112"/>
  <c r="Z32" i="112" s="1"/>
  <c r="V32" i="112"/>
  <c r="Y32" i="112" s="1"/>
  <c r="W31" i="112"/>
  <c r="Z31" i="112" s="1"/>
  <c r="V31" i="112"/>
  <c r="Y31" i="112" s="1"/>
  <c r="W30" i="112"/>
  <c r="Z30" i="112" s="1"/>
  <c r="V30" i="112"/>
  <c r="Y30" i="112" s="1"/>
  <c r="W29" i="112"/>
  <c r="Z29" i="112" s="1"/>
  <c r="V29" i="112"/>
  <c r="Y29" i="112" s="1"/>
  <c r="W28" i="112"/>
  <c r="Z28" i="112" s="1"/>
  <c r="V28" i="112"/>
  <c r="Y28" i="112" s="1"/>
  <c r="W27" i="112"/>
  <c r="Z27" i="112" s="1"/>
  <c r="V27" i="112"/>
  <c r="Y27" i="112" s="1"/>
  <c r="W26" i="112"/>
  <c r="Z26" i="112" s="1"/>
  <c r="V26" i="112"/>
  <c r="Y26" i="112" s="1"/>
  <c r="W25" i="112"/>
  <c r="Z25" i="112" s="1"/>
  <c r="V25" i="112"/>
  <c r="Y25" i="112" s="1"/>
  <c r="W24" i="112"/>
  <c r="Z24" i="112" s="1"/>
  <c r="V24" i="112"/>
  <c r="Y24" i="112" s="1"/>
  <c r="W23" i="112"/>
  <c r="Z23" i="112" s="1"/>
  <c r="V23" i="112"/>
  <c r="Y23" i="112" s="1"/>
  <c r="W22" i="112"/>
  <c r="Z22" i="112" s="1"/>
  <c r="V22" i="112"/>
  <c r="Y22" i="112" s="1"/>
  <c r="AB97" i="112"/>
  <c r="AB96" i="112"/>
  <c r="AB95" i="112"/>
  <c r="AB94" i="112"/>
  <c r="AB93" i="112"/>
  <c r="AB92" i="112"/>
  <c r="AB91" i="112"/>
  <c r="AB90" i="112"/>
  <c r="AB89" i="112"/>
  <c r="AB88" i="112"/>
  <c r="AB87" i="112"/>
  <c r="AB86" i="112"/>
  <c r="AB85" i="112"/>
  <c r="AB84" i="112"/>
  <c r="AB83" i="112"/>
  <c r="AB82" i="112"/>
  <c r="AB81" i="112"/>
  <c r="AB80" i="112"/>
  <c r="AB79" i="112"/>
  <c r="AB78" i="112"/>
  <c r="X74" i="112"/>
  <c r="X73" i="112"/>
  <c r="X72" i="112"/>
  <c r="X71" i="112"/>
  <c r="X70" i="112"/>
  <c r="X68" i="112"/>
  <c r="X67" i="112"/>
  <c r="X66" i="112"/>
  <c r="X65" i="112"/>
  <c r="X64" i="112"/>
  <c r="X62" i="112"/>
  <c r="X61" i="112"/>
  <c r="X60" i="112"/>
  <c r="X59" i="112"/>
  <c r="X58" i="112"/>
  <c r="X57" i="112"/>
  <c r="X56" i="112"/>
  <c r="X55" i="112"/>
  <c r="X54" i="112"/>
  <c r="X53" i="112"/>
  <c r="X52" i="112"/>
  <c r="X51" i="112"/>
  <c r="X50" i="112"/>
  <c r="X49" i="112"/>
  <c r="X48" i="112"/>
  <c r="X47" i="112"/>
  <c r="X46" i="112"/>
  <c r="X45" i="112"/>
  <c r="X44" i="112"/>
  <c r="X43" i="112"/>
  <c r="X41" i="112"/>
  <c r="X40" i="112"/>
  <c r="X39" i="112"/>
  <c r="X38" i="112"/>
  <c r="X37" i="112"/>
  <c r="X36" i="112"/>
  <c r="X35" i="112"/>
  <c r="X34" i="112"/>
  <c r="X33" i="112"/>
  <c r="X32" i="112"/>
  <c r="X31" i="112"/>
  <c r="X30" i="112"/>
  <c r="X29" i="112"/>
  <c r="X28" i="112"/>
  <c r="X27" i="112"/>
  <c r="X26" i="112"/>
  <c r="X25" i="112"/>
  <c r="X24" i="112"/>
  <c r="X23" i="112"/>
  <c r="X22" i="112"/>
  <c r="U12" i="112"/>
  <c r="V12" i="112"/>
  <c r="W12" i="112"/>
  <c r="X12" i="112"/>
  <c r="U13" i="112"/>
  <c r="V13" i="112"/>
  <c r="Y13" i="112" s="1"/>
  <c r="W13" i="112"/>
  <c r="Z13" i="112" s="1"/>
  <c r="X13" i="112"/>
  <c r="J14" i="112"/>
  <c r="U14" i="112"/>
  <c r="V14" i="112"/>
  <c r="Y14" i="112" s="1"/>
  <c r="W14" i="112"/>
  <c r="Z14" i="112" s="1"/>
  <c r="X14" i="112"/>
  <c r="U15" i="112"/>
  <c r="V15" i="112"/>
  <c r="Y15" i="112" s="1"/>
  <c r="W15" i="112"/>
  <c r="Z15" i="112" s="1"/>
  <c r="X15" i="112"/>
  <c r="U16" i="112"/>
  <c r="V16" i="112"/>
  <c r="Y16" i="112" s="1"/>
  <c r="W16" i="112"/>
  <c r="Z16" i="112" s="1"/>
  <c r="X16" i="112"/>
  <c r="U17" i="112"/>
  <c r="V17" i="112"/>
  <c r="Y17" i="112" s="1"/>
  <c r="W17" i="112"/>
  <c r="Z17" i="112" s="1"/>
  <c r="X17" i="112"/>
  <c r="U18" i="112"/>
  <c r="V18" i="112"/>
  <c r="Y18" i="112" s="1"/>
  <c r="W18" i="112"/>
  <c r="Z18" i="112" s="1"/>
  <c r="X18" i="112"/>
  <c r="U19" i="112"/>
  <c r="V19" i="112"/>
  <c r="Y19" i="112" s="1"/>
  <c r="W19" i="112"/>
  <c r="Z19" i="112" s="1"/>
  <c r="X19" i="112"/>
  <c r="U20" i="112"/>
  <c r="V20" i="112"/>
  <c r="Y20" i="112" s="1"/>
  <c r="W20" i="112"/>
  <c r="Z20" i="112" s="1"/>
  <c r="X20" i="112"/>
  <c r="U21" i="112"/>
  <c r="V21" i="112"/>
  <c r="Y21" i="112" s="1"/>
  <c r="W21" i="112"/>
  <c r="Z21" i="112" s="1"/>
  <c r="X21" i="112"/>
  <c r="J46" i="112"/>
  <c r="D46" i="112"/>
  <c r="J57" i="112"/>
  <c r="D57" i="112"/>
  <c r="F57" i="112" s="1"/>
  <c r="J52" i="112"/>
  <c r="F52" i="112"/>
  <c r="D52" i="112"/>
  <c r="J22" i="112"/>
  <c r="J30" i="112"/>
  <c r="J38" i="112"/>
  <c r="D47" i="112"/>
  <c r="F47" i="112" s="1"/>
  <c r="D48" i="112"/>
  <c r="F48" i="112" s="1"/>
  <c r="D49" i="112"/>
  <c r="F49" i="112" s="1"/>
  <c r="D50" i="112"/>
  <c r="F50" i="112" s="1"/>
  <c r="D51" i="112"/>
  <c r="F51" i="112" s="1"/>
  <c r="D53" i="112"/>
  <c r="F53" i="112"/>
  <c r="D54" i="112"/>
  <c r="F54" i="112"/>
  <c r="G54" i="112" s="1"/>
  <c r="D55" i="112"/>
  <c r="F55" i="112"/>
  <c r="D56" i="112"/>
  <c r="F56" i="112"/>
  <c r="D58" i="112"/>
  <c r="F58" i="112" s="1"/>
  <c r="F60" i="112"/>
  <c r="G60" i="112" s="1"/>
  <c r="L60" i="112" s="1"/>
  <c r="T78" i="112"/>
  <c r="T98" i="112" s="1"/>
  <c r="G86" i="112" s="1"/>
  <c r="H81" i="112" s="1"/>
  <c r="Y78" i="112"/>
  <c r="Y98" i="112" s="1"/>
  <c r="J20" i="111"/>
  <c r="AA97" i="111"/>
  <c r="AA96" i="111"/>
  <c r="AA95" i="111"/>
  <c r="AA94" i="111"/>
  <c r="AA93" i="111"/>
  <c r="AA92" i="111"/>
  <c r="AA91" i="111"/>
  <c r="AA90" i="111"/>
  <c r="AA89" i="111"/>
  <c r="AA88" i="111"/>
  <c r="AA87" i="111"/>
  <c r="AA86" i="111"/>
  <c r="AA85" i="111"/>
  <c r="AA84" i="111"/>
  <c r="AA83" i="111"/>
  <c r="AA82" i="111"/>
  <c r="AA81" i="111"/>
  <c r="AA80" i="111"/>
  <c r="AA79" i="111"/>
  <c r="AA78" i="111"/>
  <c r="U74" i="111"/>
  <c r="U73" i="111"/>
  <c r="U72" i="111"/>
  <c r="U71" i="111"/>
  <c r="U70" i="111"/>
  <c r="U68" i="111"/>
  <c r="U67" i="111"/>
  <c r="U66" i="111"/>
  <c r="U65" i="111"/>
  <c r="U64" i="111"/>
  <c r="U62" i="111"/>
  <c r="U61" i="111"/>
  <c r="U60" i="111"/>
  <c r="U59" i="111"/>
  <c r="U58" i="111"/>
  <c r="U57" i="111"/>
  <c r="U56" i="111"/>
  <c r="U55" i="111"/>
  <c r="U54" i="111"/>
  <c r="U53" i="111"/>
  <c r="U52" i="111"/>
  <c r="U51" i="111"/>
  <c r="U50" i="111"/>
  <c r="U49" i="111"/>
  <c r="U48" i="111"/>
  <c r="U47" i="111"/>
  <c r="U46" i="111"/>
  <c r="U45" i="111"/>
  <c r="U44" i="111"/>
  <c r="U43" i="111"/>
  <c r="U41" i="111"/>
  <c r="U40" i="111"/>
  <c r="U39" i="111"/>
  <c r="U38" i="111"/>
  <c r="U37" i="111"/>
  <c r="U36" i="111"/>
  <c r="U35" i="111"/>
  <c r="U34" i="111"/>
  <c r="U33" i="111"/>
  <c r="U32" i="111"/>
  <c r="U31" i="111"/>
  <c r="U30" i="111"/>
  <c r="U29" i="111"/>
  <c r="U28" i="111"/>
  <c r="U27" i="111"/>
  <c r="U26" i="111"/>
  <c r="U25" i="111"/>
  <c r="U24" i="111"/>
  <c r="U23" i="111"/>
  <c r="U22" i="111"/>
  <c r="W74" i="111"/>
  <c r="Z74" i="111" s="1"/>
  <c r="V74" i="111"/>
  <c r="Y74" i="111" s="1"/>
  <c r="W73" i="111"/>
  <c r="Z73" i="111" s="1"/>
  <c r="V73" i="111"/>
  <c r="Y73" i="111" s="1"/>
  <c r="W72" i="111"/>
  <c r="Z72" i="111" s="1"/>
  <c r="V72" i="111"/>
  <c r="Y72" i="111" s="1"/>
  <c r="W71" i="111"/>
  <c r="Z71" i="111" s="1"/>
  <c r="V71" i="111"/>
  <c r="Y71" i="111" s="1"/>
  <c r="W70" i="111"/>
  <c r="V70" i="111"/>
  <c r="W68" i="111"/>
  <c r="Z68" i="111" s="1"/>
  <c r="V68" i="111"/>
  <c r="Y68" i="111" s="1"/>
  <c r="W67" i="111"/>
  <c r="Z67" i="111" s="1"/>
  <c r="V67" i="111"/>
  <c r="Y67" i="111" s="1"/>
  <c r="W66" i="111"/>
  <c r="Z66" i="111" s="1"/>
  <c r="V66" i="111"/>
  <c r="Y66" i="111" s="1"/>
  <c r="W65" i="111"/>
  <c r="Z65" i="111" s="1"/>
  <c r="V65" i="111"/>
  <c r="Y65" i="111" s="1"/>
  <c r="W64" i="111"/>
  <c r="V64" i="111"/>
  <c r="W62" i="111"/>
  <c r="Z62" i="111" s="1"/>
  <c r="V62" i="111"/>
  <c r="Y62" i="111" s="1"/>
  <c r="W61" i="111"/>
  <c r="Z61" i="111" s="1"/>
  <c r="V61" i="111"/>
  <c r="Y61" i="111" s="1"/>
  <c r="W60" i="111"/>
  <c r="Z60" i="111" s="1"/>
  <c r="V60" i="111"/>
  <c r="Y60" i="111" s="1"/>
  <c r="W59" i="111"/>
  <c r="Z59" i="111" s="1"/>
  <c r="V59" i="111"/>
  <c r="Y59" i="111" s="1"/>
  <c r="W58" i="111"/>
  <c r="Z58" i="111" s="1"/>
  <c r="V58" i="111"/>
  <c r="Y58" i="111" s="1"/>
  <c r="W57" i="111"/>
  <c r="Z57" i="111" s="1"/>
  <c r="V57" i="111"/>
  <c r="Y57" i="111" s="1"/>
  <c r="W56" i="111"/>
  <c r="Z56" i="111" s="1"/>
  <c r="V56" i="111"/>
  <c r="Y56" i="111" s="1"/>
  <c r="W55" i="111"/>
  <c r="Z55" i="111" s="1"/>
  <c r="V55" i="111"/>
  <c r="Y55" i="111" s="1"/>
  <c r="W54" i="111"/>
  <c r="Z54" i="111" s="1"/>
  <c r="V54" i="111"/>
  <c r="Y54" i="111" s="1"/>
  <c r="W53" i="111"/>
  <c r="Z53" i="111" s="1"/>
  <c r="V53" i="111"/>
  <c r="Y53" i="111" s="1"/>
  <c r="W52" i="111"/>
  <c r="Z52" i="111" s="1"/>
  <c r="V52" i="111"/>
  <c r="Y52" i="111" s="1"/>
  <c r="W51" i="111"/>
  <c r="Z51" i="111" s="1"/>
  <c r="V51" i="111"/>
  <c r="Y51" i="111" s="1"/>
  <c r="W50" i="111"/>
  <c r="Z50" i="111" s="1"/>
  <c r="V50" i="111"/>
  <c r="Y50" i="111" s="1"/>
  <c r="W49" i="111"/>
  <c r="Z49" i="111" s="1"/>
  <c r="V49" i="111"/>
  <c r="Y49" i="111" s="1"/>
  <c r="W48" i="111"/>
  <c r="Z48" i="111" s="1"/>
  <c r="V48" i="111"/>
  <c r="Y48" i="111" s="1"/>
  <c r="W47" i="111"/>
  <c r="Z47" i="111" s="1"/>
  <c r="V47" i="111"/>
  <c r="Y47" i="111" s="1"/>
  <c r="W46" i="111"/>
  <c r="Z46" i="111" s="1"/>
  <c r="V46" i="111"/>
  <c r="Y46" i="111" s="1"/>
  <c r="W45" i="111"/>
  <c r="Z45" i="111" s="1"/>
  <c r="V45" i="111"/>
  <c r="Y45" i="111" s="1"/>
  <c r="W44" i="111"/>
  <c r="Z44" i="111" s="1"/>
  <c r="V44" i="111"/>
  <c r="Y44" i="111" s="1"/>
  <c r="W43" i="111"/>
  <c r="V43" i="111"/>
  <c r="W41" i="111"/>
  <c r="Z41" i="111" s="1"/>
  <c r="V41" i="111"/>
  <c r="Y41" i="111" s="1"/>
  <c r="W40" i="111"/>
  <c r="Z40" i="111" s="1"/>
  <c r="V40" i="111"/>
  <c r="Y40" i="111" s="1"/>
  <c r="W39" i="111"/>
  <c r="Z39" i="111" s="1"/>
  <c r="V39" i="111"/>
  <c r="Y39" i="111" s="1"/>
  <c r="W38" i="111"/>
  <c r="Z38" i="111" s="1"/>
  <c r="V38" i="111"/>
  <c r="Y38" i="111" s="1"/>
  <c r="W37" i="111"/>
  <c r="Z37" i="111" s="1"/>
  <c r="V37" i="111"/>
  <c r="Y37" i="111" s="1"/>
  <c r="W36" i="111"/>
  <c r="Z36" i="111" s="1"/>
  <c r="V36" i="111"/>
  <c r="Y36" i="111" s="1"/>
  <c r="W35" i="111"/>
  <c r="Z35" i="111" s="1"/>
  <c r="V35" i="111"/>
  <c r="Y35" i="111" s="1"/>
  <c r="W34" i="111"/>
  <c r="Z34" i="111" s="1"/>
  <c r="V34" i="111"/>
  <c r="Y34" i="111" s="1"/>
  <c r="W33" i="111"/>
  <c r="Z33" i="111" s="1"/>
  <c r="V33" i="111"/>
  <c r="Y33" i="111" s="1"/>
  <c r="W32" i="111"/>
  <c r="Z32" i="111" s="1"/>
  <c r="V32" i="111"/>
  <c r="Y32" i="111" s="1"/>
  <c r="W31" i="111"/>
  <c r="Z31" i="111" s="1"/>
  <c r="V31" i="111"/>
  <c r="Y31" i="111" s="1"/>
  <c r="W30" i="111"/>
  <c r="Z30" i="111" s="1"/>
  <c r="V30" i="111"/>
  <c r="Y30" i="111" s="1"/>
  <c r="W29" i="111"/>
  <c r="Z29" i="111" s="1"/>
  <c r="V29" i="111"/>
  <c r="Y29" i="111" s="1"/>
  <c r="W28" i="111"/>
  <c r="Z28" i="111" s="1"/>
  <c r="V28" i="111"/>
  <c r="Y28" i="111" s="1"/>
  <c r="W27" i="111"/>
  <c r="Z27" i="111" s="1"/>
  <c r="V27" i="111"/>
  <c r="Y27" i="111" s="1"/>
  <c r="W26" i="111"/>
  <c r="Z26" i="111" s="1"/>
  <c r="V26" i="111"/>
  <c r="Y26" i="111" s="1"/>
  <c r="W25" i="111"/>
  <c r="Z25" i="111" s="1"/>
  <c r="V25" i="111"/>
  <c r="Y25" i="111" s="1"/>
  <c r="W24" i="111"/>
  <c r="Z24" i="111" s="1"/>
  <c r="V24" i="111"/>
  <c r="Y24" i="111" s="1"/>
  <c r="W23" i="111"/>
  <c r="Z23" i="111" s="1"/>
  <c r="V23" i="111"/>
  <c r="Y23" i="111" s="1"/>
  <c r="W22" i="111"/>
  <c r="Z22" i="111" s="1"/>
  <c r="V22" i="111"/>
  <c r="Y22" i="111" s="1"/>
  <c r="AB97" i="111"/>
  <c r="AB96" i="111"/>
  <c r="AB95" i="111"/>
  <c r="AB94" i="111"/>
  <c r="AB93" i="111"/>
  <c r="AB92" i="111"/>
  <c r="AB91" i="111"/>
  <c r="AB90" i="111"/>
  <c r="AB89" i="111"/>
  <c r="AB88" i="111"/>
  <c r="AB87" i="111"/>
  <c r="AB86" i="111"/>
  <c r="AB85" i="111"/>
  <c r="AB84" i="111"/>
  <c r="AB83" i="111"/>
  <c r="AB82" i="111"/>
  <c r="AB81" i="111"/>
  <c r="AB80" i="111"/>
  <c r="AB79" i="111"/>
  <c r="AB78" i="111"/>
  <c r="X74" i="111"/>
  <c r="X73" i="111"/>
  <c r="X72" i="111"/>
  <c r="X71" i="111"/>
  <c r="X70" i="111"/>
  <c r="X75" i="111" s="1"/>
  <c r="X68" i="111"/>
  <c r="X67" i="111"/>
  <c r="X66" i="111"/>
  <c r="X65" i="111"/>
  <c r="X64" i="111"/>
  <c r="X62" i="111"/>
  <c r="X61" i="111"/>
  <c r="X60" i="111"/>
  <c r="X59" i="111"/>
  <c r="X58" i="111"/>
  <c r="X57" i="111"/>
  <c r="X56" i="111"/>
  <c r="X55" i="111"/>
  <c r="X54" i="111"/>
  <c r="X53" i="111"/>
  <c r="X52" i="111"/>
  <c r="X51" i="111"/>
  <c r="X50" i="111"/>
  <c r="X49" i="111"/>
  <c r="X48" i="111"/>
  <c r="X47" i="111"/>
  <c r="X46" i="111"/>
  <c r="X45" i="111"/>
  <c r="X44" i="111"/>
  <c r="X43" i="111"/>
  <c r="X41" i="111"/>
  <c r="X40" i="111"/>
  <c r="X39" i="111"/>
  <c r="X38" i="111"/>
  <c r="X37" i="111"/>
  <c r="X36" i="111"/>
  <c r="X35" i="111"/>
  <c r="X34" i="111"/>
  <c r="X33" i="111"/>
  <c r="X32" i="111"/>
  <c r="X31" i="111"/>
  <c r="X30" i="111"/>
  <c r="X29" i="111"/>
  <c r="X28" i="111"/>
  <c r="X27" i="111"/>
  <c r="X26" i="111"/>
  <c r="X25" i="111"/>
  <c r="X24" i="111"/>
  <c r="X23" i="111"/>
  <c r="X22" i="111"/>
  <c r="U12" i="111"/>
  <c r="V12" i="111"/>
  <c r="W12" i="111"/>
  <c r="X12" i="111"/>
  <c r="U13" i="111"/>
  <c r="V13" i="111"/>
  <c r="Y13" i="111" s="1"/>
  <c r="W13" i="111"/>
  <c r="Z13" i="111" s="1"/>
  <c r="X13" i="111"/>
  <c r="J14" i="111"/>
  <c r="U14" i="111"/>
  <c r="V14" i="111"/>
  <c r="Y14" i="111" s="1"/>
  <c r="W14" i="111"/>
  <c r="Z14" i="111" s="1"/>
  <c r="X14" i="111"/>
  <c r="U15" i="111"/>
  <c r="V15" i="111"/>
  <c r="Y15" i="111" s="1"/>
  <c r="W15" i="111"/>
  <c r="Z15" i="111" s="1"/>
  <c r="X15" i="111"/>
  <c r="U16" i="111"/>
  <c r="V16" i="111"/>
  <c r="Y16" i="111" s="1"/>
  <c r="W16" i="111"/>
  <c r="Z16" i="111" s="1"/>
  <c r="X16" i="111"/>
  <c r="U17" i="111"/>
  <c r="V17" i="111"/>
  <c r="Y17" i="111" s="1"/>
  <c r="W17" i="111"/>
  <c r="Z17" i="111" s="1"/>
  <c r="X17" i="111"/>
  <c r="U18" i="111"/>
  <c r="V18" i="111"/>
  <c r="Y18" i="111" s="1"/>
  <c r="W18" i="111"/>
  <c r="Z18" i="111" s="1"/>
  <c r="X18" i="111"/>
  <c r="U19" i="111"/>
  <c r="V19" i="111"/>
  <c r="Y19" i="111" s="1"/>
  <c r="W19" i="111"/>
  <c r="Z19" i="111" s="1"/>
  <c r="X19" i="111"/>
  <c r="U20" i="111"/>
  <c r="V20" i="111"/>
  <c r="Y20" i="111" s="1"/>
  <c r="W20" i="111"/>
  <c r="Z20" i="111" s="1"/>
  <c r="X20" i="111"/>
  <c r="U21" i="111"/>
  <c r="V21" i="111"/>
  <c r="Y21" i="111" s="1"/>
  <c r="W21" i="111"/>
  <c r="Z21" i="111" s="1"/>
  <c r="X21" i="111"/>
  <c r="J46" i="111"/>
  <c r="D46" i="111"/>
  <c r="J57" i="111"/>
  <c r="D57" i="111"/>
  <c r="F57" i="111" s="1"/>
  <c r="J52" i="111"/>
  <c r="F52" i="111"/>
  <c r="D52" i="111"/>
  <c r="J22" i="111"/>
  <c r="J30" i="111"/>
  <c r="J38" i="111"/>
  <c r="D47" i="111"/>
  <c r="F47" i="111" s="1"/>
  <c r="D48" i="111"/>
  <c r="F48" i="111" s="1"/>
  <c r="D49" i="111"/>
  <c r="F49" i="111" s="1"/>
  <c r="D50" i="111"/>
  <c r="F50" i="111" s="1"/>
  <c r="D53" i="111"/>
  <c r="F53" i="111"/>
  <c r="D54" i="111"/>
  <c r="F54" i="111"/>
  <c r="G54" i="111" s="1"/>
  <c r="D55" i="111"/>
  <c r="F55" i="111"/>
  <c r="D56" i="111"/>
  <c r="F56" i="111"/>
  <c r="D58" i="111"/>
  <c r="F58" i="111" s="1"/>
  <c r="F60" i="111"/>
  <c r="G60" i="111" s="1"/>
  <c r="L60" i="111" s="1"/>
  <c r="T78" i="111"/>
  <c r="T98" i="111" s="1"/>
  <c r="G86" i="111" s="1"/>
  <c r="H81" i="111" s="1"/>
  <c r="Y78" i="111"/>
  <c r="Y98" i="111" s="1"/>
  <c r="J20" i="110"/>
  <c r="AA97" i="110"/>
  <c r="AA96" i="110"/>
  <c r="AA95" i="110"/>
  <c r="AA94" i="110"/>
  <c r="AA93" i="110"/>
  <c r="AA92" i="110"/>
  <c r="AA91" i="110"/>
  <c r="AA90" i="110"/>
  <c r="AA89" i="110"/>
  <c r="AA88" i="110"/>
  <c r="AA87" i="110"/>
  <c r="AA86" i="110"/>
  <c r="AA85" i="110"/>
  <c r="AA84" i="110"/>
  <c r="AA83" i="110"/>
  <c r="AA82" i="110"/>
  <c r="AA81" i="110"/>
  <c r="AA80" i="110"/>
  <c r="AA79" i="110"/>
  <c r="AA78" i="110"/>
  <c r="U74" i="110"/>
  <c r="U73" i="110"/>
  <c r="U72" i="110"/>
  <c r="U71" i="110"/>
  <c r="U70" i="110"/>
  <c r="U68" i="110"/>
  <c r="U67" i="110"/>
  <c r="U66" i="110"/>
  <c r="U65" i="110"/>
  <c r="U64" i="110"/>
  <c r="U62" i="110"/>
  <c r="U61" i="110"/>
  <c r="U60" i="110"/>
  <c r="U59" i="110"/>
  <c r="U58" i="110"/>
  <c r="U57" i="110"/>
  <c r="U56" i="110"/>
  <c r="U55" i="110"/>
  <c r="U54" i="110"/>
  <c r="U53" i="110"/>
  <c r="U52" i="110"/>
  <c r="U51" i="110"/>
  <c r="U50" i="110"/>
  <c r="U49" i="110"/>
  <c r="U48" i="110"/>
  <c r="U47" i="110"/>
  <c r="U46" i="110"/>
  <c r="U45" i="110"/>
  <c r="U44" i="110"/>
  <c r="U43" i="110"/>
  <c r="U41" i="110"/>
  <c r="U40" i="110"/>
  <c r="U39" i="110"/>
  <c r="U38" i="110"/>
  <c r="U37" i="110"/>
  <c r="U36" i="110"/>
  <c r="U35" i="110"/>
  <c r="U34" i="110"/>
  <c r="U33" i="110"/>
  <c r="U32" i="110"/>
  <c r="U31" i="110"/>
  <c r="U30" i="110"/>
  <c r="U29" i="110"/>
  <c r="U28" i="110"/>
  <c r="U27" i="110"/>
  <c r="U26" i="110"/>
  <c r="U25" i="110"/>
  <c r="U24" i="110"/>
  <c r="U23" i="110"/>
  <c r="U22" i="110"/>
  <c r="W74" i="110"/>
  <c r="Z74" i="110" s="1"/>
  <c r="V74" i="110"/>
  <c r="Y74" i="110" s="1"/>
  <c r="W73" i="110"/>
  <c r="Z73" i="110" s="1"/>
  <c r="V73" i="110"/>
  <c r="Y73" i="110" s="1"/>
  <c r="W72" i="110"/>
  <c r="Z72" i="110" s="1"/>
  <c r="V72" i="110"/>
  <c r="Y72" i="110" s="1"/>
  <c r="W71" i="110"/>
  <c r="Z71" i="110" s="1"/>
  <c r="V71" i="110"/>
  <c r="Y71" i="110" s="1"/>
  <c r="W70" i="110"/>
  <c r="V70" i="110"/>
  <c r="W68" i="110"/>
  <c r="Z68" i="110" s="1"/>
  <c r="V68" i="110"/>
  <c r="Y68" i="110" s="1"/>
  <c r="W67" i="110"/>
  <c r="Z67" i="110" s="1"/>
  <c r="V67" i="110"/>
  <c r="Y67" i="110" s="1"/>
  <c r="W66" i="110"/>
  <c r="Z66" i="110" s="1"/>
  <c r="V66" i="110"/>
  <c r="Y66" i="110" s="1"/>
  <c r="W65" i="110"/>
  <c r="Z65" i="110" s="1"/>
  <c r="V65" i="110"/>
  <c r="Y65" i="110" s="1"/>
  <c r="W64" i="110"/>
  <c r="V64" i="110"/>
  <c r="W62" i="110"/>
  <c r="Z62" i="110" s="1"/>
  <c r="V62" i="110"/>
  <c r="Y62" i="110" s="1"/>
  <c r="W61" i="110"/>
  <c r="Z61" i="110" s="1"/>
  <c r="V61" i="110"/>
  <c r="Y61" i="110" s="1"/>
  <c r="W60" i="110"/>
  <c r="Z60" i="110" s="1"/>
  <c r="V60" i="110"/>
  <c r="Y60" i="110" s="1"/>
  <c r="W59" i="110"/>
  <c r="Z59" i="110" s="1"/>
  <c r="V59" i="110"/>
  <c r="Y59" i="110" s="1"/>
  <c r="W58" i="110"/>
  <c r="Z58" i="110" s="1"/>
  <c r="V58" i="110"/>
  <c r="Y58" i="110" s="1"/>
  <c r="W57" i="110"/>
  <c r="Z57" i="110" s="1"/>
  <c r="V57" i="110"/>
  <c r="Y57" i="110" s="1"/>
  <c r="W56" i="110"/>
  <c r="Z56" i="110" s="1"/>
  <c r="V56" i="110"/>
  <c r="Y56" i="110" s="1"/>
  <c r="W55" i="110"/>
  <c r="Z55" i="110" s="1"/>
  <c r="V55" i="110"/>
  <c r="Y55" i="110" s="1"/>
  <c r="W54" i="110"/>
  <c r="Z54" i="110" s="1"/>
  <c r="V54" i="110"/>
  <c r="Y54" i="110" s="1"/>
  <c r="W53" i="110"/>
  <c r="Z53" i="110" s="1"/>
  <c r="V53" i="110"/>
  <c r="Y53" i="110" s="1"/>
  <c r="W52" i="110"/>
  <c r="Z52" i="110" s="1"/>
  <c r="V52" i="110"/>
  <c r="Y52" i="110" s="1"/>
  <c r="W51" i="110"/>
  <c r="Z51" i="110" s="1"/>
  <c r="V51" i="110"/>
  <c r="Y51" i="110" s="1"/>
  <c r="W50" i="110"/>
  <c r="Z50" i="110" s="1"/>
  <c r="V50" i="110"/>
  <c r="Y50" i="110" s="1"/>
  <c r="W49" i="110"/>
  <c r="Z49" i="110" s="1"/>
  <c r="V49" i="110"/>
  <c r="Y49" i="110" s="1"/>
  <c r="W48" i="110"/>
  <c r="Z48" i="110" s="1"/>
  <c r="V48" i="110"/>
  <c r="Y48" i="110" s="1"/>
  <c r="W47" i="110"/>
  <c r="Z47" i="110" s="1"/>
  <c r="V47" i="110"/>
  <c r="Y47" i="110" s="1"/>
  <c r="W46" i="110"/>
  <c r="Z46" i="110" s="1"/>
  <c r="V46" i="110"/>
  <c r="Y46" i="110" s="1"/>
  <c r="W45" i="110"/>
  <c r="Z45" i="110" s="1"/>
  <c r="V45" i="110"/>
  <c r="Y45" i="110" s="1"/>
  <c r="W44" i="110"/>
  <c r="Z44" i="110" s="1"/>
  <c r="V44" i="110"/>
  <c r="Y44" i="110" s="1"/>
  <c r="W43" i="110"/>
  <c r="V43" i="110"/>
  <c r="W41" i="110"/>
  <c r="Z41" i="110" s="1"/>
  <c r="V41" i="110"/>
  <c r="Y41" i="110" s="1"/>
  <c r="W40" i="110"/>
  <c r="Z40" i="110" s="1"/>
  <c r="V40" i="110"/>
  <c r="Y40" i="110" s="1"/>
  <c r="W39" i="110"/>
  <c r="Z39" i="110" s="1"/>
  <c r="V39" i="110"/>
  <c r="Y39" i="110" s="1"/>
  <c r="W38" i="110"/>
  <c r="Z38" i="110" s="1"/>
  <c r="V38" i="110"/>
  <c r="Y38" i="110" s="1"/>
  <c r="W37" i="110"/>
  <c r="Z37" i="110" s="1"/>
  <c r="V37" i="110"/>
  <c r="Y37" i="110" s="1"/>
  <c r="W36" i="110"/>
  <c r="Z36" i="110" s="1"/>
  <c r="V36" i="110"/>
  <c r="Y36" i="110" s="1"/>
  <c r="W35" i="110"/>
  <c r="Z35" i="110" s="1"/>
  <c r="V35" i="110"/>
  <c r="Y35" i="110" s="1"/>
  <c r="W34" i="110"/>
  <c r="Z34" i="110" s="1"/>
  <c r="V34" i="110"/>
  <c r="Y34" i="110" s="1"/>
  <c r="W33" i="110"/>
  <c r="Z33" i="110" s="1"/>
  <c r="V33" i="110"/>
  <c r="Y33" i="110" s="1"/>
  <c r="W32" i="110"/>
  <c r="Z32" i="110" s="1"/>
  <c r="V32" i="110"/>
  <c r="Y32" i="110" s="1"/>
  <c r="W31" i="110"/>
  <c r="Z31" i="110" s="1"/>
  <c r="V31" i="110"/>
  <c r="Y31" i="110" s="1"/>
  <c r="W30" i="110"/>
  <c r="Z30" i="110" s="1"/>
  <c r="V30" i="110"/>
  <c r="Y30" i="110" s="1"/>
  <c r="W29" i="110"/>
  <c r="Z29" i="110" s="1"/>
  <c r="V29" i="110"/>
  <c r="Y29" i="110" s="1"/>
  <c r="W28" i="110"/>
  <c r="Z28" i="110" s="1"/>
  <c r="V28" i="110"/>
  <c r="Y28" i="110" s="1"/>
  <c r="W27" i="110"/>
  <c r="Z27" i="110" s="1"/>
  <c r="V27" i="110"/>
  <c r="Y27" i="110" s="1"/>
  <c r="W26" i="110"/>
  <c r="Z26" i="110" s="1"/>
  <c r="V26" i="110"/>
  <c r="Y26" i="110" s="1"/>
  <c r="W25" i="110"/>
  <c r="Z25" i="110" s="1"/>
  <c r="V25" i="110"/>
  <c r="Y25" i="110" s="1"/>
  <c r="W24" i="110"/>
  <c r="Z24" i="110" s="1"/>
  <c r="V24" i="110"/>
  <c r="Y24" i="110" s="1"/>
  <c r="W23" i="110"/>
  <c r="Z23" i="110" s="1"/>
  <c r="V23" i="110"/>
  <c r="Y23" i="110" s="1"/>
  <c r="W22" i="110"/>
  <c r="Z22" i="110" s="1"/>
  <c r="V22" i="110"/>
  <c r="Y22" i="110" s="1"/>
  <c r="AB97" i="110"/>
  <c r="AB96" i="110"/>
  <c r="AB95" i="110"/>
  <c r="AB94" i="110"/>
  <c r="AB93" i="110"/>
  <c r="AB92" i="110"/>
  <c r="AB91" i="110"/>
  <c r="AB90" i="110"/>
  <c r="AB89" i="110"/>
  <c r="AB88" i="110"/>
  <c r="AB87" i="110"/>
  <c r="AB86" i="110"/>
  <c r="AB85" i="110"/>
  <c r="AB84" i="110"/>
  <c r="AB83" i="110"/>
  <c r="AB82" i="110"/>
  <c r="AB81" i="110"/>
  <c r="AB80" i="110"/>
  <c r="AB79" i="110"/>
  <c r="AB78" i="110"/>
  <c r="X74" i="110"/>
  <c r="X73" i="110"/>
  <c r="X72" i="110"/>
  <c r="X71" i="110"/>
  <c r="X70" i="110"/>
  <c r="X68" i="110"/>
  <c r="X67" i="110"/>
  <c r="X66" i="110"/>
  <c r="X65" i="110"/>
  <c r="X64" i="110"/>
  <c r="X62" i="110"/>
  <c r="X61" i="110"/>
  <c r="X60" i="110"/>
  <c r="X59" i="110"/>
  <c r="X58" i="110"/>
  <c r="X57" i="110"/>
  <c r="X56" i="110"/>
  <c r="X55" i="110"/>
  <c r="X54" i="110"/>
  <c r="X53" i="110"/>
  <c r="X52" i="110"/>
  <c r="X51" i="110"/>
  <c r="X50" i="110"/>
  <c r="X49" i="110"/>
  <c r="X48" i="110"/>
  <c r="X47" i="110"/>
  <c r="X46" i="110"/>
  <c r="X45" i="110"/>
  <c r="X44" i="110"/>
  <c r="X43" i="110"/>
  <c r="X41" i="110"/>
  <c r="X40" i="110"/>
  <c r="X39" i="110"/>
  <c r="X38" i="110"/>
  <c r="X37" i="110"/>
  <c r="X36" i="110"/>
  <c r="X35" i="110"/>
  <c r="X34" i="110"/>
  <c r="X33" i="110"/>
  <c r="X32" i="110"/>
  <c r="X31" i="110"/>
  <c r="X30" i="110"/>
  <c r="X29" i="110"/>
  <c r="X28" i="110"/>
  <c r="X27" i="110"/>
  <c r="X26" i="110"/>
  <c r="X25" i="110"/>
  <c r="X24" i="110"/>
  <c r="X23" i="110"/>
  <c r="X22" i="110"/>
  <c r="U12" i="110"/>
  <c r="V12" i="110"/>
  <c r="W12" i="110"/>
  <c r="X12" i="110"/>
  <c r="U13" i="110"/>
  <c r="V13" i="110"/>
  <c r="Y13" i="110" s="1"/>
  <c r="W13" i="110"/>
  <c r="Z13" i="110" s="1"/>
  <c r="X13" i="110"/>
  <c r="J14" i="110"/>
  <c r="U14" i="110"/>
  <c r="V14" i="110"/>
  <c r="Y14" i="110" s="1"/>
  <c r="W14" i="110"/>
  <c r="Z14" i="110" s="1"/>
  <c r="X14" i="110"/>
  <c r="U15" i="110"/>
  <c r="V15" i="110"/>
  <c r="Y15" i="110" s="1"/>
  <c r="W15" i="110"/>
  <c r="Z15" i="110" s="1"/>
  <c r="X15" i="110"/>
  <c r="U16" i="110"/>
  <c r="V16" i="110"/>
  <c r="Y16" i="110" s="1"/>
  <c r="W16" i="110"/>
  <c r="Z16" i="110" s="1"/>
  <c r="X16" i="110"/>
  <c r="U17" i="110"/>
  <c r="V17" i="110"/>
  <c r="Y17" i="110" s="1"/>
  <c r="W17" i="110"/>
  <c r="Z17" i="110" s="1"/>
  <c r="X17" i="110"/>
  <c r="U18" i="110"/>
  <c r="V18" i="110"/>
  <c r="Y18" i="110" s="1"/>
  <c r="W18" i="110"/>
  <c r="Z18" i="110" s="1"/>
  <c r="X18" i="110"/>
  <c r="U19" i="110"/>
  <c r="V19" i="110"/>
  <c r="Y19" i="110" s="1"/>
  <c r="W19" i="110"/>
  <c r="Z19" i="110" s="1"/>
  <c r="X19" i="110"/>
  <c r="U20" i="110"/>
  <c r="V20" i="110"/>
  <c r="Y20" i="110" s="1"/>
  <c r="W20" i="110"/>
  <c r="Z20" i="110" s="1"/>
  <c r="X20" i="110"/>
  <c r="U21" i="110"/>
  <c r="V21" i="110"/>
  <c r="Y21" i="110" s="1"/>
  <c r="W21" i="110"/>
  <c r="Z21" i="110" s="1"/>
  <c r="X21" i="110"/>
  <c r="J46" i="110"/>
  <c r="D46" i="110"/>
  <c r="J57" i="110"/>
  <c r="D57" i="110"/>
  <c r="F57" i="110" s="1"/>
  <c r="J52" i="110"/>
  <c r="F52" i="110"/>
  <c r="D52" i="110"/>
  <c r="J22" i="110"/>
  <c r="J30" i="110"/>
  <c r="J38" i="110"/>
  <c r="D47" i="110"/>
  <c r="F47" i="110" s="1"/>
  <c r="D48" i="110"/>
  <c r="F48" i="110" s="1"/>
  <c r="D49" i="110"/>
  <c r="F49" i="110" s="1"/>
  <c r="D50" i="110"/>
  <c r="F50" i="110" s="1"/>
  <c r="D53" i="110"/>
  <c r="F53" i="110"/>
  <c r="D54" i="110"/>
  <c r="F54" i="110"/>
  <c r="D55" i="110"/>
  <c r="F55" i="110"/>
  <c r="D56" i="110"/>
  <c r="F56" i="110"/>
  <c r="D58" i="110"/>
  <c r="F58" i="110" s="1"/>
  <c r="F60" i="110"/>
  <c r="G60" i="110" s="1"/>
  <c r="L60" i="110" s="1"/>
  <c r="T78" i="110"/>
  <c r="T98" i="110" s="1"/>
  <c r="G86" i="110" s="1"/>
  <c r="H81" i="110" s="1"/>
  <c r="Y78" i="110"/>
  <c r="Y98" i="110" s="1"/>
  <c r="J12" i="40"/>
  <c r="R75" i="40"/>
  <c r="B49" i="40" s="1"/>
  <c r="T75" i="40"/>
  <c r="B56" i="40" s="1"/>
  <c r="L62" i="40"/>
  <c r="L45" i="40"/>
  <c r="L12" i="40"/>
  <c r="J59" i="40"/>
  <c r="G59" i="40"/>
  <c r="L59" i="40" s="1"/>
  <c r="Z98" i="40"/>
  <c r="B55" i="40" s="1"/>
  <c r="T69" i="40"/>
  <c r="G14" i="109" l="1"/>
  <c r="J36" i="115"/>
  <c r="G53" i="129"/>
  <c r="G53" i="135"/>
  <c r="G52" i="117"/>
  <c r="L52" i="117" s="1"/>
  <c r="G56" i="122"/>
  <c r="G56" i="137"/>
  <c r="L56" i="137" s="1"/>
  <c r="G56" i="127"/>
  <c r="L56" i="127" s="1"/>
  <c r="G56" i="118"/>
  <c r="L56" i="118" s="1"/>
  <c r="B65" i="118"/>
  <c r="B71" i="118" s="1"/>
  <c r="D51" i="117"/>
  <c r="F51" i="117" s="1"/>
  <c r="D51" i="116"/>
  <c r="F51" i="116" s="1"/>
  <c r="G56" i="116"/>
  <c r="L56" i="116" s="1"/>
  <c r="B65" i="116"/>
  <c r="B71" i="116" s="1"/>
  <c r="B65" i="110"/>
  <c r="B71" i="110" s="1"/>
  <c r="D51" i="138"/>
  <c r="F51" i="138" s="1"/>
  <c r="D50" i="137"/>
  <c r="F50" i="137" s="1"/>
  <c r="B65" i="137"/>
  <c r="B71" i="137" s="1"/>
  <c r="B65" i="134"/>
  <c r="B71" i="134" s="1"/>
  <c r="D51" i="121"/>
  <c r="F51" i="121" s="1"/>
  <c r="G58" i="118"/>
  <c r="L58" i="118" s="1"/>
  <c r="D51" i="118"/>
  <c r="F51" i="118" s="1"/>
  <c r="B65" i="115"/>
  <c r="B71" i="115" s="1"/>
  <c r="B65" i="113"/>
  <c r="B71" i="113" s="1"/>
  <c r="G56" i="113"/>
  <c r="L56" i="113" s="1"/>
  <c r="D51" i="136"/>
  <c r="F51" i="136" s="1"/>
  <c r="B65" i="136"/>
  <c r="B71" i="136" s="1"/>
  <c r="D51" i="135"/>
  <c r="F51" i="135" s="1"/>
  <c r="D51" i="133"/>
  <c r="F51" i="133" s="1"/>
  <c r="AA15" i="132"/>
  <c r="D50" i="138"/>
  <c r="F50" i="138" s="1"/>
  <c r="B65" i="138"/>
  <c r="B71" i="138" s="1"/>
  <c r="D51" i="134"/>
  <c r="F51" i="134" s="1"/>
  <c r="D50" i="133"/>
  <c r="F50" i="133" s="1"/>
  <c r="B65" i="133"/>
  <c r="B71" i="133" s="1"/>
  <c r="D51" i="132"/>
  <c r="F51" i="132" s="1"/>
  <c r="B65" i="132"/>
  <c r="B71" i="132" s="1"/>
  <c r="D51" i="131"/>
  <c r="F51" i="131" s="1"/>
  <c r="B65" i="131"/>
  <c r="B71" i="131" s="1"/>
  <c r="D51" i="129"/>
  <c r="F51" i="129" s="1"/>
  <c r="D51" i="130"/>
  <c r="F51" i="130" s="1"/>
  <c r="D50" i="128"/>
  <c r="F50" i="128" s="1"/>
  <c r="B65" i="128"/>
  <c r="B71" i="128" s="1"/>
  <c r="D51" i="128"/>
  <c r="F51" i="128" s="1"/>
  <c r="X75" i="110"/>
  <c r="G54" i="114"/>
  <c r="G54" i="115"/>
  <c r="G51" i="115"/>
  <c r="C15" i="141" s="1"/>
  <c r="G58" i="116"/>
  <c r="L58" i="116" s="1"/>
  <c r="G54" i="119"/>
  <c r="G54" i="120"/>
  <c r="G54" i="121"/>
  <c r="G58" i="122"/>
  <c r="L58" i="122" s="1"/>
  <c r="X75" i="122"/>
  <c r="G56" i="125"/>
  <c r="C25" i="143" s="1"/>
  <c r="H25" i="143" s="1"/>
  <c r="G53" i="134"/>
  <c r="G55" i="135"/>
  <c r="G54" i="135"/>
  <c r="G58" i="136"/>
  <c r="L58" i="136" s="1"/>
  <c r="G51" i="136"/>
  <c r="C36" i="141" s="1"/>
  <c r="X75" i="136"/>
  <c r="G58" i="137"/>
  <c r="L58" i="137" s="1"/>
  <c r="D51" i="126"/>
  <c r="F51" i="126" s="1"/>
  <c r="B65" i="126"/>
  <c r="B71" i="126" s="1"/>
  <c r="D50" i="125"/>
  <c r="F50" i="125" s="1"/>
  <c r="B65" i="125"/>
  <c r="B71" i="125" s="1"/>
  <c r="D51" i="124"/>
  <c r="F51" i="124" s="1"/>
  <c r="B65" i="124"/>
  <c r="B71" i="124" s="1"/>
  <c r="D51" i="122"/>
  <c r="F51" i="122" s="1"/>
  <c r="D50" i="122"/>
  <c r="F50" i="122" s="1"/>
  <c r="D51" i="119"/>
  <c r="F51" i="119" s="1"/>
  <c r="B65" i="119"/>
  <c r="B71" i="119" s="1"/>
  <c r="G56" i="110"/>
  <c r="G56" i="111"/>
  <c r="L56" i="111" s="1"/>
  <c r="G55" i="111"/>
  <c r="G58" i="112"/>
  <c r="L58" i="112" s="1"/>
  <c r="G56" i="112"/>
  <c r="G55" i="112"/>
  <c r="G58" i="113"/>
  <c r="L58" i="113" s="1"/>
  <c r="G56" i="114"/>
  <c r="C14" i="143" s="1"/>
  <c r="H14" i="143" s="1"/>
  <c r="G55" i="114"/>
  <c r="G58" i="121"/>
  <c r="L58" i="121" s="1"/>
  <c r="X75" i="121"/>
  <c r="X75" i="124"/>
  <c r="X75" i="126"/>
  <c r="G58" i="127"/>
  <c r="L58" i="127" s="1"/>
  <c r="G58" i="128"/>
  <c r="L58" i="128" s="1"/>
  <c r="G55" i="134"/>
  <c r="G54" i="134"/>
  <c r="G49" i="139"/>
  <c r="G48" i="139"/>
  <c r="G58" i="114"/>
  <c r="L58" i="114" s="1"/>
  <c r="D51" i="114"/>
  <c r="F51" i="114" s="1"/>
  <c r="B65" i="114"/>
  <c r="B71" i="114" s="1"/>
  <c r="D51" i="113"/>
  <c r="F51" i="113" s="1"/>
  <c r="D51" i="111"/>
  <c r="F51" i="111" s="1"/>
  <c r="B65" i="111"/>
  <c r="B71" i="111" s="1"/>
  <c r="G58" i="111"/>
  <c r="L58" i="111" s="1"/>
  <c r="D51" i="110"/>
  <c r="F51" i="110" s="1"/>
  <c r="G56" i="139"/>
  <c r="G54" i="139"/>
  <c r="G53" i="139"/>
  <c r="X75" i="139"/>
  <c r="D50" i="139"/>
  <c r="F50" i="139" s="1"/>
  <c r="G47" i="139"/>
  <c r="D51" i="139"/>
  <c r="F51" i="139" s="1"/>
  <c r="B65" i="139"/>
  <c r="B71" i="139" s="1"/>
  <c r="G51" i="139"/>
  <c r="C39" i="141" s="1"/>
  <c r="G56" i="138"/>
  <c r="C38" i="143" s="1"/>
  <c r="H38" i="143" s="1"/>
  <c r="G54" i="138"/>
  <c r="G53" i="138"/>
  <c r="L53" i="138" s="1"/>
  <c r="X75" i="138"/>
  <c r="G50" i="138"/>
  <c r="B38" i="141" s="1"/>
  <c r="G49" i="138"/>
  <c r="B38" i="143" s="1"/>
  <c r="G48" i="138"/>
  <c r="B38" i="142" s="1"/>
  <c r="G47" i="138"/>
  <c r="G56" i="123"/>
  <c r="C23" i="143" s="1"/>
  <c r="H23" i="143" s="1"/>
  <c r="G55" i="130"/>
  <c r="G54" i="130"/>
  <c r="X75" i="135"/>
  <c r="G49" i="136"/>
  <c r="B36" i="143" s="1"/>
  <c r="G48" i="136"/>
  <c r="G58" i="139"/>
  <c r="L58" i="139" s="1"/>
  <c r="G54" i="117"/>
  <c r="X75" i="117"/>
  <c r="G58" i="120"/>
  <c r="L58" i="120" s="1"/>
  <c r="G56" i="120"/>
  <c r="L56" i="120" s="1"/>
  <c r="G55" i="120"/>
  <c r="G58" i="125"/>
  <c r="L58" i="125" s="1"/>
  <c r="X75" i="125"/>
  <c r="G58" i="126"/>
  <c r="L58" i="126" s="1"/>
  <c r="G56" i="126"/>
  <c r="L56" i="126" s="1"/>
  <c r="G54" i="126"/>
  <c r="G53" i="126"/>
  <c r="G55" i="129"/>
  <c r="G54" i="129"/>
  <c r="G58" i="138"/>
  <c r="L58" i="138" s="1"/>
  <c r="G51" i="137"/>
  <c r="G54" i="137"/>
  <c r="G53" i="137"/>
  <c r="X75" i="137"/>
  <c r="G50" i="137"/>
  <c r="L50" i="137" s="1"/>
  <c r="G49" i="137"/>
  <c r="B37" i="143" s="1"/>
  <c r="G48" i="137"/>
  <c r="G47" i="137"/>
  <c r="G50" i="136"/>
  <c r="L50" i="136" s="1"/>
  <c r="G47" i="136"/>
  <c r="G56" i="136"/>
  <c r="L56" i="136" s="1"/>
  <c r="G54" i="136"/>
  <c r="G53" i="136"/>
  <c r="D50" i="135"/>
  <c r="F50" i="135" s="1"/>
  <c r="B65" i="135"/>
  <c r="B71" i="135" s="1"/>
  <c r="G55" i="133"/>
  <c r="G54" i="133"/>
  <c r="G53" i="133"/>
  <c r="G55" i="131"/>
  <c r="G54" i="131"/>
  <c r="G53" i="131"/>
  <c r="D50" i="130"/>
  <c r="F50" i="130" s="1"/>
  <c r="B65" i="130"/>
  <c r="B71" i="130" s="1"/>
  <c r="D50" i="129"/>
  <c r="F50" i="129" s="1"/>
  <c r="B65" i="129"/>
  <c r="B71" i="129" s="1"/>
  <c r="G51" i="128"/>
  <c r="L51" i="128" s="1"/>
  <c r="G54" i="128"/>
  <c r="G53" i="128"/>
  <c r="C28" i="140" s="1"/>
  <c r="H28" i="140" s="1"/>
  <c r="X75" i="128"/>
  <c r="G50" i="128"/>
  <c r="B28" i="141" s="1"/>
  <c r="G49" i="128"/>
  <c r="B28" i="143" s="1"/>
  <c r="G48" i="128"/>
  <c r="G47" i="128"/>
  <c r="G51" i="127"/>
  <c r="C27" i="141" s="1"/>
  <c r="G54" i="127"/>
  <c r="G53" i="127"/>
  <c r="L53" i="127" s="1"/>
  <c r="X75" i="127"/>
  <c r="G50" i="127"/>
  <c r="B27" i="141" s="1"/>
  <c r="G49" i="127"/>
  <c r="L49" i="127" s="1"/>
  <c r="G48" i="127"/>
  <c r="G47" i="127"/>
  <c r="B27" i="140" s="1"/>
  <c r="G50" i="126"/>
  <c r="L50" i="126" s="1"/>
  <c r="G49" i="126"/>
  <c r="L49" i="126" s="1"/>
  <c r="G48" i="126"/>
  <c r="L48" i="126" s="1"/>
  <c r="G47" i="126"/>
  <c r="B26" i="140" s="1"/>
  <c r="G58" i="110"/>
  <c r="L58" i="110" s="1"/>
  <c r="G55" i="110"/>
  <c r="G54" i="110"/>
  <c r="G53" i="110"/>
  <c r="G49" i="111"/>
  <c r="L49" i="111" s="1"/>
  <c r="G48" i="111"/>
  <c r="G55" i="113"/>
  <c r="G54" i="113"/>
  <c r="G58" i="117"/>
  <c r="L58" i="117" s="1"/>
  <c r="G56" i="117"/>
  <c r="C17" i="143" s="1"/>
  <c r="H17" i="143" s="1"/>
  <c r="G55" i="117"/>
  <c r="G48" i="120"/>
  <c r="G58" i="123"/>
  <c r="L58" i="123" s="1"/>
  <c r="X75" i="123"/>
  <c r="G58" i="124"/>
  <c r="L58" i="124" s="1"/>
  <c r="G55" i="126"/>
  <c r="L55" i="126" s="1"/>
  <c r="G55" i="127"/>
  <c r="G55" i="128"/>
  <c r="L55" i="128" s="1"/>
  <c r="G56" i="129"/>
  <c r="C29" i="143" s="1"/>
  <c r="H29" i="143" s="1"/>
  <c r="G52" i="129"/>
  <c r="X63" i="129"/>
  <c r="X69" i="129"/>
  <c r="AB98" i="129"/>
  <c r="G56" i="130"/>
  <c r="C30" i="143" s="1"/>
  <c r="H30" i="143" s="1"/>
  <c r="G52" i="130"/>
  <c r="C30" i="34" s="1"/>
  <c r="H30" i="34" s="1"/>
  <c r="X63" i="130"/>
  <c r="X69" i="130"/>
  <c r="AB98" i="130"/>
  <c r="G56" i="131"/>
  <c r="C31" i="143" s="1"/>
  <c r="H31" i="143" s="1"/>
  <c r="G52" i="131"/>
  <c r="C31" i="34" s="1"/>
  <c r="H31" i="34" s="1"/>
  <c r="X63" i="131"/>
  <c r="X69" i="131"/>
  <c r="AB98" i="131"/>
  <c r="G56" i="132"/>
  <c r="C32" i="143" s="1"/>
  <c r="H32" i="143" s="1"/>
  <c r="C32" i="34"/>
  <c r="H32" i="34" s="1"/>
  <c r="X63" i="132"/>
  <c r="X69" i="132"/>
  <c r="AB98" i="132"/>
  <c r="G56" i="133"/>
  <c r="L56" i="133" s="1"/>
  <c r="G52" i="133"/>
  <c r="C33" i="34" s="1"/>
  <c r="H33" i="34" s="1"/>
  <c r="X63" i="133"/>
  <c r="X69" i="133"/>
  <c r="AB98" i="133"/>
  <c r="G56" i="134"/>
  <c r="G52" i="134"/>
  <c r="C34" i="34" s="1"/>
  <c r="H34" i="34" s="1"/>
  <c r="X63" i="134"/>
  <c r="X69" i="134"/>
  <c r="AB98" i="134"/>
  <c r="G56" i="135"/>
  <c r="C35" i="143" s="1"/>
  <c r="H35" i="143" s="1"/>
  <c r="G52" i="135"/>
  <c r="C35" i="34" s="1"/>
  <c r="H35" i="34" s="1"/>
  <c r="G55" i="136"/>
  <c r="L55" i="136" s="1"/>
  <c r="G55" i="137"/>
  <c r="L55" i="137" s="1"/>
  <c r="G55" i="138"/>
  <c r="G55" i="139"/>
  <c r="L55" i="139" s="1"/>
  <c r="G58" i="115"/>
  <c r="L58" i="115" s="1"/>
  <c r="G56" i="115"/>
  <c r="C15" i="143" s="1"/>
  <c r="H15" i="143" s="1"/>
  <c r="G55" i="115"/>
  <c r="G55" i="116"/>
  <c r="G54" i="116"/>
  <c r="G53" i="121"/>
  <c r="G51" i="125"/>
  <c r="C25" i="141" s="1"/>
  <c r="G55" i="125"/>
  <c r="G54" i="125"/>
  <c r="G53" i="125"/>
  <c r="G49" i="125"/>
  <c r="L49" i="125" s="1"/>
  <c r="G48" i="125"/>
  <c r="G47" i="125"/>
  <c r="B25" i="140" s="1"/>
  <c r="G56" i="124"/>
  <c r="G55" i="124"/>
  <c r="G54" i="124"/>
  <c r="G53" i="124"/>
  <c r="G50" i="124"/>
  <c r="B24" i="141" s="1"/>
  <c r="G49" i="124"/>
  <c r="L49" i="124" s="1"/>
  <c r="G48" i="124"/>
  <c r="G47" i="124"/>
  <c r="G51" i="123"/>
  <c r="L51" i="123" s="1"/>
  <c r="G55" i="123"/>
  <c r="G54" i="123"/>
  <c r="G53" i="123"/>
  <c r="G50" i="123"/>
  <c r="L50" i="123" s="1"/>
  <c r="G49" i="123"/>
  <c r="B23" i="143" s="1"/>
  <c r="G48" i="123"/>
  <c r="G47" i="123"/>
  <c r="B23" i="140" s="1"/>
  <c r="G55" i="122"/>
  <c r="G54" i="122"/>
  <c r="G53" i="122"/>
  <c r="G49" i="122"/>
  <c r="L49" i="122" s="1"/>
  <c r="G48" i="122"/>
  <c r="B22" i="142" s="1"/>
  <c r="G47" i="122"/>
  <c r="B65" i="122"/>
  <c r="B71" i="122" s="1"/>
  <c r="G50" i="122"/>
  <c r="B22" i="141" s="1"/>
  <c r="G56" i="121"/>
  <c r="G55" i="121"/>
  <c r="G49" i="121"/>
  <c r="B21" i="143" s="1"/>
  <c r="G48" i="121"/>
  <c r="G47" i="121"/>
  <c r="B65" i="121"/>
  <c r="B71" i="121" s="1"/>
  <c r="G51" i="121"/>
  <c r="C21" i="141" s="1"/>
  <c r="G50" i="121"/>
  <c r="L50" i="121" s="1"/>
  <c r="D50" i="120"/>
  <c r="F50" i="120" s="1"/>
  <c r="B65" i="120"/>
  <c r="B71" i="120" s="1"/>
  <c r="G51" i="120"/>
  <c r="C20" i="141" s="1"/>
  <c r="G53" i="120"/>
  <c r="X75" i="120"/>
  <c r="G49" i="120"/>
  <c r="B20" i="143" s="1"/>
  <c r="G47" i="120"/>
  <c r="L47" i="120" s="1"/>
  <c r="G51" i="119"/>
  <c r="L51" i="119" s="1"/>
  <c r="G53" i="119"/>
  <c r="L53" i="119" s="1"/>
  <c r="X75" i="119"/>
  <c r="G50" i="119"/>
  <c r="B19" i="141" s="1"/>
  <c r="G49" i="119"/>
  <c r="L49" i="119" s="1"/>
  <c r="G48" i="119"/>
  <c r="G47" i="119"/>
  <c r="L47" i="119" s="1"/>
  <c r="G56" i="119"/>
  <c r="C19" i="143" s="1"/>
  <c r="H19" i="143" s="1"/>
  <c r="G55" i="119"/>
  <c r="G51" i="118"/>
  <c r="C18" i="141" s="1"/>
  <c r="G53" i="118"/>
  <c r="X75" i="118"/>
  <c r="G50" i="118"/>
  <c r="L50" i="118" s="1"/>
  <c r="G49" i="118"/>
  <c r="L49" i="118" s="1"/>
  <c r="G48" i="118"/>
  <c r="L48" i="118" s="1"/>
  <c r="G47" i="118"/>
  <c r="B18" i="140" s="1"/>
  <c r="D50" i="117"/>
  <c r="F50" i="117" s="1"/>
  <c r="B65" i="117"/>
  <c r="B71" i="117" s="1"/>
  <c r="G51" i="117"/>
  <c r="L51" i="117" s="1"/>
  <c r="G53" i="117"/>
  <c r="L53" i="117" s="1"/>
  <c r="G50" i="117"/>
  <c r="L50" i="117" s="1"/>
  <c r="G49" i="117"/>
  <c r="L49" i="117" s="1"/>
  <c r="G48" i="117"/>
  <c r="L48" i="117" s="1"/>
  <c r="G47" i="117"/>
  <c r="G53" i="116"/>
  <c r="L53" i="116" s="1"/>
  <c r="X75" i="116"/>
  <c r="G50" i="116"/>
  <c r="B16" i="141" s="1"/>
  <c r="G49" i="116"/>
  <c r="B16" i="143" s="1"/>
  <c r="G48" i="116"/>
  <c r="G47" i="116"/>
  <c r="G53" i="115"/>
  <c r="C15" i="140" s="1"/>
  <c r="H15" i="140" s="1"/>
  <c r="X75" i="115"/>
  <c r="G50" i="115"/>
  <c r="B15" i="141" s="1"/>
  <c r="G49" i="115"/>
  <c r="L49" i="115" s="1"/>
  <c r="G48" i="115"/>
  <c r="G47" i="115"/>
  <c r="B15" i="140" s="1"/>
  <c r="G51" i="114"/>
  <c r="L51" i="114" s="1"/>
  <c r="G53" i="114"/>
  <c r="X75" i="114"/>
  <c r="G50" i="114"/>
  <c r="B14" i="141" s="1"/>
  <c r="G49" i="114"/>
  <c r="B14" i="143" s="1"/>
  <c r="G48" i="114"/>
  <c r="G47" i="114"/>
  <c r="L47" i="114" s="1"/>
  <c r="G53" i="113"/>
  <c r="C13" i="140" s="1"/>
  <c r="H13" i="140" s="1"/>
  <c r="X75" i="113"/>
  <c r="G49" i="113"/>
  <c r="L49" i="113" s="1"/>
  <c r="G48" i="113"/>
  <c r="B13" i="142" s="1"/>
  <c r="G47" i="113"/>
  <c r="B13" i="140" s="1"/>
  <c r="G50" i="113"/>
  <c r="B13" i="141" s="1"/>
  <c r="G51" i="112"/>
  <c r="C12" i="141" s="1"/>
  <c r="G53" i="112"/>
  <c r="L53" i="112" s="1"/>
  <c r="X75" i="112"/>
  <c r="G50" i="112"/>
  <c r="L50" i="112" s="1"/>
  <c r="G49" i="112"/>
  <c r="B12" i="143" s="1"/>
  <c r="G48" i="112"/>
  <c r="G47" i="112"/>
  <c r="B12" i="140" s="1"/>
  <c r="G53" i="111"/>
  <c r="L53" i="111" s="1"/>
  <c r="G47" i="111"/>
  <c r="B11" i="140" s="1"/>
  <c r="G50" i="111"/>
  <c r="L50" i="111" s="1"/>
  <c r="G51" i="111"/>
  <c r="L51" i="111" s="1"/>
  <c r="G50" i="110"/>
  <c r="B10" i="141" s="1"/>
  <c r="G49" i="110"/>
  <c r="L49" i="110" s="1"/>
  <c r="G48" i="110"/>
  <c r="G47" i="110"/>
  <c r="L47" i="110" s="1"/>
  <c r="L53" i="110"/>
  <c r="C10" i="140"/>
  <c r="H10" i="140" s="1"/>
  <c r="C11" i="140"/>
  <c r="H11" i="140" s="1"/>
  <c r="C12" i="140"/>
  <c r="H12" i="140" s="1"/>
  <c r="L53" i="113"/>
  <c r="L53" i="114"/>
  <c r="C14" i="140"/>
  <c r="H14" i="140" s="1"/>
  <c r="C16" i="140"/>
  <c r="H16" i="140" s="1"/>
  <c r="C17" i="140"/>
  <c r="H17" i="140" s="1"/>
  <c r="L53" i="118"/>
  <c r="C18" i="140"/>
  <c r="H18" i="140" s="1"/>
  <c r="C19" i="140"/>
  <c r="H19" i="140" s="1"/>
  <c r="L53" i="120"/>
  <c r="C20" i="140"/>
  <c r="H20" i="140" s="1"/>
  <c r="L53" i="121"/>
  <c r="C21" i="140"/>
  <c r="H21" i="140" s="1"/>
  <c r="L53" i="122"/>
  <c r="C22" i="140"/>
  <c r="H22" i="140" s="1"/>
  <c r="L53" i="123"/>
  <c r="C23" i="140"/>
  <c r="H23" i="140" s="1"/>
  <c r="L53" i="124"/>
  <c r="C24" i="140"/>
  <c r="H24" i="140" s="1"/>
  <c r="L53" i="125"/>
  <c r="C25" i="140"/>
  <c r="H25" i="140" s="1"/>
  <c r="L53" i="126"/>
  <c r="C26" i="140"/>
  <c r="H26" i="140" s="1"/>
  <c r="C27" i="140"/>
  <c r="H27" i="140" s="1"/>
  <c r="L53" i="128"/>
  <c r="L54" i="129"/>
  <c r="C29" i="142"/>
  <c r="H29" i="142" s="1"/>
  <c r="L54" i="130"/>
  <c r="C30" i="142"/>
  <c r="H30" i="142" s="1"/>
  <c r="L54" i="131"/>
  <c r="C31" i="142"/>
  <c r="H31" i="142" s="1"/>
  <c r="L54" i="132"/>
  <c r="C32" i="142"/>
  <c r="H32" i="142" s="1"/>
  <c r="L54" i="133"/>
  <c r="C33" i="142"/>
  <c r="H33" i="142" s="1"/>
  <c r="L54" i="134"/>
  <c r="C34" i="142"/>
  <c r="H34" i="142" s="1"/>
  <c r="L54" i="135"/>
  <c r="C35" i="142"/>
  <c r="H35" i="142" s="1"/>
  <c r="L53" i="136"/>
  <c r="C36" i="140"/>
  <c r="H36" i="140" s="1"/>
  <c r="L53" i="137"/>
  <c r="C37" i="140"/>
  <c r="H37" i="140" s="1"/>
  <c r="C38" i="140"/>
  <c r="H38" i="140" s="1"/>
  <c r="L53" i="139"/>
  <c r="C39" i="140"/>
  <c r="H39" i="140" s="1"/>
  <c r="L55" i="110"/>
  <c r="D10" i="141"/>
  <c r="J10" i="141" s="1"/>
  <c r="L55" i="111"/>
  <c r="D11" i="141"/>
  <c r="J11" i="141" s="1"/>
  <c r="L55" i="112"/>
  <c r="D12" i="141"/>
  <c r="J12" i="141" s="1"/>
  <c r="L55" i="113"/>
  <c r="D13" i="141"/>
  <c r="J13" i="141" s="1"/>
  <c r="L55" i="114"/>
  <c r="D14" i="141"/>
  <c r="J14" i="141" s="1"/>
  <c r="L55" i="115"/>
  <c r="D15" i="141"/>
  <c r="J15" i="141" s="1"/>
  <c r="L55" i="116"/>
  <c r="D16" i="141"/>
  <c r="J16" i="141" s="1"/>
  <c r="L55" i="117"/>
  <c r="D17" i="141"/>
  <c r="J17" i="141" s="1"/>
  <c r="L55" i="118"/>
  <c r="D18" i="141"/>
  <c r="J18" i="141" s="1"/>
  <c r="L55" i="119"/>
  <c r="D19" i="141"/>
  <c r="J19" i="141" s="1"/>
  <c r="L55" i="120"/>
  <c r="D20" i="141"/>
  <c r="J20" i="141" s="1"/>
  <c r="L55" i="121"/>
  <c r="D21" i="141"/>
  <c r="J21" i="141" s="1"/>
  <c r="L55" i="122"/>
  <c r="D22" i="141"/>
  <c r="J22" i="141" s="1"/>
  <c r="L55" i="123"/>
  <c r="D23" i="141"/>
  <c r="J23" i="141" s="1"/>
  <c r="L55" i="124"/>
  <c r="D24" i="141"/>
  <c r="J24" i="141" s="1"/>
  <c r="L55" i="125"/>
  <c r="D25" i="141"/>
  <c r="J25" i="141" s="1"/>
  <c r="D26" i="141"/>
  <c r="J26" i="141" s="1"/>
  <c r="L55" i="127"/>
  <c r="D27" i="141"/>
  <c r="J27" i="141" s="1"/>
  <c r="D28" i="141"/>
  <c r="J28" i="141" s="1"/>
  <c r="L56" i="129"/>
  <c r="L56" i="131"/>
  <c r="L56" i="132"/>
  <c r="C33" i="143"/>
  <c r="H33" i="143" s="1"/>
  <c r="L56" i="134"/>
  <c r="C34" i="143"/>
  <c r="H34" i="143" s="1"/>
  <c r="D36" i="141"/>
  <c r="J36" i="141" s="1"/>
  <c r="D37" i="141"/>
  <c r="J37" i="141" s="1"/>
  <c r="L55" i="138"/>
  <c r="D38" i="141"/>
  <c r="J38" i="141" s="1"/>
  <c r="D39" i="141"/>
  <c r="J39" i="141" s="1"/>
  <c r="L56" i="121"/>
  <c r="C21" i="143"/>
  <c r="H21" i="143" s="1"/>
  <c r="L54" i="121"/>
  <c r="C21" i="142"/>
  <c r="H21" i="142" s="1"/>
  <c r="L49" i="121"/>
  <c r="L48" i="121"/>
  <c r="B21" i="142"/>
  <c r="L47" i="121"/>
  <c r="B21" i="140"/>
  <c r="L56" i="122"/>
  <c r="C22" i="143"/>
  <c r="H22" i="143" s="1"/>
  <c r="L54" i="122"/>
  <c r="C22" i="142"/>
  <c r="H22" i="142" s="1"/>
  <c r="L50" i="122"/>
  <c r="L48" i="122"/>
  <c r="L47" i="122"/>
  <c r="B22" i="140"/>
  <c r="L56" i="123"/>
  <c r="L54" i="123"/>
  <c r="C23" i="142"/>
  <c r="H23" i="142" s="1"/>
  <c r="L48" i="123"/>
  <c r="B23" i="142"/>
  <c r="L47" i="123"/>
  <c r="L56" i="124"/>
  <c r="C24" i="143"/>
  <c r="H24" i="143" s="1"/>
  <c r="L54" i="124"/>
  <c r="C24" i="142"/>
  <c r="H24" i="142" s="1"/>
  <c r="L48" i="124"/>
  <c r="B24" i="142"/>
  <c r="L47" i="124"/>
  <c r="B24" i="140"/>
  <c r="L56" i="125"/>
  <c r="L54" i="125"/>
  <c r="C25" i="142"/>
  <c r="H25" i="142" s="1"/>
  <c r="L51" i="125"/>
  <c r="L48" i="125"/>
  <c r="B25" i="142"/>
  <c r="L47" i="125"/>
  <c r="C26" i="143"/>
  <c r="H26" i="143" s="1"/>
  <c r="L54" i="126"/>
  <c r="C26" i="142"/>
  <c r="H26" i="142" s="1"/>
  <c r="B26" i="142"/>
  <c r="L47" i="126"/>
  <c r="L54" i="127"/>
  <c r="C27" i="142"/>
  <c r="H27" i="142" s="1"/>
  <c r="L48" i="127"/>
  <c r="B27" i="142"/>
  <c r="L47" i="127"/>
  <c r="L56" i="128"/>
  <c r="C28" i="143"/>
  <c r="H28" i="143" s="1"/>
  <c r="L54" i="128"/>
  <c r="C28" i="142"/>
  <c r="H28" i="142" s="1"/>
  <c r="L49" i="128"/>
  <c r="L48" i="128"/>
  <c r="B28" i="142"/>
  <c r="L47" i="128"/>
  <c r="B28" i="140"/>
  <c r="G58" i="129"/>
  <c r="L58" i="129" s="1"/>
  <c r="G49" i="129"/>
  <c r="G48" i="129"/>
  <c r="G47" i="129"/>
  <c r="X75" i="129"/>
  <c r="G58" i="130"/>
  <c r="L58" i="130" s="1"/>
  <c r="G51" i="130"/>
  <c r="G49" i="130"/>
  <c r="G48" i="130"/>
  <c r="G47" i="130"/>
  <c r="X75" i="130"/>
  <c r="G58" i="131"/>
  <c r="L58" i="131" s="1"/>
  <c r="G50" i="131"/>
  <c r="G49" i="131"/>
  <c r="G48" i="131"/>
  <c r="G47" i="131"/>
  <c r="X75" i="131"/>
  <c r="G58" i="132"/>
  <c r="L58" i="132" s="1"/>
  <c r="G50" i="132"/>
  <c r="G49" i="132"/>
  <c r="G48" i="132"/>
  <c r="G47" i="132"/>
  <c r="X75" i="132"/>
  <c r="G58" i="133"/>
  <c r="L58" i="133" s="1"/>
  <c r="G51" i="133"/>
  <c r="G49" i="133"/>
  <c r="G48" i="133"/>
  <c r="G47" i="133"/>
  <c r="X75" i="133"/>
  <c r="G58" i="134"/>
  <c r="L58" i="134" s="1"/>
  <c r="G50" i="134"/>
  <c r="G49" i="134"/>
  <c r="G48" i="134"/>
  <c r="G47" i="134"/>
  <c r="X75" i="134"/>
  <c r="G58" i="135"/>
  <c r="L58" i="135" s="1"/>
  <c r="G51" i="135"/>
  <c r="G49" i="135"/>
  <c r="G48" i="135"/>
  <c r="G47" i="135"/>
  <c r="L54" i="136"/>
  <c r="C36" i="142"/>
  <c r="H36" i="142" s="1"/>
  <c r="L48" i="136"/>
  <c r="B36" i="142"/>
  <c r="L47" i="136"/>
  <c r="B36" i="140"/>
  <c r="C37" i="143"/>
  <c r="H37" i="143" s="1"/>
  <c r="L54" i="137"/>
  <c r="C37" i="142"/>
  <c r="H37" i="142" s="1"/>
  <c r="L51" i="137"/>
  <c r="C37" i="141"/>
  <c r="L49" i="137"/>
  <c r="L48" i="137"/>
  <c r="B37" i="142"/>
  <c r="L47" i="137"/>
  <c r="B37" i="140"/>
  <c r="L56" i="138"/>
  <c r="L54" i="138"/>
  <c r="C38" i="142"/>
  <c r="H38" i="142" s="1"/>
  <c r="L50" i="138"/>
  <c r="L49" i="138"/>
  <c r="L48" i="138"/>
  <c r="L47" i="138"/>
  <c r="B38" i="140"/>
  <c r="L56" i="139"/>
  <c r="C39" i="143"/>
  <c r="H39" i="143" s="1"/>
  <c r="L54" i="139"/>
  <c r="C39" i="142"/>
  <c r="H39" i="142" s="1"/>
  <c r="L51" i="139"/>
  <c r="L49" i="139"/>
  <c r="B39" i="143"/>
  <c r="L48" i="139"/>
  <c r="B39" i="142"/>
  <c r="L47" i="139"/>
  <c r="B39" i="140"/>
  <c r="L56" i="110"/>
  <c r="C10" i="143"/>
  <c r="H10" i="143" s="1"/>
  <c r="L54" i="110"/>
  <c r="C10" i="142"/>
  <c r="H10" i="142" s="1"/>
  <c r="L48" i="110"/>
  <c r="B10" i="142"/>
  <c r="L54" i="111"/>
  <c r="C11" i="142"/>
  <c r="H11" i="142" s="1"/>
  <c r="L48" i="111"/>
  <c r="B11" i="142"/>
  <c r="L56" i="112"/>
  <c r="C12" i="143"/>
  <c r="H12" i="143" s="1"/>
  <c r="L54" i="112"/>
  <c r="C12" i="142"/>
  <c r="H12" i="142" s="1"/>
  <c r="L48" i="112"/>
  <c r="B12" i="142"/>
  <c r="C13" i="143"/>
  <c r="H13" i="143" s="1"/>
  <c r="L54" i="113"/>
  <c r="C13" i="142"/>
  <c r="H13" i="142" s="1"/>
  <c r="L48" i="113"/>
  <c r="L47" i="113"/>
  <c r="L56" i="114"/>
  <c r="L54" i="114"/>
  <c r="C14" i="142"/>
  <c r="H14" i="142" s="1"/>
  <c r="C14" i="141"/>
  <c r="L49" i="114"/>
  <c r="L48" i="114"/>
  <c r="B14" i="142"/>
  <c r="B14" i="140"/>
  <c r="L56" i="115"/>
  <c r="L54" i="115"/>
  <c r="C15" i="142"/>
  <c r="H15" i="142" s="1"/>
  <c r="L51" i="115"/>
  <c r="L48" i="115"/>
  <c r="B15" i="142"/>
  <c r="L47" i="115"/>
  <c r="C16" i="143"/>
  <c r="H16" i="143" s="1"/>
  <c r="L54" i="116"/>
  <c r="C16" i="142"/>
  <c r="H16" i="142" s="1"/>
  <c r="L49" i="116"/>
  <c r="L48" i="116"/>
  <c r="B16" i="142"/>
  <c r="L47" i="116"/>
  <c r="B16" i="140"/>
  <c r="L54" i="117"/>
  <c r="C17" i="142"/>
  <c r="H17" i="142" s="1"/>
  <c r="B17" i="142"/>
  <c r="L47" i="117"/>
  <c r="B17" i="140"/>
  <c r="L54" i="118"/>
  <c r="C18" i="142"/>
  <c r="H18" i="142" s="1"/>
  <c r="L51" i="118"/>
  <c r="B18" i="142"/>
  <c r="L47" i="118"/>
  <c r="L56" i="119"/>
  <c r="L54" i="119"/>
  <c r="C19" i="142"/>
  <c r="H19" i="142" s="1"/>
  <c r="L48" i="119"/>
  <c r="B19" i="142"/>
  <c r="B19" i="140"/>
  <c r="C20" i="143"/>
  <c r="H20" i="143" s="1"/>
  <c r="L54" i="120"/>
  <c r="C20" i="142"/>
  <c r="H20" i="142" s="1"/>
  <c r="L48" i="120"/>
  <c r="B20" i="142"/>
  <c r="B20" i="140"/>
  <c r="G52" i="110"/>
  <c r="C10" i="34" s="1"/>
  <c r="H10" i="34" s="1"/>
  <c r="X63" i="110"/>
  <c r="X69" i="110"/>
  <c r="AB98" i="110"/>
  <c r="G52" i="111"/>
  <c r="C11" i="34" s="1"/>
  <c r="H11" i="34" s="1"/>
  <c r="X63" i="111"/>
  <c r="X69" i="111"/>
  <c r="AB98" i="111"/>
  <c r="G52" i="112"/>
  <c r="X63" i="112"/>
  <c r="X69" i="112"/>
  <c r="AB98" i="112"/>
  <c r="G52" i="113"/>
  <c r="H69" i="113" s="1"/>
  <c r="X63" i="113"/>
  <c r="X69" i="113"/>
  <c r="AB98" i="113"/>
  <c r="G52" i="114"/>
  <c r="C14" i="34" s="1"/>
  <c r="H14" i="34" s="1"/>
  <c r="X63" i="114"/>
  <c r="X69" i="114"/>
  <c r="AB98" i="114"/>
  <c r="G52" i="115"/>
  <c r="X63" i="115"/>
  <c r="X69" i="115"/>
  <c r="AB98" i="115"/>
  <c r="G52" i="116"/>
  <c r="X63" i="116"/>
  <c r="X69" i="116"/>
  <c r="AB98" i="116"/>
  <c r="C17" i="34"/>
  <c r="H17" i="34" s="1"/>
  <c r="X63" i="117"/>
  <c r="X69" i="117"/>
  <c r="AB98" i="117"/>
  <c r="G52" i="118"/>
  <c r="X63" i="118"/>
  <c r="X69" i="118"/>
  <c r="AB98" i="118"/>
  <c r="G52" i="119"/>
  <c r="C19" i="34" s="1"/>
  <c r="H19" i="34" s="1"/>
  <c r="X63" i="119"/>
  <c r="X69" i="119"/>
  <c r="AB98" i="119"/>
  <c r="G52" i="120"/>
  <c r="H69" i="120" s="1"/>
  <c r="X63" i="120"/>
  <c r="X69" i="120"/>
  <c r="AB98" i="120"/>
  <c r="G52" i="121"/>
  <c r="X63" i="121"/>
  <c r="X69" i="121"/>
  <c r="AB98" i="121"/>
  <c r="G52" i="122"/>
  <c r="X63" i="122"/>
  <c r="X69" i="122"/>
  <c r="AB98" i="122"/>
  <c r="G52" i="123"/>
  <c r="H69" i="123" s="1"/>
  <c r="X63" i="123"/>
  <c r="X69" i="123"/>
  <c r="AB98" i="123"/>
  <c r="X63" i="124"/>
  <c r="X69" i="124"/>
  <c r="AB98" i="124"/>
  <c r="G52" i="125"/>
  <c r="X63" i="125"/>
  <c r="X69" i="125"/>
  <c r="AB98" i="125"/>
  <c r="G52" i="126"/>
  <c r="X63" i="126"/>
  <c r="X69" i="126"/>
  <c r="AB98" i="126"/>
  <c r="G52" i="127"/>
  <c r="X63" i="127"/>
  <c r="X69" i="127"/>
  <c r="AB98" i="127"/>
  <c r="G52" i="128"/>
  <c r="X63" i="128"/>
  <c r="X69" i="128"/>
  <c r="AB98" i="128"/>
  <c r="L55" i="129"/>
  <c r="D29" i="141"/>
  <c r="J29" i="141" s="1"/>
  <c r="L53" i="129"/>
  <c r="C29" i="140"/>
  <c r="H29" i="140" s="1"/>
  <c r="L55" i="130"/>
  <c r="D30" i="141"/>
  <c r="J30" i="141" s="1"/>
  <c r="L53" i="130"/>
  <c r="C30" i="140"/>
  <c r="H30" i="140" s="1"/>
  <c r="L55" i="131"/>
  <c r="D31" i="141"/>
  <c r="J31" i="141" s="1"/>
  <c r="L53" i="131"/>
  <c r="C31" i="140"/>
  <c r="H31" i="140" s="1"/>
  <c r="L55" i="132"/>
  <c r="D32" i="141"/>
  <c r="J32" i="141" s="1"/>
  <c r="L53" i="132"/>
  <c r="C32" i="140"/>
  <c r="H32" i="140" s="1"/>
  <c r="L55" i="133"/>
  <c r="D33" i="141"/>
  <c r="J33" i="141" s="1"/>
  <c r="L53" i="133"/>
  <c r="C33" i="140"/>
  <c r="H33" i="140" s="1"/>
  <c r="L55" i="134"/>
  <c r="D34" i="141"/>
  <c r="J34" i="141" s="1"/>
  <c r="L53" i="134"/>
  <c r="C34" i="140"/>
  <c r="H34" i="140" s="1"/>
  <c r="L55" i="135"/>
  <c r="D35" i="141"/>
  <c r="J35" i="141" s="1"/>
  <c r="L53" i="135"/>
  <c r="C35" i="140"/>
  <c r="H35" i="140" s="1"/>
  <c r="X63" i="135"/>
  <c r="X69" i="135"/>
  <c r="AB98" i="135"/>
  <c r="G52" i="136"/>
  <c r="C36" i="34" s="1"/>
  <c r="H36" i="34" s="1"/>
  <c r="X63" i="136"/>
  <c r="X69" i="136"/>
  <c r="AB98" i="136"/>
  <c r="G52" i="137"/>
  <c r="C37" i="34" s="1"/>
  <c r="H37" i="34" s="1"/>
  <c r="X63" i="137"/>
  <c r="X69" i="137"/>
  <c r="AB98" i="137"/>
  <c r="G52" i="138"/>
  <c r="C38" i="34" s="1"/>
  <c r="H38" i="34" s="1"/>
  <c r="X63" i="138"/>
  <c r="X69" i="138"/>
  <c r="AB98" i="138"/>
  <c r="G52" i="139"/>
  <c r="C39" i="34" s="1"/>
  <c r="H39" i="34" s="1"/>
  <c r="X63" i="139"/>
  <c r="X69" i="139"/>
  <c r="AB98" i="139"/>
  <c r="G57" i="139"/>
  <c r="L57" i="139" s="1"/>
  <c r="D61" i="139"/>
  <c r="F46" i="139"/>
  <c r="AA21" i="139"/>
  <c r="AA20" i="139"/>
  <c r="AA19" i="139"/>
  <c r="AA18" i="139"/>
  <c r="AA17" i="139"/>
  <c r="AA16" i="139"/>
  <c r="AA15" i="139"/>
  <c r="AA14" i="139"/>
  <c r="AA13" i="139"/>
  <c r="X42" i="139"/>
  <c r="W42" i="139"/>
  <c r="Z12" i="139"/>
  <c r="Z42" i="139" s="1"/>
  <c r="V42" i="139"/>
  <c r="Y12" i="139"/>
  <c r="Y42" i="139" s="1"/>
  <c r="U42" i="139"/>
  <c r="AA12" i="139"/>
  <c r="V63" i="139"/>
  <c r="Y43" i="139"/>
  <c r="Y63" i="139" s="1"/>
  <c r="W63" i="139"/>
  <c r="Z43" i="139"/>
  <c r="Z63" i="139" s="1"/>
  <c r="V69" i="139"/>
  <c r="Y64" i="139"/>
  <c r="Y69" i="139" s="1"/>
  <c r="W69" i="139"/>
  <c r="Z64" i="139"/>
  <c r="Z69" i="139" s="1"/>
  <c r="V75" i="139"/>
  <c r="Y70" i="139"/>
  <c r="Y75" i="139" s="1"/>
  <c r="W75" i="139"/>
  <c r="Z70" i="139"/>
  <c r="Z75" i="139" s="1"/>
  <c r="AA22" i="139"/>
  <c r="AA23" i="139"/>
  <c r="AA24" i="139"/>
  <c r="AA25" i="139"/>
  <c r="AA26" i="139"/>
  <c r="AA27" i="139"/>
  <c r="AA28" i="139"/>
  <c r="AA29" i="139"/>
  <c r="AA30" i="139"/>
  <c r="AA31" i="139"/>
  <c r="AA32" i="139"/>
  <c r="AA33" i="139"/>
  <c r="AA34" i="139"/>
  <c r="AA35" i="139"/>
  <c r="AA36" i="139"/>
  <c r="AA37" i="139"/>
  <c r="AA38" i="139"/>
  <c r="AA39" i="139"/>
  <c r="AA40" i="139"/>
  <c r="AA41" i="139"/>
  <c r="U63" i="139"/>
  <c r="AA43" i="139"/>
  <c r="AA44" i="139"/>
  <c r="AA45" i="139"/>
  <c r="AA46" i="139"/>
  <c r="AA47" i="139"/>
  <c r="AA48" i="139"/>
  <c r="AA49" i="139"/>
  <c r="AA50" i="139"/>
  <c r="AA51" i="139"/>
  <c r="AA52" i="139"/>
  <c r="AA53" i="139"/>
  <c r="AA54" i="139"/>
  <c r="AA55" i="139"/>
  <c r="AA56" i="139"/>
  <c r="AA57" i="139"/>
  <c r="AA58" i="139"/>
  <c r="AA59" i="139"/>
  <c r="AA60" i="139"/>
  <c r="AA61" i="139"/>
  <c r="AA62" i="139"/>
  <c r="U69" i="139"/>
  <c r="AA64" i="139"/>
  <c r="AA65" i="139"/>
  <c r="AA66" i="139"/>
  <c r="AA67" i="139"/>
  <c r="AA68" i="139"/>
  <c r="U75" i="139"/>
  <c r="AA70" i="139"/>
  <c r="AA71" i="139"/>
  <c r="AA72" i="139"/>
  <c r="AA73" i="139"/>
  <c r="AA74" i="139"/>
  <c r="AA98" i="139"/>
  <c r="AC78" i="139"/>
  <c r="AC79" i="139"/>
  <c r="AC80" i="139"/>
  <c r="AC81" i="139"/>
  <c r="AC82" i="139"/>
  <c r="AC83" i="139"/>
  <c r="AC84" i="139"/>
  <c r="AC85" i="139"/>
  <c r="AC86" i="139"/>
  <c r="AC87" i="139"/>
  <c r="AC88" i="139"/>
  <c r="AC89" i="139"/>
  <c r="AC90" i="139"/>
  <c r="AC91" i="139"/>
  <c r="AC92" i="139"/>
  <c r="AC93" i="139"/>
  <c r="AC94" i="139"/>
  <c r="AC95" i="139"/>
  <c r="AC96" i="139"/>
  <c r="AC97" i="139"/>
  <c r="G57" i="138"/>
  <c r="L57" i="138" s="1"/>
  <c r="F46" i="138"/>
  <c r="AA21" i="138"/>
  <c r="AA20" i="138"/>
  <c r="AA19" i="138"/>
  <c r="AA18" i="138"/>
  <c r="AA17" i="138"/>
  <c r="AA16" i="138"/>
  <c r="AA15" i="138"/>
  <c r="AA14" i="138"/>
  <c r="AA13" i="138"/>
  <c r="X42" i="138"/>
  <c r="W42" i="138"/>
  <c r="Z12" i="138"/>
  <c r="Z42" i="138" s="1"/>
  <c r="V42" i="138"/>
  <c r="Y12" i="138"/>
  <c r="Y42" i="138" s="1"/>
  <c r="U42" i="138"/>
  <c r="AA12" i="138"/>
  <c r="V63" i="138"/>
  <c r="Y43" i="138"/>
  <c r="Y63" i="138" s="1"/>
  <c r="W63" i="138"/>
  <c r="Z43" i="138"/>
  <c r="Z63" i="138" s="1"/>
  <c r="V69" i="138"/>
  <c r="Y64" i="138"/>
  <c r="Y69" i="138" s="1"/>
  <c r="W69" i="138"/>
  <c r="Z64" i="138"/>
  <c r="Z69" i="138" s="1"/>
  <c r="V75" i="138"/>
  <c r="Y70" i="138"/>
  <c r="Y75" i="138" s="1"/>
  <c r="W75" i="138"/>
  <c r="Z70" i="138"/>
  <c r="Z75" i="138" s="1"/>
  <c r="AA22" i="138"/>
  <c r="AA23" i="138"/>
  <c r="AA24" i="138"/>
  <c r="AA25" i="138"/>
  <c r="AA26" i="138"/>
  <c r="AA27" i="138"/>
  <c r="AA28" i="138"/>
  <c r="AA29" i="138"/>
  <c r="AA30" i="138"/>
  <c r="AA31" i="138"/>
  <c r="AA32" i="138"/>
  <c r="AA33" i="138"/>
  <c r="AA34" i="138"/>
  <c r="AA35" i="138"/>
  <c r="AA36" i="138"/>
  <c r="AA37" i="138"/>
  <c r="AA38" i="138"/>
  <c r="AA39" i="138"/>
  <c r="AA40" i="138"/>
  <c r="AA41" i="138"/>
  <c r="U63" i="138"/>
  <c r="AA43" i="138"/>
  <c r="AA44" i="138"/>
  <c r="AA45" i="138"/>
  <c r="AA46" i="138"/>
  <c r="AA47" i="138"/>
  <c r="AA48" i="138"/>
  <c r="AA49" i="138"/>
  <c r="AA50" i="138"/>
  <c r="AA51" i="138"/>
  <c r="AA52" i="138"/>
  <c r="AA53" i="138"/>
  <c r="AA54" i="138"/>
  <c r="AA55" i="138"/>
  <c r="AA56" i="138"/>
  <c r="AA57" i="138"/>
  <c r="AA58" i="138"/>
  <c r="AA59" i="138"/>
  <c r="AA60" i="138"/>
  <c r="AA61" i="138"/>
  <c r="AA62" i="138"/>
  <c r="U69" i="138"/>
  <c r="AA64" i="138"/>
  <c r="AA65" i="138"/>
  <c r="AA66" i="138"/>
  <c r="AA67" i="138"/>
  <c r="AA68" i="138"/>
  <c r="U75" i="138"/>
  <c r="AA70" i="138"/>
  <c r="AA71" i="138"/>
  <c r="AA72" i="138"/>
  <c r="AA73" i="138"/>
  <c r="AA74" i="138"/>
  <c r="AA98" i="138"/>
  <c r="AC78" i="138"/>
  <c r="AC79" i="138"/>
  <c r="AC80" i="138"/>
  <c r="AC81" i="138"/>
  <c r="AC82" i="138"/>
  <c r="AC83" i="138"/>
  <c r="AC84" i="138"/>
  <c r="AC85" i="138"/>
  <c r="AC86" i="138"/>
  <c r="AC87" i="138"/>
  <c r="AC88" i="138"/>
  <c r="AC89" i="138"/>
  <c r="AC90" i="138"/>
  <c r="AC91" i="138"/>
  <c r="AC92" i="138"/>
  <c r="AC93" i="138"/>
  <c r="AC94" i="138"/>
  <c r="AC95" i="138"/>
  <c r="AC96" i="138"/>
  <c r="AC97" i="138"/>
  <c r="G57" i="137"/>
  <c r="L57" i="137" s="1"/>
  <c r="D61" i="137"/>
  <c r="F46" i="137"/>
  <c r="F61" i="137" s="1"/>
  <c r="AA21" i="137"/>
  <c r="AA20" i="137"/>
  <c r="AA19" i="137"/>
  <c r="AA18" i="137"/>
  <c r="AA17" i="137"/>
  <c r="AA16" i="137"/>
  <c r="AA15" i="137"/>
  <c r="AA14" i="137"/>
  <c r="AA13" i="137"/>
  <c r="X42" i="137"/>
  <c r="W42" i="137"/>
  <c r="Z12" i="137"/>
  <c r="Z42" i="137" s="1"/>
  <c r="V42" i="137"/>
  <c r="Y12" i="137"/>
  <c r="Y42" i="137" s="1"/>
  <c r="U42" i="137"/>
  <c r="AA12" i="137"/>
  <c r="V63" i="137"/>
  <c r="Y43" i="137"/>
  <c r="Y63" i="137" s="1"/>
  <c r="W63" i="137"/>
  <c r="Z43" i="137"/>
  <c r="Z63" i="137" s="1"/>
  <c r="V69" i="137"/>
  <c r="Y64" i="137"/>
  <c r="Y69" i="137" s="1"/>
  <c r="W69" i="137"/>
  <c r="Z64" i="137"/>
  <c r="Z69" i="137" s="1"/>
  <c r="V75" i="137"/>
  <c r="Y70" i="137"/>
  <c r="Y75" i="137" s="1"/>
  <c r="W75" i="137"/>
  <c r="Z70" i="137"/>
  <c r="Z75" i="137" s="1"/>
  <c r="AA22" i="137"/>
  <c r="AA23" i="137"/>
  <c r="AA24" i="137"/>
  <c r="AA25" i="137"/>
  <c r="AA26" i="137"/>
  <c r="AA27" i="137"/>
  <c r="AA28" i="137"/>
  <c r="AA29" i="137"/>
  <c r="AA30" i="137"/>
  <c r="AA31" i="137"/>
  <c r="AA32" i="137"/>
  <c r="AA33" i="137"/>
  <c r="AA34" i="137"/>
  <c r="AA35" i="137"/>
  <c r="AA36" i="137"/>
  <c r="AA37" i="137"/>
  <c r="AA38" i="137"/>
  <c r="AA39" i="137"/>
  <c r="AA40" i="137"/>
  <c r="AA41" i="137"/>
  <c r="U63" i="137"/>
  <c r="AA43" i="137"/>
  <c r="AA44" i="137"/>
  <c r="AA45" i="137"/>
  <c r="AA46" i="137"/>
  <c r="AA47" i="137"/>
  <c r="AA48" i="137"/>
  <c r="AA49" i="137"/>
  <c r="AA50" i="137"/>
  <c r="AA51" i="137"/>
  <c r="AA52" i="137"/>
  <c r="AA53" i="137"/>
  <c r="AA54" i="137"/>
  <c r="AA55" i="137"/>
  <c r="AA56" i="137"/>
  <c r="AA57" i="137"/>
  <c r="AA58" i="137"/>
  <c r="AA59" i="137"/>
  <c r="AA60" i="137"/>
  <c r="AA61" i="137"/>
  <c r="AA62" i="137"/>
  <c r="U69" i="137"/>
  <c r="AA64" i="137"/>
  <c r="AA65" i="137"/>
  <c r="AA66" i="137"/>
  <c r="AA67" i="137"/>
  <c r="AA68" i="137"/>
  <c r="U75" i="137"/>
  <c r="AA70" i="137"/>
  <c r="AA71" i="137"/>
  <c r="AA72" i="137"/>
  <c r="AA73" i="137"/>
  <c r="AA74" i="137"/>
  <c r="AA98" i="137"/>
  <c r="AC78" i="137"/>
  <c r="AC79" i="137"/>
  <c r="AC80" i="137"/>
  <c r="AC81" i="137"/>
  <c r="AC82" i="137"/>
  <c r="AC83" i="137"/>
  <c r="AC84" i="137"/>
  <c r="AC85" i="137"/>
  <c r="AC86" i="137"/>
  <c r="AC87" i="137"/>
  <c r="AC88" i="137"/>
  <c r="AC89" i="137"/>
  <c r="AC90" i="137"/>
  <c r="AC91" i="137"/>
  <c r="AC92" i="137"/>
  <c r="AC93" i="137"/>
  <c r="AC94" i="137"/>
  <c r="AC95" i="137"/>
  <c r="AC96" i="137"/>
  <c r="AC97" i="137"/>
  <c r="L52" i="136"/>
  <c r="G57" i="136"/>
  <c r="L57" i="136" s="1"/>
  <c r="D61" i="136"/>
  <c r="F46" i="136"/>
  <c r="AA21" i="136"/>
  <c r="AA20" i="136"/>
  <c r="AA19" i="136"/>
  <c r="AA18" i="136"/>
  <c r="AA17" i="136"/>
  <c r="AA16" i="136"/>
  <c r="AA15" i="136"/>
  <c r="AA14" i="136"/>
  <c r="AA13" i="136"/>
  <c r="X42" i="136"/>
  <c r="W42" i="136"/>
  <c r="Z12" i="136"/>
  <c r="Z42" i="136" s="1"/>
  <c r="V42" i="136"/>
  <c r="Y12" i="136"/>
  <c r="Y42" i="136" s="1"/>
  <c r="U42" i="136"/>
  <c r="AA12" i="136"/>
  <c r="V63" i="136"/>
  <c r="Y43" i="136"/>
  <c r="Y63" i="136" s="1"/>
  <c r="W63" i="136"/>
  <c r="Z43" i="136"/>
  <c r="Z63" i="136" s="1"/>
  <c r="V69" i="136"/>
  <c r="Y64" i="136"/>
  <c r="Y69" i="136" s="1"/>
  <c r="W69" i="136"/>
  <c r="Z64" i="136"/>
  <c r="Z69" i="136" s="1"/>
  <c r="V75" i="136"/>
  <c r="Y70" i="136"/>
  <c r="Y75" i="136" s="1"/>
  <c r="W75" i="136"/>
  <c r="Z70" i="136"/>
  <c r="Z75" i="136" s="1"/>
  <c r="AA22" i="136"/>
  <c r="AA23" i="136"/>
  <c r="AA24" i="136"/>
  <c r="AA25" i="136"/>
  <c r="AA26" i="136"/>
  <c r="AA27" i="136"/>
  <c r="AA28" i="136"/>
  <c r="AA29" i="136"/>
  <c r="AA30" i="136"/>
  <c r="AA31" i="136"/>
  <c r="AA32" i="136"/>
  <c r="AA33" i="136"/>
  <c r="AA34" i="136"/>
  <c r="AA35" i="136"/>
  <c r="AA36" i="136"/>
  <c r="AA37" i="136"/>
  <c r="AA38" i="136"/>
  <c r="AA39" i="136"/>
  <c r="AA40" i="136"/>
  <c r="AA41" i="136"/>
  <c r="U63" i="136"/>
  <c r="AA43" i="136"/>
  <c r="AA44" i="136"/>
  <c r="AA45" i="136"/>
  <c r="AA46" i="136"/>
  <c r="AA47" i="136"/>
  <c r="AA48" i="136"/>
  <c r="AA49" i="136"/>
  <c r="AA50" i="136"/>
  <c r="AA51" i="136"/>
  <c r="AA52" i="136"/>
  <c r="AA53" i="136"/>
  <c r="AA54" i="136"/>
  <c r="AA55" i="136"/>
  <c r="AA56" i="136"/>
  <c r="AA57" i="136"/>
  <c r="AA58" i="136"/>
  <c r="AA59" i="136"/>
  <c r="AA60" i="136"/>
  <c r="AA61" i="136"/>
  <c r="AA62" i="136"/>
  <c r="U69" i="136"/>
  <c r="AA64" i="136"/>
  <c r="AA65" i="136"/>
  <c r="AA66" i="136"/>
  <c r="AA67" i="136"/>
  <c r="AA68" i="136"/>
  <c r="U75" i="136"/>
  <c r="AA70" i="136"/>
  <c r="AA71" i="136"/>
  <c r="AA72" i="136"/>
  <c r="AA73" i="136"/>
  <c r="AA74" i="136"/>
  <c r="AA98" i="136"/>
  <c r="AC78" i="136"/>
  <c r="AC79" i="136"/>
  <c r="AC80" i="136"/>
  <c r="AC81" i="136"/>
  <c r="AC82" i="136"/>
  <c r="AC83" i="136"/>
  <c r="AC84" i="136"/>
  <c r="AC85" i="136"/>
  <c r="AC86" i="136"/>
  <c r="AC87" i="136"/>
  <c r="AC88" i="136"/>
  <c r="AC89" i="136"/>
  <c r="AC90" i="136"/>
  <c r="AC91" i="136"/>
  <c r="AC92" i="136"/>
  <c r="AC93" i="136"/>
  <c r="AC94" i="136"/>
  <c r="AC95" i="136"/>
  <c r="AC96" i="136"/>
  <c r="AC97" i="136"/>
  <c r="L52" i="135"/>
  <c r="G57" i="135"/>
  <c r="L57" i="135" s="1"/>
  <c r="F46" i="135"/>
  <c r="AA21" i="135"/>
  <c r="AA20" i="135"/>
  <c r="AA19" i="135"/>
  <c r="AA18" i="135"/>
  <c r="AA17" i="135"/>
  <c r="AA16" i="135"/>
  <c r="AA15" i="135"/>
  <c r="AA14" i="135"/>
  <c r="AA13" i="135"/>
  <c r="X42" i="135"/>
  <c r="W42" i="135"/>
  <c r="Z12" i="135"/>
  <c r="Z42" i="135" s="1"/>
  <c r="V42" i="135"/>
  <c r="Y12" i="135"/>
  <c r="Y42" i="135" s="1"/>
  <c r="U42" i="135"/>
  <c r="AA12" i="135"/>
  <c r="V63" i="135"/>
  <c r="Y43" i="135"/>
  <c r="Y63" i="135" s="1"/>
  <c r="W63" i="135"/>
  <c r="Z43" i="135"/>
  <c r="Z63" i="135" s="1"/>
  <c r="V69" i="135"/>
  <c r="Y64" i="135"/>
  <c r="Y69" i="135" s="1"/>
  <c r="W69" i="135"/>
  <c r="Z64" i="135"/>
  <c r="Z69" i="135" s="1"/>
  <c r="V75" i="135"/>
  <c r="Y70" i="135"/>
  <c r="Y75" i="135" s="1"/>
  <c r="W75" i="135"/>
  <c r="Z70" i="135"/>
  <c r="Z75" i="135" s="1"/>
  <c r="AA22" i="135"/>
  <c r="AA23" i="135"/>
  <c r="AA24" i="135"/>
  <c r="AA25" i="135"/>
  <c r="AA26" i="135"/>
  <c r="AA27" i="135"/>
  <c r="AA28" i="135"/>
  <c r="AA29" i="135"/>
  <c r="AA30" i="135"/>
  <c r="AA31" i="135"/>
  <c r="AA32" i="135"/>
  <c r="AA33" i="135"/>
  <c r="AA34" i="135"/>
  <c r="AA35" i="135"/>
  <c r="AA36" i="135"/>
  <c r="AA37" i="135"/>
  <c r="AA38" i="135"/>
  <c r="AA39" i="135"/>
  <c r="AA40" i="135"/>
  <c r="AA41" i="135"/>
  <c r="U63" i="135"/>
  <c r="AA43" i="135"/>
  <c r="AA44" i="135"/>
  <c r="AA45" i="135"/>
  <c r="AA46" i="135"/>
  <c r="AA47" i="135"/>
  <c r="AA48" i="135"/>
  <c r="AA49" i="135"/>
  <c r="AA50" i="135"/>
  <c r="AA51" i="135"/>
  <c r="AA52" i="135"/>
  <c r="AA53" i="135"/>
  <c r="AA54" i="135"/>
  <c r="AA55" i="135"/>
  <c r="AA56" i="135"/>
  <c r="AA57" i="135"/>
  <c r="AA58" i="135"/>
  <c r="AA59" i="135"/>
  <c r="AA60" i="135"/>
  <c r="AA61" i="135"/>
  <c r="AA62" i="135"/>
  <c r="U69" i="135"/>
  <c r="AA64" i="135"/>
  <c r="AA65" i="135"/>
  <c r="AA66" i="135"/>
  <c r="AA67" i="135"/>
  <c r="AA68" i="135"/>
  <c r="U75" i="135"/>
  <c r="AA70" i="135"/>
  <c r="AA71" i="135"/>
  <c r="AA72" i="135"/>
  <c r="AA73" i="135"/>
  <c r="AA74" i="135"/>
  <c r="AA98" i="135"/>
  <c r="AC78" i="135"/>
  <c r="AC79" i="135"/>
  <c r="AC80" i="135"/>
  <c r="AC81" i="135"/>
  <c r="AC82" i="135"/>
  <c r="AC83" i="135"/>
  <c r="AC84" i="135"/>
  <c r="AC85" i="135"/>
  <c r="AC86" i="135"/>
  <c r="AC87" i="135"/>
  <c r="AC88" i="135"/>
  <c r="AC89" i="135"/>
  <c r="AC90" i="135"/>
  <c r="AC91" i="135"/>
  <c r="AC92" i="135"/>
  <c r="AC93" i="135"/>
  <c r="AC94" i="135"/>
  <c r="AC95" i="135"/>
  <c r="AC96" i="135"/>
  <c r="AC97" i="135"/>
  <c r="G57" i="134"/>
  <c r="L57" i="134" s="1"/>
  <c r="F46" i="134"/>
  <c r="F61" i="134" s="1"/>
  <c r="AA21" i="134"/>
  <c r="AA20" i="134"/>
  <c r="AA19" i="134"/>
  <c r="AA18" i="134"/>
  <c r="AA17" i="134"/>
  <c r="AA16" i="134"/>
  <c r="AA15" i="134"/>
  <c r="AA14" i="134"/>
  <c r="AA13" i="134"/>
  <c r="X42" i="134"/>
  <c r="W42" i="134"/>
  <c r="Z12" i="134"/>
  <c r="Z42" i="134" s="1"/>
  <c r="V42" i="134"/>
  <c r="Y12" i="134"/>
  <c r="Y42" i="134" s="1"/>
  <c r="U42" i="134"/>
  <c r="AA12" i="134"/>
  <c r="V63" i="134"/>
  <c r="Y43" i="134"/>
  <c r="Y63" i="134" s="1"/>
  <c r="W63" i="134"/>
  <c r="Z43" i="134"/>
  <c r="Z63" i="134" s="1"/>
  <c r="V69" i="134"/>
  <c r="Y64" i="134"/>
  <c r="Y69" i="134" s="1"/>
  <c r="W69" i="134"/>
  <c r="Z64" i="134"/>
  <c r="Z69" i="134" s="1"/>
  <c r="V75" i="134"/>
  <c r="Y70" i="134"/>
  <c r="Y75" i="134" s="1"/>
  <c r="W75" i="134"/>
  <c r="Z70" i="134"/>
  <c r="Z75" i="134" s="1"/>
  <c r="AA22" i="134"/>
  <c r="AA23" i="134"/>
  <c r="AA24" i="134"/>
  <c r="AA25" i="134"/>
  <c r="AA26" i="134"/>
  <c r="AA27" i="134"/>
  <c r="AA28" i="134"/>
  <c r="AA29" i="134"/>
  <c r="AA30" i="134"/>
  <c r="AA31" i="134"/>
  <c r="AA32" i="134"/>
  <c r="AA33" i="134"/>
  <c r="AA34" i="134"/>
  <c r="AA35" i="134"/>
  <c r="AA36" i="134"/>
  <c r="AA37" i="134"/>
  <c r="AA38" i="134"/>
  <c r="AA39" i="134"/>
  <c r="AA40" i="134"/>
  <c r="AA41" i="134"/>
  <c r="U63" i="134"/>
  <c r="AA43" i="134"/>
  <c r="AA44" i="134"/>
  <c r="AA45" i="134"/>
  <c r="AA46" i="134"/>
  <c r="AA47" i="134"/>
  <c r="AA48" i="134"/>
  <c r="AA49" i="134"/>
  <c r="AA50" i="134"/>
  <c r="AA51" i="134"/>
  <c r="AA52" i="134"/>
  <c r="AA53" i="134"/>
  <c r="AA54" i="134"/>
  <c r="AA55" i="134"/>
  <c r="AA56" i="134"/>
  <c r="AA57" i="134"/>
  <c r="AA58" i="134"/>
  <c r="AA59" i="134"/>
  <c r="AA60" i="134"/>
  <c r="AA61" i="134"/>
  <c r="AA62" i="134"/>
  <c r="U69" i="134"/>
  <c r="AA64" i="134"/>
  <c r="AA65" i="134"/>
  <c r="AA66" i="134"/>
  <c r="AA67" i="134"/>
  <c r="AA68" i="134"/>
  <c r="U75" i="134"/>
  <c r="AA70" i="134"/>
  <c r="AA71" i="134"/>
  <c r="AA72" i="134"/>
  <c r="AA73" i="134"/>
  <c r="AA74" i="134"/>
  <c r="AA98" i="134"/>
  <c r="AC78" i="134"/>
  <c r="AC79" i="134"/>
  <c r="AC80" i="134"/>
  <c r="AC81" i="134"/>
  <c r="AC82" i="134"/>
  <c r="AC83" i="134"/>
  <c r="AC84" i="134"/>
  <c r="AC85" i="134"/>
  <c r="AC86" i="134"/>
  <c r="AC87" i="134"/>
  <c r="AC88" i="134"/>
  <c r="AC89" i="134"/>
  <c r="AC90" i="134"/>
  <c r="AC91" i="134"/>
  <c r="AC92" i="134"/>
  <c r="AC93" i="134"/>
  <c r="AC94" i="134"/>
  <c r="AC95" i="134"/>
  <c r="AC96" i="134"/>
  <c r="AC97" i="134"/>
  <c r="G57" i="133"/>
  <c r="L57" i="133" s="1"/>
  <c r="F46" i="133"/>
  <c r="F61" i="133" s="1"/>
  <c r="AA21" i="133"/>
  <c r="AA20" i="133"/>
  <c r="AA19" i="133"/>
  <c r="AA18" i="133"/>
  <c r="AA17" i="133"/>
  <c r="AA16" i="133"/>
  <c r="AA15" i="133"/>
  <c r="AA14" i="133"/>
  <c r="AA13" i="133"/>
  <c r="X42" i="133"/>
  <c r="W42" i="133"/>
  <c r="Z12" i="133"/>
  <c r="Z42" i="133" s="1"/>
  <c r="V42" i="133"/>
  <c r="Y12" i="133"/>
  <c r="Y42" i="133" s="1"/>
  <c r="U42" i="133"/>
  <c r="AA12" i="133"/>
  <c r="V63" i="133"/>
  <c r="Y43" i="133"/>
  <c r="Y63" i="133" s="1"/>
  <c r="W63" i="133"/>
  <c r="Z43" i="133"/>
  <c r="Z63" i="133" s="1"/>
  <c r="V69" i="133"/>
  <c r="Y64" i="133"/>
  <c r="Y69" i="133" s="1"/>
  <c r="W69" i="133"/>
  <c r="Z64" i="133"/>
  <c r="Z69" i="133" s="1"/>
  <c r="V75" i="133"/>
  <c r="Y70" i="133"/>
  <c r="Y75" i="133" s="1"/>
  <c r="W75" i="133"/>
  <c r="Z70" i="133"/>
  <c r="Z75" i="133" s="1"/>
  <c r="AA22" i="133"/>
  <c r="AA23" i="133"/>
  <c r="AA24" i="133"/>
  <c r="AA25" i="133"/>
  <c r="AA26" i="133"/>
  <c r="AA27" i="133"/>
  <c r="AA28" i="133"/>
  <c r="AA29" i="133"/>
  <c r="AA30" i="133"/>
  <c r="AA31" i="133"/>
  <c r="AA32" i="133"/>
  <c r="AA33" i="133"/>
  <c r="AA34" i="133"/>
  <c r="AA35" i="133"/>
  <c r="AA36" i="133"/>
  <c r="AA37" i="133"/>
  <c r="AA38" i="133"/>
  <c r="AA39" i="133"/>
  <c r="AA40" i="133"/>
  <c r="AA41" i="133"/>
  <c r="U63" i="133"/>
  <c r="AA43" i="133"/>
  <c r="AA44" i="133"/>
  <c r="AA45" i="133"/>
  <c r="AA46" i="133"/>
  <c r="AA47" i="133"/>
  <c r="AA48" i="133"/>
  <c r="AA49" i="133"/>
  <c r="AA50" i="133"/>
  <c r="AA51" i="133"/>
  <c r="AA52" i="133"/>
  <c r="AA53" i="133"/>
  <c r="AA54" i="133"/>
  <c r="AA55" i="133"/>
  <c r="AA56" i="133"/>
  <c r="AA57" i="133"/>
  <c r="AA58" i="133"/>
  <c r="AA59" i="133"/>
  <c r="AA60" i="133"/>
  <c r="AA61" i="133"/>
  <c r="AA62" i="133"/>
  <c r="U69" i="133"/>
  <c r="AA64" i="133"/>
  <c r="AA65" i="133"/>
  <c r="AA66" i="133"/>
  <c r="AA67" i="133"/>
  <c r="AA68" i="133"/>
  <c r="U75" i="133"/>
  <c r="AA70" i="133"/>
  <c r="AA71" i="133"/>
  <c r="AA72" i="133"/>
  <c r="AA73" i="133"/>
  <c r="AA74" i="133"/>
  <c r="AA98" i="133"/>
  <c r="AC78" i="133"/>
  <c r="AC79" i="133"/>
  <c r="AC80" i="133"/>
  <c r="AC81" i="133"/>
  <c r="AC82" i="133"/>
  <c r="AC83" i="133"/>
  <c r="AC84" i="133"/>
  <c r="AC85" i="133"/>
  <c r="AC86" i="133"/>
  <c r="AC87" i="133"/>
  <c r="AC88" i="133"/>
  <c r="AC89" i="133"/>
  <c r="AC90" i="133"/>
  <c r="AC91" i="133"/>
  <c r="AC92" i="133"/>
  <c r="AC93" i="133"/>
  <c r="AC94" i="133"/>
  <c r="AC95" i="133"/>
  <c r="AC96" i="133"/>
  <c r="AC97" i="133"/>
  <c r="G57" i="132"/>
  <c r="L57" i="132" s="1"/>
  <c r="F46" i="132"/>
  <c r="AA21" i="132"/>
  <c r="AA20" i="132"/>
  <c r="AA19" i="132"/>
  <c r="AA18" i="132"/>
  <c r="AA17" i="132"/>
  <c r="AA16" i="132"/>
  <c r="AA14" i="132"/>
  <c r="AA13" i="132"/>
  <c r="X42" i="132"/>
  <c r="W42" i="132"/>
  <c r="Z12" i="132"/>
  <c r="Z42" i="132" s="1"/>
  <c r="V42" i="132"/>
  <c r="Y12" i="132"/>
  <c r="Y42" i="132" s="1"/>
  <c r="U42" i="132"/>
  <c r="AA12" i="132"/>
  <c r="V63" i="132"/>
  <c r="Y43" i="132"/>
  <c r="Y63" i="132" s="1"/>
  <c r="W63" i="132"/>
  <c r="Z43" i="132"/>
  <c r="Z63" i="132" s="1"/>
  <c r="V69" i="132"/>
  <c r="Y64" i="132"/>
  <c r="Y69" i="132" s="1"/>
  <c r="W69" i="132"/>
  <c r="Z64" i="132"/>
  <c r="Z69" i="132" s="1"/>
  <c r="V75" i="132"/>
  <c r="Y70" i="132"/>
  <c r="Y75" i="132" s="1"/>
  <c r="W75" i="132"/>
  <c r="Z70" i="132"/>
  <c r="Z75" i="132" s="1"/>
  <c r="AA22" i="132"/>
  <c r="AA23" i="132"/>
  <c r="AA24" i="132"/>
  <c r="AA25" i="132"/>
  <c r="AA26" i="132"/>
  <c r="AA27" i="132"/>
  <c r="AA28" i="132"/>
  <c r="AA29" i="132"/>
  <c r="AA30" i="132"/>
  <c r="AA31" i="132"/>
  <c r="AA32" i="132"/>
  <c r="AA33" i="132"/>
  <c r="AA34" i="132"/>
  <c r="AA35" i="132"/>
  <c r="AA36" i="132"/>
  <c r="AA37" i="132"/>
  <c r="AA38" i="132"/>
  <c r="AA39" i="132"/>
  <c r="AA40" i="132"/>
  <c r="AA41" i="132"/>
  <c r="U63" i="132"/>
  <c r="AA43" i="132"/>
  <c r="AA44" i="132"/>
  <c r="AA45" i="132"/>
  <c r="AA46" i="132"/>
  <c r="AA47" i="132"/>
  <c r="AA48" i="132"/>
  <c r="AA49" i="132"/>
  <c r="AA50" i="132"/>
  <c r="AA51" i="132"/>
  <c r="AA52" i="132"/>
  <c r="AA53" i="132"/>
  <c r="AA54" i="132"/>
  <c r="AA55" i="132"/>
  <c r="AA56" i="132"/>
  <c r="AA57" i="132"/>
  <c r="AA58" i="132"/>
  <c r="AA59" i="132"/>
  <c r="AA60" i="132"/>
  <c r="AA61" i="132"/>
  <c r="AA62" i="132"/>
  <c r="U69" i="132"/>
  <c r="AA64" i="132"/>
  <c r="AA65" i="132"/>
  <c r="AA66" i="132"/>
  <c r="AA67" i="132"/>
  <c r="AA68" i="132"/>
  <c r="U75" i="132"/>
  <c r="AA70" i="132"/>
  <c r="AA71" i="132"/>
  <c r="AA72" i="132"/>
  <c r="AA73" i="132"/>
  <c r="AA74" i="132"/>
  <c r="AA98" i="132"/>
  <c r="AC78" i="132"/>
  <c r="AC79" i="132"/>
  <c r="AC80" i="132"/>
  <c r="AC81" i="132"/>
  <c r="AC82" i="132"/>
  <c r="AC83" i="132"/>
  <c r="AC84" i="132"/>
  <c r="AC85" i="132"/>
  <c r="AC86" i="132"/>
  <c r="AC87" i="132"/>
  <c r="AC88" i="132"/>
  <c r="AC89" i="132"/>
  <c r="AC90" i="132"/>
  <c r="AC91" i="132"/>
  <c r="AC92" i="132"/>
  <c r="AC93" i="132"/>
  <c r="AC94" i="132"/>
  <c r="AC95" i="132"/>
  <c r="AC96" i="132"/>
  <c r="AC97" i="132"/>
  <c r="G57" i="131"/>
  <c r="L57" i="131" s="1"/>
  <c r="F46" i="131"/>
  <c r="AA21" i="131"/>
  <c r="AA20" i="131"/>
  <c r="AA19" i="131"/>
  <c r="AA18" i="131"/>
  <c r="AA17" i="131"/>
  <c r="AA16" i="131"/>
  <c r="AA15" i="131"/>
  <c r="AA14" i="131"/>
  <c r="AA13" i="131"/>
  <c r="X42" i="131"/>
  <c r="W42" i="131"/>
  <c r="Z12" i="131"/>
  <c r="Z42" i="131" s="1"/>
  <c r="V42" i="131"/>
  <c r="Y12" i="131"/>
  <c r="Y42" i="131" s="1"/>
  <c r="U42" i="131"/>
  <c r="AA12" i="131"/>
  <c r="V63" i="131"/>
  <c r="Y43" i="131"/>
  <c r="Y63" i="131" s="1"/>
  <c r="W63" i="131"/>
  <c r="Z43" i="131"/>
  <c r="Z63" i="131" s="1"/>
  <c r="V69" i="131"/>
  <c r="Y64" i="131"/>
  <c r="Y69" i="131" s="1"/>
  <c r="W69" i="131"/>
  <c r="Z64" i="131"/>
  <c r="Z69" i="131" s="1"/>
  <c r="V75" i="131"/>
  <c r="Y70" i="131"/>
  <c r="Y75" i="131" s="1"/>
  <c r="W75" i="131"/>
  <c r="Z70" i="131"/>
  <c r="Z75" i="131" s="1"/>
  <c r="AA22" i="131"/>
  <c r="AA23" i="131"/>
  <c r="AA24" i="131"/>
  <c r="AA25" i="131"/>
  <c r="AA26" i="131"/>
  <c r="AA27" i="131"/>
  <c r="AA28" i="131"/>
  <c r="AA29" i="131"/>
  <c r="AA30" i="131"/>
  <c r="AA31" i="131"/>
  <c r="AA32" i="131"/>
  <c r="AA33" i="131"/>
  <c r="AA34" i="131"/>
  <c r="AA35" i="131"/>
  <c r="AA36" i="131"/>
  <c r="AA37" i="131"/>
  <c r="AA38" i="131"/>
  <c r="AA39" i="131"/>
  <c r="AA40" i="131"/>
  <c r="AA41" i="131"/>
  <c r="U63" i="131"/>
  <c r="AA43" i="131"/>
  <c r="AA44" i="131"/>
  <c r="AA45" i="131"/>
  <c r="AA46" i="131"/>
  <c r="AA47" i="131"/>
  <c r="AA48" i="131"/>
  <c r="AA49" i="131"/>
  <c r="AA50" i="131"/>
  <c r="AA51" i="131"/>
  <c r="AA52" i="131"/>
  <c r="AA53" i="131"/>
  <c r="AA54" i="131"/>
  <c r="AA55" i="131"/>
  <c r="AA56" i="131"/>
  <c r="AA57" i="131"/>
  <c r="AA58" i="131"/>
  <c r="AA59" i="131"/>
  <c r="AA60" i="131"/>
  <c r="AA61" i="131"/>
  <c r="AA62" i="131"/>
  <c r="U69" i="131"/>
  <c r="AA64" i="131"/>
  <c r="AA65" i="131"/>
  <c r="AA66" i="131"/>
  <c r="AA67" i="131"/>
  <c r="AA68" i="131"/>
  <c r="U75" i="131"/>
  <c r="AA70" i="131"/>
  <c r="AA71" i="131"/>
  <c r="AA72" i="131"/>
  <c r="AA73" i="131"/>
  <c r="AA74" i="131"/>
  <c r="AA98" i="131"/>
  <c r="AC78" i="131"/>
  <c r="AC79" i="131"/>
  <c r="AC80" i="131"/>
  <c r="AC81" i="131"/>
  <c r="AC82" i="131"/>
  <c r="AC83" i="131"/>
  <c r="AC84" i="131"/>
  <c r="AC85" i="131"/>
  <c r="AC86" i="131"/>
  <c r="AC87" i="131"/>
  <c r="AC88" i="131"/>
  <c r="AC89" i="131"/>
  <c r="AC90" i="131"/>
  <c r="AC91" i="131"/>
  <c r="AC92" i="131"/>
  <c r="AC93" i="131"/>
  <c r="AC94" i="131"/>
  <c r="AC95" i="131"/>
  <c r="AC96" i="131"/>
  <c r="AC97" i="131"/>
  <c r="G57" i="130"/>
  <c r="L57" i="130" s="1"/>
  <c r="F46" i="130"/>
  <c r="AA21" i="130"/>
  <c r="AA20" i="130"/>
  <c r="AA19" i="130"/>
  <c r="AA18" i="130"/>
  <c r="AA17" i="130"/>
  <c r="AA16" i="130"/>
  <c r="AA15" i="130"/>
  <c r="AA14" i="130"/>
  <c r="AA13" i="130"/>
  <c r="X42" i="130"/>
  <c r="W42" i="130"/>
  <c r="Z42" i="130"/>
  <c r="V42" i="130"/>
  <c r="Y12" i="130"/>
  <c r="Y42" i="130" s="1"/>
  <c r="U42" i="130"/>
  <c r="AA12" i="130"/>
  <c r="V63" i="130"/>
  <c r="Y43" i="130"/>
  <c r="Y63" i="130" s="1"/>
  <c r="W63" i="130"/>
  <c r="Z43" i="130"/>
  <c r="Z63" i="130" s="1"/>
  <c r="V69" i="130"/>
  <c r="Y64" i="130"/>
  <c r="Y69" i="130" s="1"/>
  <c r="W69" i="130"/>
  <c r="Z64" i="130"/>
  <c r="Z69" i="130" s="1"/>
  <c r="V75" i="130"/>
  <c r="Y70" i="130"/>
  <c r="Y75" i="130" s="1"/>
  <c r="W75" i="130"/>
  <c r="Z70" i="130"/>
  <c r="Z75" i="130" s="1"/>
  <c r="AA22" i="130"/>
  <c r="AA23" i="130"/>
  <c r="AA24" i="130"/>
  <c r="AA25" i="130"/>
  <c r="AA26" i="130"/>
  <c r="AA27" i="130"/>
  <c r="AA28" i="130"/>
  <c r="AA29" i="130"/>
  <c r="AA30" i="130"/>
  <c r="AA31" i="130"/>
  <c r="AA32" i="130"/>
  <c r="AA33" i="130"/>
  <c r="AA34" i="130"/>
  <c r="AA35" i="130"/>
  <c r="AA36" i="130"/>
  <c r="AA37" i="130"/>
  <c r="AA38" i="130"/>
  <c r="AA39" i="130"/>
  <c r="AA40" i="130"/>
  <c r="AA41" i="130"/>
  <c r="U63" i="130"/>
  <c r="AA43" i="130"/>
  <c r="AA44" i="130"/>
  <c r="AA45" i="130"/>
  <c r="AA46" i="130"/>
  <c r="AA47" i="130"/>
  <c r="AA48" i="130"/>
  <c r="AA49" i="130"/>
  <c r="AA50" i="130"/>
  <c r="AA51" i="130"/>
  <c r="AA52" i="130"/>
  <c r="AA53" i="130"/>
  <c r="AA54" i="130"/>
  <c r="AA55" i="130"/>
  <c r="AA56" i="130"/>
  <c r="AA57" i="130"/>
  <c r="AA58" i="130"/>
  <c r="AA59" i="130"/>
  <c r="AA60" i="130"/>
  <c r="AA61" i="130"/>
  <c r="AA62" i="130"/>
  <c r="U69" i="130"/>
  <c r="AA64" i="130"/>
  <c r="AA65" i="130"/>
  <c r="AA66" i="130"/>
  <c r="AA67" i="130"/>
  <c r="AA68" i="130"/>
  <c r="U75" i="130"/>
  <c r="AA70" i="130"/>
  <c r="AA71" i="130"/>
  <c r="AA72" i="130"/>
  <c r="AA73" i="130"/>
  <c r="AA74" i="130"/>
  <c r="AA98" i="130"/>
  <c r="AC78" i="130"/>
  <c r="AC79" i="130"/>
  <c r="AC80" i="130"/>
  <c r="AC81" i="130"/>
  <c r="AC82" i="130"/>
  <c r="AC83" i="130"/>
  <c r="AC84" i="130"/>
  <c r="AC85" i="130"/>
  <c r="AC86" i="130"/>
  <c r="AC87" i="130"/>
  <c r="AC88" i="130"/>
  <c r="AC89" i="130"/>
  <c r="AC90" i="130"/>
  <c r="AC91" i="130"/>
  <c r="AC92" i="130"/>
  <c r="AC93" i="130"/>
  <c r="AC94" i="130"/>
  <c r="AC95" i="130"/>
  <c r="AC96" i="130"/>
  <c r="AC97" i="130"/>
  <c r="G57" i="129"/>
  <c r="L57" i="129" s="1"/>
  <c r="F46" i="129"/>
  <c r="AA21" i="129"/>
  <c r="AA20" i="129"/>
  <c r="AA19" i="129"/>
  <c r="AA18" i="129"/>
  <c r="AA17" i="129"/>
  <c r="AA16" i="129"/>
  <c r="AA15" i="129"/>
  <c r="AA14" i="129"/>
  <c r="AA13" i="129"/>
  <c r="X42" i="129"/>
  <c r="W42" i="129"/>
  <c r="Z12" i="129"/>
  <c r="Z42" i="129" s="1"/>
  <c r="V42" i="129"/>
  <c r="Y12" i="129"/>
  <c r="Y42" i="129" s="1"/>
  <c r="U42" i="129"/>
  <c r="AA12" i="129"/>
  <c r="V63" i="129"/>
  <c r="Y43" i="129"/>
  <c r="Y63" i="129" s="1"/>
  <c r="W63" i="129"/>
  <c r="Z43" i="129"/>
  <c r="Z63" i="129" s="1"/>
  <c r="V69" i="129"/>
  <c r="Y64" i="129"/>
  <c r="Y69" i="129" s="1"/>
  <c r="W69" i="129"/>
  <c r="Z64" i="129"/>
  <c r="Z69" i="129" s="1"/>
  <c r="V75" i="129"/>
  <c r="Y70" i="129"/>
  <c r="Y75" i="129" s="1"/>
  <c r="W75" i="129"/>
  <c r="Z70" i="129"/>
  <c r="Z75" i="129" s="1"/>
  <c r="AA22" i="129"/>
  <c r="AA23" i="129"/>
  <c r="AA24" i="129"/>
  <c r="AA25" i="129"/>
  <c r="AA26" i="129"/>
  <c r="AA27" i="129"/>
  <c r="AA28" i="129"/>
  <c r="AA29" i="129"/>
  <c r="AA30" i="129"/>
  <c r="AA31" i="129"/>
  <c r="AA32" i="129"/>
  <c r="AA33" i="129"/>
  <c r="AA34" i="129"/>
  <c r="AA35" i="129"/>
  <c r="AA36" i="129"/>
  <c r="AA37" i="129"/>
  <c r="AA38" i="129"/>
  <c r="AA39" i="129"/>
  <c r="AA40" i="129"/>
  <c r="AA41" i="129"/>
  <c r="U63" i="129"/>
  <c r="AA43" i="129"/>
  <c r="AA44" i="129"/>
  <c r="AA45" i="129"/>
  <c r="AA46" i="129"/>
  <c r="AA47" i="129"/>
  <c r="AA48" i="129"/>
  <c r="AA49" i="129"/>
  <c r="AA50" i="129"/>
  <c r="AA51" i="129"/>
  <c r="AA52" i="129"/>
  <c r="AA53" i="129"/>
  <c r="AA54" i="129"/>
  <c r="AA55" i="129"/>
  <c r="AA56" i="129"/>
  <c r="AA57" i="129"/>
  <c r="AA58" i="129"/>
  <c r="AA59" i="129"/>
  <c r="AA60" i="129"/>
  <c r="AA61" i="129"/>
  <c r="AA62" i="129"/>
  <c r="U69" i="129"/>
  <c r="AA64" i="129"/>
  <c r="AA65" i="129"/>
  <c r="AA66" i="129"/>
  <c r="AA67" i="129"/>
  <c r="AA68" i="129"/>
  <c r="U75" i="129"/>
  <c r="AA70" i="129"/>
  <c r="AA71" i="129"/>
  <c r="AA72" i="129"/>
  <c r="AA73" i="129"/>
  <c r="AA74" i="129"/>
  <c r="AA98" i="129"/>
  <c r="AC78" i="129"/>
  <c r="AC79" i="129"/>
  <c r="AC80" i="129"/>
  <c r="AC81" i="129"/>
  <c r="AC82" i="129"/>
  <c r="AC83" i="129"/>
  <c r="AC84" i="129"/>
  <c r="AC85" i="129"/>
  <c r="AC86" i="129"/>
  <c r="AC87" i="129"/>
  <c r="AC88" i="129"/>
  <c r="AC89" i="129"/>
  <c r="AC90" i="129"/>
  <c r="AC91" i="129"/>
  <c r="AC92" i="129"/>
  <c r="AC93" i="129"/>
  <c r="AC94" i="129"/>
  <c r="AC95" i="129"/>
  <c r="AC96" i="129"/>
  <c r="AC97" i="129"/>
  <c r="H69" i="128"/>
  <c r="G57" i="128"/>
  <c r="L57" i="128" s="1"/>
  <c r="F46" i="128"/>
  <c r="AA21" i="128"/>
  <c r="AA20" i="128"/>
  <c r="AA19" i="128"/>
  <c r="AA18" i="128"/>
  <c r="AA17" i="128"/>
  <c r="AA16" i="128"/>
  <c r="AA15" i="128"/>
  <c r="AA14" i="128"/>
  <c r="AA13" i="128"/>
  <c r="X42" i="128"/>
  <c r="W42" i="128"/>
  <c r="Z12" i="128"/>
  <c r="Z42" i="128" s="1"/>
  <c r="V42" i="128"/>
  <c r="Y12" i="128"/>
  <c r="Y42" i="128" s="1"/>
  <c r="U42" i="128"/>
  <c r="AA12" i="128"/>
  <c r="V63" i="128"/>
  <c r="Y43" i="128"/>
  <c r="Y63" i="128" s="1"/>
  <c r="W63" i="128"/>
  <c r="Z43" i="128"/>
  <c r="Z63" i="128" s="1"/>
  <c r="V69" i="128"/>
  <c r="Y64" i="128"/>
  <c r="Y69" i="128" s="1"/>
  <c r="W69" i="128"/>
  <c r="Z64" i="128"/>
  <c r="Z69" i="128" s="1"/>
  <c r="V75" i="128"/>
  <c r="Y70" i="128"/>
  <c r="Y75" i="128" s="1"/>
  <c r="W75" i="128"/>
  <c r="Z70" i="128"/>
  <c r="Z75" i="128" s="1"/>
  <c r="AA22" i="128"/>
  <c r="AA23" i="128"/>
  <c r="AA24" i="128"/>
  <c r="AA25" i="128"/>
  <c r="AA26" i="128"/>
  <c r="AA27" i="128"/>
  <c r="AA28" i="128"/>
  <c r="AA29" i="128"/>
  <c r="AA30" i="128"/>
  <c r="AA31" i="128"/>
  <c r="AA32" i="128"/>
  <c r="AA33" i="128"/>
  <c r="AA34" i="128"/>
  <c r="AA35" i="128"/>
  <c r="AA36" i="128"/>
  <c r="AA37" i="128"/>
  <c r="AA38" i="128"/>
  <c r="AA39" i="128"/>
  <c r="AA40" i="128"/>
  <c r="AA41" i="128"/>
  <c r="U63" i="128"/>
  <c r="AA43" i="128"/>
  <c r="AA44" i="128"/>
  <c r="AA45" i="128"/>
  <c r="AA46" i="128"/>
  <c r="AA47" i="128"/>
  <c r="AA48" i="128"/>
  <c r="AA49" i="128"/>
  <c r="AA50" i="128"/>
  <c r="AA51" i="128"/>
  <c r="AA52" i="128"/>
  <c r="AA53" i="128"/>
  <c r="AA54" i="128"/>
  <c r="AA55" i="128"/>
  <c r="AA56" i="128"/>
  <c r="AA57" i="128"/>
  <c r="AA58" i="128"/>
  <c r="AA59" i="128"/>
  <c r="AA60" i="128"/>
  <c r="AA61" i="128"/>
  <c r="AA62" i="128"/>
  <c r="U69" i="128"/>
  <c r="AA64" i="128"/>
  <c r="AA65" i="128"/>
  <c r="AA66" i="128"/>
  <c r="AA67" i="128"/>
  <c r="AA68" i="128"/>
  <c r="U75" i="128"/>
  <c r="AA70" i="128"/>
  <c r="AA71" i="128"/>
  <c r="AA72" i="128"/>
  <c r="AA73" i="128"/>
  <c r="AA74" i="128"/>
  <c r="AA98" i="128"/>
  <c r="AC78" i="128"/>
  <c r="AC79" i="128"/>
  <c r="AC80" i="128"/>
  <c r="AC81" i="128"/>
  <c r="AC82" i="128"/>
  <c r="AC83" i="128"/>
  <c r="AC84" i="128"/>
  <c r="AC85" i="128"/>
  <c r="AC86" i="128"/>
  <c r="AC87" i="128"/>
  <c r="AC88" i="128"/>
  <c r="AC89" i="128"/>
  <c r="AC90" i="128"/>
  <c r="AC91" i="128"/>
  <c r="AC92" i="128"/>
  <c r="AC93" i="128"/>
  <c r="AC94" i="128"/>
  <c r="AC95" i="128"/>
  <c r="AC96" i="128"/>
  <c r="AC97" i="128"/>
  <c r="G57" i="127"/>
  <c r="L57" i="127" s="1"/>
  <c r="D61" i="127"/>
  <c r="F46" i="127"/>
  <c r="F61" i="127" s="1"/>
  <c r="AA21" i="127"/>
  <c r="AA20" i="127"/>
  <c r="AA19" i="127"/>
  <c r="AA18" i="127"/>
  <c r="AA17" i="127"/>
  <c r="AA16" i="127"/>
  <c r="AA15" i="127"/>
  <c r="AA14" i="127"/>
  <c r="AA13" i="127"/>
  <c r="X42" i="127"/>
  <c r="W42" i="127"/>
  <c r="Z12" i="127"/>
  <c r="Z42" i="127" s="1"/>
  <c r="V42" i="127"/>
  <c r="Y12" i="127"/>
  <c r="Y42" i="127" s="1"/>
  <c r="U42" i="127"/>
  <c r="AA12" i="127"/>
  <c r="V63" i="127"/>
  <c r="Y43" i="127"/>
  <c r="Y63" i="127" s="1"/>
  <c r="W63" i="127"/>
  <c r="Z43" i="127"/>
  <c r="Z63" i="127" s="1"/>
  <c r="V69" i="127"/>
  <c r="Y64" i="127"/>
  <c r="Y69" i="127" s="1"/>
  <c r="W69" i="127"/>
  <c r="Z64" i="127"/>
  <c r="Z69" i="127" s="1"/>
  <c r="V75" i="127"/>
  <c r="Y70" i="127"/>
  <c r="Y75" i="127" s="1"/>
  <c r="W75" i="127"/>
  <c r="Z70" i="127"/>
  <c r="Z75" i="127" s="1"/>
  <c r="AA22" i="127"/>
  <c r="AA23" i="127"/>
  <c r="AA24" i="127"/>
  <c r="AA25" i="127"/>
  <c r="AA26" i="127"/>
  <c r="AA27" i="127"/>
  <c r="AA28" i="127"/>
  <c r="AA29" i="127"/>
  <c r="AA30" i="127"/>
  <c r="AA31" i="127"/>
  <c r="AA32" i="127"/>
  <c r="AA33" i="127"/>
  <c r="AA34" i="127"/>
  <c r="AA35" i="127"/>
  <c r="AA36" i="127"/>
  <c r="AA37" i="127"/>
  <c r="AA38" i="127"/>
  <c r="AA39" i="127"/>
  <c r="AA40" i="127"/>
  <c r="AA41" i="127"/>
  <c r="U63" i="127"/>
  <c r="AA43" i="127"/>
  <c r="AA44" i="127"/>
  <c r="AA45" i="127"/>
  <c r="AA46" i="127"/>
  <c r="AA47" i="127"/>
  <c r="AA48" i="127"/>
  <c r="AA49" i="127"/>
  <c r="AA50" i="127"/>
  <c r="AA51" i="127"/>
  <c r="AA52" i="127"/>
  <c r="AA53" i="127"/>
  <c r="AA54" i="127"/>
  <c r="AA55" i="127"/>
  <c r="AA56" i="127"/>
  <c r="AA57" i="127"/>
  <c r="AA58" i="127"/>
  <c r="AA59" i="127"/>
  <c r="AA60" i="127"/>
  <c r="AA61" i="127"/>
  <c r="AA62" i="127"/>
  <c r="U69" i="127"/>
  <c r="AA64" i="127"/>
  <c r="AA65" i="127"/>
  <c r="AA66" i="127"/>
  <c r="AA67" i="127"/>
  <c r="AA68" i="127"/>
  <c r="U75" i="127"/>
  <c r="AA70" i="127"/>
  <c r="AA71" i="127"/>
  <c r="AA72" i="127"/>
  <c r="AA73" i="127"/>
  <c r="AA74" i="127"/>
  <c r="AA98" i="127"/>
  <c r="AC78" i="127"/>
  <c r="AC79" i="127"/>
  <c r="AC80" i="127"/>
  <c r="AC81" i="127"/>
  <c r="AC82" i="127"/>
  <c r="AC83" i="127"/>
  <c r="AC84" i="127"/>
  <c r="AC85" i="127"/>
  <c r="AC86" i="127"/>
  <c r="AC87" i="127"/>
  <c r="AC88" i="127"/>
  <c r="AC89" i="127"/>
  <c r="AC90" i="127"/>
  <c r="AC91" i="127"/>
  <c r="AC92" i="127"/>
  <c r="AC93" i="127"/>
  <c r="AC94" i="127"/>
  <c r="AC95" i="127"/>
  <c r="AC96" i="127"/>
  <c r="AC97" i="127"/>
  <c r="G57" i="126"/>
  <c r="L57" i="126" s="1"/>
  <c r="F46" i="126"/>
  <c r="AA21" i="126"/>
  <c r="AA20" i="126"/>
  <c r="AA19" i="126"/>
  <c r="AA18" i="126"/>
  <c r="AA17" i="126"/>
  <c r="AA16" i="126"/>
  <c r="AA15" i="126"/>
  <c r="AA14" i="126"/>
  <c r="AA13" i="126"/>
  <c r="X42" i="126"/>
  <c r="W42" i="126"/>
  <c r="Z12" i="126"/>
  <c r="Z42" i="126" s="1"/>
  <c r="V42" i="126"/>
  <c r="Y12" i="126"/>
  <c r="Y42" i="126" s="1"/>
  <c r="U42" i="126"/>
  <c r="AA12" i="126"/>
  <c r="V63" i="126"/>
  <c r="Y43" i="126"/>
  <c r="Y63" i="126" s="1"/>
  <c r="W63" i="126"/>
  <c r="Z43" i="126"/>
  <c r="Z63" i="126" s="1"/>
  <c r="V69" i="126"/>
  <c r="Y64" i="126"/>
  <c r="Y69" i="126" s="1"/>
  <c r="W69" i="126"/>
  <c r="Z64" i="126"/>
  <c r="Z69" i="126" s="1"/>
  <c r="V75" i="126"/>
  <c r="Y70" i="126"/>
  <c r="Y75" i="126" s="1"/>
  <c r="W75" i="126"/>
  <c r="Z70" i="126"/>
  <c r="Z75" i="126" s="1"/>
  <c r="AA22" i="126"/>
  <c r="AA23" i="126"/>
  <c r="AA24" i="126"/>
  <c r="AA25" i="126"/>
  <c r="AA26" i="126"/>
  <c r="AA27" i="126"/>
  <c r="AA28" i="126"/>
  <c r="AA29" i="126"/>
  <c r="AA30" i="126"/>
  <c r="AA31" i="126"/>
  <c r="AA32" i="126"/>
  <c r="AA33" i="126"/>
  <c r="AA34" i="126"/>
  <c r="AA35" i="126"/>
  <c r="AA36" i="126"/>
  <c r="AA37" i="126"/>
  <c r="AA38" i="126"/>
  <c r="AA39" i="126"/>
  <c r="AA40" i="126"/>
  <c r="AA41" i="126"/>
  <c r="U63" i="126"/>
  <c r="AA43" i="126"/>
  <c r="AA44" i="126"/>
  <c r="AA45" i="126"/>
  <c r="AA46" i="126"/>
  <c r="AA47" i="126"/>
  <c r="AA48" i="126"/>
  <c r="AA49" i="126"/>
  <c r="AA50" i="126"/>
  <c r="AA51" i="126"/>
  <c r="AA52" i="126"/>
  <c r="AA53" i="126"/>
  <c r="AA54" i="126"/>
  <c r="AA55" i="126"/>
  <c r="AA56" i="126"/>
  <c r="AA57" i="126"/>
  <c r="AA58" i="126"/>
  <c r="AA59" i="126"/>
  <c r="AA60" i="126"/>
  <c r="AA61" i="126"/>
  <c r="AA62" i="126"/>
  <c r="U69" i="126"/>
  <c r="AA64" i="126"/>
  <c r="AA65" i="126"/>
  <c r="AA66" i="126"/>
  <c r="AA67" i="126"/>
  <c r="AA68" i="126"/>
  <c r="U75" i="126"/>
  <c r="AA70" i="126"/>
  <c r="AA71" i="126"/>
  <c r="AA72" i="126"/>
  <c r="AA73" i="126"/>
  <c r="AA74" i="126"/>
  <c r="AA98" i="126"/>
  <c r="AC78" i="126"/>
  <c r="AC79" i="126"/>
  <c r="AC80" i="126"/>
  <c r="AC81" i="126"/>
  <c r="AC82" i="126"/>
  <c r="AC83" i="126"/>
  <c r="AC84" i="126"/>
  <c r="AC85" i="126"/>
  <c r="AC86" i="126"/>
  <c r="AC87" i="126"/>
  <c r="AC88" i="126"/>
  <c r="AC89" i="126"/>
  <c r="AC90" i="126"/>
  <c r="AC91" i="126"/>
  <c r="AC92" i="126"/>
  <c r="AC93" i="126"/>
  <c r="AC94" i="126"/>
  <c r="AC95" i="126"/>
  <c r="AC96" i="126"/>
  <c r="AC97" i="126"/>
  <c r="G57" i="125"/>
  <c r="L57" i="125" s="1"/>
  <c r="F46" i="125"/>
  <c r="F61" i="125" s="1"/>
  <c r="AA21" i="125"/>
  <c r="AA20" i="125"/>
  <c r="AA19" i="125"/>
  <c r="AA18" i="125"/>
  <c r="AA17" i="125"/>
  <c r="AA16" i="125"/>
  <c r="AA15" i="125"/>
  <c r="AA14" i="125"/>
  <c r="AA13" i="125"/>
  <c r="X42" i="125"/>
  <c r="W42" i="125"/>
  <c r="Z12" i="125"/>
  <c r="Z42" i="125" s="1"/>
  <c r="V42" i="125"/>
  <c r="Y12" i="125"/>
  <c r="Y42" i="125" s="1"/>
  <c r="U42" i="125"/>
  <c r="AA12" i="125"/>
  <c r="V63" i="125"/>
  <c r="Y43" i="125"/>
  <c r="Y63" i="125" s="1"/>
  <c r="W63" i="125"/>
  <c r="Z43" i="125"/>
  <c r="Z63" i="125" s="1"/>
  <c r="V69" i="125"/>
  <c r="Y64" i="125"/>
  <c r="Y69" i="125" s="1"/>
  <c r="W69" i="125"/>
  <c r="Z64" i="125"/>
  <c r="Z69" i="125" s="1"/>
  <c r="V75" i="125"/>
  <c r="Y70" i="125"/>
  <c r="Y75" i="125" s="1"/>
  <c r="W75" i="125"/>
  <c r="Z70" i="125"/>
  <c r="Z75" i="125" s="1"/>
  <c r="AA22" i="125"/>
  <c r="AA23" i="125"/>
  <c r="AA24" i="125"/>
  <c r="AA25" i="125"/>
  <c r="AA26" i="125"/>
  <c r="AA27" i="125"/>
  <c r="AA28" i="125"/>
  <c r="AA29" i="125"/>
  <c r="AA30" i="125"/>
  <c r="AA31" i="125"/>
  <c r="AA32" i="125"/>
  <c r="AA33" i="125"/>
  <c r="AA34" i="125"/>
  <c r="AA35" i="125"/>
  <c r="AA36" i="125"/>
  <c r="AA37" i="125"/>
  <c r="AA38" i="125"/>
  <c r="AA39" i="125"/>
  <c r="AA40" i="125"/>
  <c r="AA41" i="125"/>
  <c r="U63" i="125"/>
  <c r="AA43" i="125"/>
  <c r="AA44" i="125"/>
  <c r="AA45" i="125"/>
  <c r="AA46" i="125"/>
  <c r="AA47" i="125"/>
  <c r="AA48" i="125"/>
  <c r="AA49" i="125"/>
  <c r="AA50" i="125"/>
  <c r="AA51" i="125"/>
  <c r="AA52" i="125"/>
  <c r="AA53" i="125"/>
  <c r="AA54" i="125"/>
  <c r="AA55" i="125"/>
  <c r="AA56" i="125"/>
  <c r="AA57" i="125"/>
  <c r="AA58" i="125"/>
  <c r="AA59" i="125"/>
  <c r="AA60" i="125"/>
  <c r="AA61" i="125"/>
  <c r="AA62" i="125"/>
  <c r="U69" i="125"/>
  <c r="AA64" i="125"/>
  <c r="AA65" i="125"/>
  <c r="AA66" i="125"/>
  <c r="AA67" i="125"/>
  <c r="AA68" i="125"/>
  <c r="U75" i="125"/>
  <c r="AA70" i="125"/>
  <c r="AA71" i="125"/>
  <c r="AA72" i="125"/>
  <c r="AA73" i="125"/>
  <c r="AA74" i="125"/>
  <c r="AA98" i="125"/>
  <c r="AC78" i="125"/>
  <c r="AC79" i="125"/>
  <c r="AC80" i="125"/>
  <c r="AC81" i="125"/>
  <c r="AC82" i="125"/>
  <c r="AC83" i="125"/>
  <c r="AC84" i="125"/>
  <c r="AC85" i="125"/>
  <c r="AC86" i="125"/>
  <c r="AC87" i="125"/>
  <c r="AC88" i="125"/>
  <c r="AC89" i="125"/>
  <c r="AC90" i="125"/>
  <c r="AC91" i="125"/>
  <c r="AC92" i="125"/>
  <c r="AC93" i="125"/>
  <c r="AC94" i="125"/>
  <c r="AC95" i="125"/>
  <c r="AC96" i="125"/>
  <c r="AC97" i="125"/>
  <c r="G57" i="124"/>
  <c r="L57" i="124" s="1"/>
  <c r="F46" i="124"/>
  <c r="F61" i="124" s="1"/>
  <c r="AA21" i="124"/>
  <c r="AA20" i="124"/>
  <c r="AA19" i="124"/>
  <c r="AA18" i="124"/>
  <c r="AA17" i="124"/>
  <c r="AA16" i="124"/>
  <c r="AA15" i="124"/>
  <c r="AA14" i="124"/>
  <c r="AA13" i="124"/>
  <c r="X42" i="124"/>
  <c r="W42" i="124"/>
  <c r="Z12" i="124"/>
  <c r="Z42" i="124" s="1"/>
  <c r="V42" i="124"/>
  <c r="Y12" i="124"/>
  <c r="Y42" i="124" s="1"/>
  <c r="U42" i="124"/>
  <c r="AA12" i="124"/>
  <c r="V63" i="124"/>
  <c r="Y43" i="124"/>
  <c r="Y63" i="124" s="1"/>
  <c r="W63" i="124"/>
  <c r="Z43" i="124"/>
  <c r="Z63" i="124" s="1"/>
  <c r="V69" i="124"/>
  <c r="Y64" i="124"/>
  <c r="Y69" i="124" s="1"/>
  <c r="W69" i="124"/>
  <c r="Z64" i="124"/>
  <c r="Z69" i="124" s="1"/>
  <c r="V75" i="124"/>
  <c r="Y70" i="124"/>
  <c r="Y75" i="124" s="1"/>
  <c r="W75" i="124"/>
  <c r="Z70" i="124"/>
  <c r="Z75" i="124" s="1"/>
  <c r="AA22" i="124"/>
  <c r="AA23" i="124"/>
  <c r="AA24" i="124"/>
  <c r="AA25" i="124"/>
  <c r="AA26" i="124"/>
  <c r="AA27" i="124"/>
  <c r="AA28" i="124"/>
  <c r="AA29" i="124"/>
  <c r="AA30" i="124"/>
  <c r="AA31" i="124"/>
  <c r="AA32" i="124"/>
  <c r="AA33" i="124"/>
  <c r="AA34" i="124"/>
  <c r="AA35" i="124"/>
  <c r="AA36" i="124"/>
  <c r="AA37" i="124"/>
  <c r="AA38" i="124"/>
  <c r="AA39" i="124"/>
  <c r="AA40" i="124"/>
  <c r="AA41" i="124"/>
  <c r="U63" i="124"/>
  <c r="AA43" i="124"/>
  <c r="AA44" i="124"/>
  <c r="AA45" i="124"/>
  <c r="AA46" i="124"/>
  <c r="AA47" i="124"/>
  <c r="AA48" i="124"/>
  <c r="AA49" i="124"/>
  <c r="AA50" i="124"/>
  <c r="AA51" i="124"/>
  <c r="AA52" i="124"/>
  <c r="AA53" i="124"/>
  <c r="AA54" i="124"/>
  <c r="AA55" i="124"/>
  <c r="AA56" i="124"/>
  <c r="AA57" i="124"/>
  <c r="AA58" i="124"/>
  <c r="AA59" i="124"/>
  <c r="AA60" i="124"/>
  <c r="AA61" i="124"/>
  <c r="AA62" i="124"/>
  <c r="U69" i="124"/>
  <c r="AA64" i="124"/>
  <c r="AA65" i="124"/>
  <c r="AA66" i="124"/>
  <c r="AA67" i="124"/>
  <c r="AA68" i="124"/>
  <c r="U75" i="124"/>
  <c r="AA70" i="124"/>
  <c r="AA71" i="124"/>
  <c r="AA72" i="124"/>
  <c r="AA73" i="124"/>
  <c r="AA74" i="124"/>
  <c r="AA98" i="124"/>
  <c r="AC78" i="124"/>
  <c r="AC79" i="124"/>
  <c r="AC80" i="124"/>
  <c r="AC81" i="124"/>
  <c r="AC82" i="124"/>
  <c r="AC83" i="124"/>
  <c r="AC84" i="124"/>
  <c r="AC85" i="124"/>
  <c r="AC86" i="124"/>
  <c r="AC87" i="124"/>
  <c r="AC88" i="124"/>
  <c r="AC89" i="124"/>
  <c r="AC90" i="124"/>
  <c r="AC91" i="124"/>
  <c r="AC92" i="124"/>
  <c r="AC93" i="124"/>
  <c r="AC94" i="124"/>
  <c r="AC95" i="124"/>
  <c r="AC96" i="124"/>
  <c r="AC97" i="124"/>
  <c r="G57" i="123"/>
  <c r="L57" i="123" s="1"/>
  <c r="D61" i="123"/>
  <c r="F46" i="123"/>
  <c r="F61" i="123" s="1"/>
  <c r="AA21" i="123"/>
  <c r="AA20" i="123"/>
  <c r="AA19" i="123"/>
  <c r="AA18" i="123"/>
  <c r="AA17" i="123"/>
  <c r="AA16" i="123"/>
  <c r="AA15" i="123"/>
  <c r="AA14" i="123"/>
  <c r="AA13" i="123"/>
  <c r="X42" i="123"/>
  <c r="W42" i="123"/>
  <c r="Z12" i="123"/>
  <c r="Z42" i="123" s="1"/>
  <c r="V42" i="123"/>
  <c r="Y12" i="123"/>
  <c r="Y42" i="123" s="1"/>
  <c r="U42" i="123"/>
  <c r="AA12" i="123"/>
  <c r="V63" i="123"/>
  <c r="Y43" i="123"/>
  <c r="Y63" i="123" s="1"/>
  <c r="W63" i="123"/>
  <c r="Z43" i="123"/>
  <c r="Z63" i="123" s="1"/>
  <c r="V69" i="123"/>
  <c r="Y64" i="123"/>
  <c r="Y69" i="123" s="1"/>
  <c r="W69" i="123"/>
  <c r="Z64" i="123"/>
  <c r="Z69" i="123" s="1"/>
  <c r="V75" i="123"/>
  <c r="Y70" i="123"/>
  <c r="Y75" i="123" s="1"/>
  <c r="W75" i="123"/>
  <c r="Z70" i="123"/>
  <c r="Z75" i="123" s="1"/>
  <c r="AA22" i="123"/>
  <c r="AA23" i="123"/>
  <c r="AA24" i="123"/>
  <c r="AA25" i="123"/>
  <c r="AA26" i="123"/>
  <c r="AA27" i="123"/>
  <c r="AA28" i="123"/>
  <c r="AA29" i="123"/>
  <c r="AA30" i="123"/>
  <c r="AA31" i="123"/>
  <c r="AA32" i="123"/>
  <c r="AA33" i="123"/>
  <c r="AA34" i="123"/>
  <c r="AA35" i="123"/>
  <c r="AA36" i="123"/>
  <c r="AA37" i="123"/>
  <c r="AA38" i="123"/>
  <c r="AA39" i="123"/>
  <c r="AA40" i="123"/>
  <c r="AA41" i="123"/>
  <c r="U63" i="123"/>
  <c r="AA43" i="123"/>
  <c r="AA44" i="123"/>
  <c r="AA45" i="123"/>
  <c r="AA46" i="123"/>
  <c r="AA47" i="123"/>
  <c r="AA48" i="123"/>
  <c r="AA49" i="123"/>
  <c r="AA50" i="123"/>
  <c r="AA51" i="123"/>
  <c r="AA52" i="123"/>
  <c r="AA53" i="123"/>
  <c r="AA54" i="123"/>
  <c r="AA55" i="123"/>
  <c r="AA56" i="123"/>
  <c r="AA57" i="123"/>
  <c r="AA58" i="123"/>
  <c r="AA59" i="123"/>
  <c r="AA60" i="123"/>
  <c r="AA61" i="123"/>
  <c r="AA62" i="123"/>
  <c r="U69" i="123"/>
  <c r="AA64" i="123"/>
  <c r="AA65" i="123"/>
  <c r="AA66" i="123"/>
  <c r="AA67" i="123"/>
  <c r="AA68" i="123"/>
  <c r="U75" i="123"/>
  <c r="AA70" i="123"/>
  <c r="AA71" i="123"/>
  <c r="AA72" i="123"/>
  <c r="AA73" i="123"/>
  <c r="AA74" i="123"/>
  <c r="AA98" i="123"/>
  <c r="AC78" i="123"/>
  <c r="AC79" i="123"/>
  <c r="AC80" i="123"/>
  <c r="AC81" i="123"/>
  <c r="AC82" i="123"/>
  <c r="AC83" i="123"/>
  <c r="AC84" i="123"/>
  <c r="AC85" i="123"/>
  <c r="AC86" i="123"/>
  <c r="AC87" i="123"/>
  <c r="AC88" i="123"/>
  <c r="AC89" i="123"/>
  <c r="AC90" i="123"/>
  <c r="AC91" i="123"/>
  <c r="AC92" i="123"/>
  <c r="AC93" i="123"/>
  <c r="AC94" i="123"/>
  <c r="AC95" i="123"/>
  <c r="AC96" i="123"/>
  <c r="AC97" i="123"/>
  <c r="G57" i="122"/>
  <c r="L57" i="122" s="1"/>
  <c r="F46" i="122"/>
  <c r="AA21" i="122"/>
  <c r="AA20" i="122"/>
  <c r="AA19" i="122"/>
  <c r="AA18" i="122"/>
  <c r="AA17" i="122"/>
  <c r="AA16" i="122"/>
  <c r="AA15" i="122"/>
  <c r="AA14" i="122"/>
  <c r="AA13" i="122"/>
  <c r="X42" i="122"/>
  <c r="W42" i="122"/>
  <c r="Z12" i="122"/>
  <c r="Z42" i="122" s="1"/>
  <c r="V42" i="122"/>
  <c r="Y12" i="122"/>
  <c r="Y42" i="122" s="1"/>
  <c r="U42" i="122"/>
  <c r="AA12" i="122"/>
  <c r="V63" i="122"/>
  <c r="Y43" i="122"/>
  <c r="Y63" i="122" s="1"/>
  <c r="W63" i="122"/>
  <c r="Z43" i="122"/>
  <c r="Z63" i="122" s="1"/>
  <c r="V69" i="122"/>
  <c r="Y64" i="122"/>
  <c r="Y69" i="122" s="1"/>
  <c r="W69" i="122"/>
  <c r="Z64" i="122"/>
  <c r="Z69" i="122" s="1"/>
  <c r="V75" i="122"/>
  <c r="Y70" i="122"/>
  <c r="Y75" i="122" s="1"/>
  <c r="W75" i="122"/>
  <c r="Z70" i="122"/>
  <c r="Z75" i="122" s="1"/>
  <c r="AA22" i="122"/>
  <c r="AA23" i="122"/>
  <c r="AA24" i="122"/>
  <c r="AA25" i="122"/>
  <c r="AA26" i="122"/>
  <c r="AA27" i="122"/>
  <c r="AA28" i="122"/>
  <c r="AA29" i="122"/>
  <c r="AA30" i="122"/>
  <c r="AA31" i="122"/>
  <c r="AA32" i="122"/>
  <c r="AA33" i="122"/>
  <c r="AA34" i="122"/>
  <c r="AA35" i="122"/>
  <c r="AA36" i="122"/>
  <c r="AA37" i="122"/>
  <c r="AA38" i="122"/>
  <c r="AA39" i="122"/>
  <c r="AA40" i="122"/>
  <c r="AA41" i="122"/>
  <c r="U63" i="122"/>
  <c r="AA43" i="122"/>
  <c r="AA44" i="122"/>
  <c r="AA45" i="122"/>
  <c r="AA46" i="122"/>
  <c r="AA47" i="122"/>
  <c r="AA48" i="122"/>
  <c r="AA49" i="122"/>
  <c r="AA50" i="122"/>
  <c r="AA51" i="122"/>
  <c r="AA52" i="122"/>
  <c r="AA53" i="122"/>
  <c r="AA54" i="122"/>
  <c r="AA55" i="122"/>
  <c r="AA56" i="122"/>
  <c r="AA57" i="122"/>
  <c r="AA58" i="122"/>
  <c r="AA59" i="122"/>
  <c r="AA60" i="122"/>
  <c r="AA61" i="122"/>
  <c r="AA62" i="122"/>
  <c r="U69" i="122"/>
  <c r="AA64" i="122"/>
  <c r="AA65" i="122"/>
  <c r="AA66" i="122"/>
  <c r="AA67" i="122"/>
  <c r="AA68" i="122"/>
  <c r="U75" i="122"/>
  <c r="AA70" i="122"/>
  <c r="AA71" i="122"/>
  <c r="AA72" i="122"/>
  <c r="AA73" i="122"/>
  <c r="AA74" i="122"/>
  <c r="AA98" i="122"/>
  <c r="AC78" i="122"/>
  <c r="AC79" i="122"/>
  <c r="AC80" i="122"/>
  <c r="AC81" i="122"/>
  <c r="AC82" i="122"/>
  <c r="AC83" i="122"/>
  <c r="AC84" i="122"/>
  <c r="AC85" i="122"/>
  <c r="AC86" i="122"/>
  <c r="AC87" i="122"/>
  <c r="AC88" i="122"/>
  <c r="AC89" i="122"/>
  <c r="AC90" i="122"/>
  <c r="AC91" i="122"/>
  <c r="AC92" i="122"/>
  <c r="AC93" i="122"/>
  <c r="AC94" i="122"/>
  <c r="AC95" i="122"/>
  <c r="AC96" i="122"/>
  <c r="AC97" i="122"/>
  <c r="G57" i="121"/>
  <c r="L57" i="121" s="1"/>
  <c r="D61" i="121"/>
  <c r="F46" i="121"/>
  <c r="AA21" i="121"/>
  <c r="AA20" i="121"/>
  <c r="AA19" i="121"/>
  <c r="AA18" i="121"/>
  <c r="AA17" i="121"/>
  <c r="AA16" i="121"/>
  <c r="AA15" i="121"/>
  <c r="AA14" i="121"/>
  <c r="AA13" i="121"/>
  <c r="X42" i="121"/>
  <c r="W42" i="121"/>
  <c r="Z12" i="121"/>
  <c r="Z42" i="121" s="1"/>
  <c r="V42" i="121"/>
  <c r="Y12" i="121"/>
  <c r="Y42" i="121" s="1"/>
  <c r="U42" i="121"/>
  <c r="AA12" i="121"/>
  <c r="V63" i="121"/>
  <c r="Y43" i="121"/>
  <c r="Y63" i="121" s="1"/>
  <c r="W63" i="121"/>
  <c r="Z43" i="121"/>
  <c r="Z63" i="121" s="1"/>
  <c r="V69" i="121"/>
  <c r="Y64" i="121"/>
  <c r="Y69" i="121" s="1"/>
  <c r="W69" i="121"/>
  <c r="Z64" i="121"/>
  <c r="Z69" i="121" s="1"/>
  <c r="V75" i="121"/>
  <c r="Y70" i="121"/>
  <c r="Y75" i="121" s="1"/>
  <c r="W75" i="121"/>
  <c r="Z70" i="121"/>
  <c r="Z75" i="121" s="1"/>
  <c r="AA22" i="121"/>
  <c r="AA23" i="121"/>
  <c r="AA24" i="121"/>
  <c r="AA25" i="121"/>
  <c r="AA26" i="121"/>
  <c r="AA27" i="121"/>
  <c r="AA28" i="121"/>
  <c r="AA29" i="121"/>
  <c r="AA30" i="121"/>
  <c r="AA31" i="121"/>
  <c r="AA32" i="121"/>
  <c r="AA33" i="121"/>
  <c r="AA34" i="121"/>
  <c r="AA35" i="121"/>
  <c r="AA36" i="121"/>
  <c r="AA37" i="121"/>
  <c r="AA38" i="121"/>
  <c r="AA39" i="121"/>
  <c r="AA40" i="121"/>
  <c r="AA41" i="121"/>
  <c r="U63" i="121"/>
  <c r="AA43" i="121"/>
  <c r="AA44" i="121"/>
  <c r="AA45" i="121"/>
  <c r="AA46" i="121"/>
  <c r="AA47" i="121"/>
  <c r="AA48" i="121"/>
  <c r="AA49" i="121"/>
  <c r="AA50" i="121"/>
  <c r="AA51" i="121"/>
  <c r="AA52" i="121"/>
  <c r="AA53" i="121"/>
  <c r="AA54" i="121"/>
  <c r="AA55" i="121"/>
  <c r="AA56" i="121"/>
  <c r="AA57" i="121"/>
  <c r="AA58" i="121"/>
  <c r="AA59" i="121"/>
  <c r="AA60" i="121"/>
  <c r="AA61" i="121"/>
  <c r="AA62" i="121"/>
  <c r="U69" i="121"/>
  <c r="AA64" i="121"/>
  <c r="AA65" i="121"/>
  <c r="AA66" i="121"/>
  <c r="AA67" i="121"/>
  <c r="AA68" i="121"/>
  <c r="U75" i="121"/>
  <c r="AA70" i="121"/>
  <c r="AA71" i="121"/>
  <c r="AA72" i="121"/>
  <c r="AA73" i="121"/>
  <c r="AA74" i="121"/>
  <c r="AA98" i="121"/>
  <c r="AC78" i="121"/>
  <c r="AC79" i="121"/>
  <c r="AC80" i="121"/>
  <c r="AC81" i="121"/>
  <c r="AC82" i="121"/>
  <c r="AC83" i="121"/>
  <c r="AC84" i="121"/>
  <c r="AC85" i="121"/>
  <c r="AC86" i="121"/>
  <c r="AC87" i="121"/>
  <c r="AC88" i="121"/>
  <c r="AC89" i="121"/>
  <c r="AC90" i="121"/>
  <c r="AC91" i="121"/>
  <c r="AC92" i="121"/>
  <c r="AC93" i="121"/>
  <c r="AC94" i="121"/>
  <c r="AC95" i="121"/>
  <c r="AC96" i="121"/>
  <c r="AC97" i="121"/>
  <c r="G57" i="120"/>
  <c r="L57" i="120" s="1"/>
  <c r="F46" i="120"/>
  <c r="AA21" i="120"/>
  <c r="AA20" i="120"/>
  <c r="AA19" i="120"/>
  <c r="AA18" i="120"/>
  <c r="AA17" i="120"/>
  <c r="AA16" i="120"/>
  <c r="AA15" i="120"/>
  <c r="AA14" i="120"/>
  <c r="AA13" i="120"/>
  <c r="X42" i="120"/>
  <c r="W42" i="120"/>
  <c r="Z12" i="120"/>
  <c r="Z42" i="120" s="1"/>
  <c r="V42" i="120"/>
  <c r="Y12" i="120"/>
  <c r="Y42" i="120" s="1"/>
  <c r="U42" i="120"/>
  <c r="AA12" i="120"/>
  <c r="V63" i="120"/>
  <c r="Y43" i="120"/>
  <c r="Y63" i="120" s="1"/>
  <c r="W63" i="120"/>
  <c r="Z43" i="120"/>
  <c r="Z63" i="120" s="1"/>
  <c r="V69" i="120"/>
  <c r="Y64" i="120"/>
  <c r="Y69" i="120" s="1"/>
  <c r="W69" i="120"/>
  <c r="Z64" i="120"/>
  <c r="Z69" i="120" s="1"/>
  <c r="V75" i="120"/>
  <c r="Y70" i="120"/>
  <c r="Y75" i="120" s="1"/>
  <c r="W75" i="120"/>
  <c r="Z70" i="120"/>
  <c r="Z75" i="120" s="1"/>
  <c r="AA22" i="120"/>
  <c r="AA23" i="120"/>
  <c r="AA24" i="120"/>
  <c r="AA25" i="120"/>
  <c r="AA26" i="120"/>
  <c r="AA27" i="120"/>
  <c r="AA28" i="120"/>
  <c r="AA29" i="120"/>
  <c r="AA30" i="120"/>
  <c r="AA31" i="120"/>
  <c r="AA32" i="120"/>
  <c r="AA33" i="120"/>
  <c r="AA34" i="120"/>
  <c r="AA35" i="120"/>
  <c r="AA36" i="120"/>
  <c r="AA37" i="120"/>
  <c r="AA38" i="120"/>
  <c r="AA39" i="120"/>
  <c r="AA40" i="120"/>
  <c r="AA41" i="120"/>
  <c r="U63" i="120"/>
  <c r="AA43" i="120"/>
  <c r="AA44" i="120"/>
  <c r="AA45" i="120"/>
  <c r="AA46" i="120"/>
  <c r="AA47" i="120"/>
  <c r="AA48" i="120"/>
  <c r="AA49" i="120"/>
  <c r="AA50" i="120"/>
  <c r="AA51" i="120"/>
  <c r="AA52" i="120"/>
  <c r="AA53" i="120"/>
  <c r="AA54" i="120"/>
  <c r="AA55" i="120"/>
  <c r="AA56" i="120"/>
  <c r="AA57" i="120"/>
  <c r="AA58" i="120"/>
  <c r="AA59" i="120"/>
  <c r="AA60" i="120"/>
  <c r="AA61" i="120"/>
  <c r="AA62" i="120"/>
  <c r="U69" i="120"/>
  <c r="AA64" i="120"/>
  <c r="AA65" i="120"/>
  <c r="AA66" i="120"/>
  <c r="AA67" i="120"/>
  <c r="AA68" i="120"/>
  <c r="U75" i="120"/>
  <c r="AA70" i="120"/>
  <c r="AA71" i="120"/>
  <c r="AA72" i="120"/>
  <c r="AA73" i="120"/>
  <c r="AA74" i="120"/>
  <c r="AA98" i="120"/>
  <c r="AC78" i="120"/>
  <c r="AC79" i="120"/>
  <c r="AC80" i="120"/>
  <c r="AC81" i="120"/>
  <c r="AC82" i="120"/>
  <c r="AC83" i="120"/>
  <c r="AC84" i="120"/>
  <c r="AC85" i="120"/>
  <c r="AC86" i="120"/>
  <c r="AC87" i="120"/>
  <c r="AC88" i="120"/>
  <c r="AC89" i="120"/>
  <c r="AC90" i="120"/>
  <c r="AC91" i="120"/>
  <c r="AC92" i="120"/>
  <c r="AC93" i="120"/>
  <c r="AC94" i="120"/>
  <c r="AC95" i="120"/>
  <c r="AC96" i="120"/>
  <c r="AC97" i="120"/>
  <c r="G57" i="119"/>
  <c r="L57" i="119" s="1"/>
  <c r="F46" i="119"/>
  <c r="F61" i="119" s="1"/>
  <c r="AA21" i="119"/>
  <c r="AA20" i="119"/>
  <c r="AA19" i="119"/>
  <c r="AA18" i="119"/>
  <c r="AA17" i="119"/>
  <c r="AA16" i="119"/>
  <c r="AA15" i="119"/>
  <c r="AA14" i="119"/>
  <c r="AA13" i="119"/>
  <c r="X42" i="119"/>
  <c r="W42" i="119"/>
  <c r="Z12" i="119"/>
  <c r="Z42" i="119" s="1"/>
  <c r="V42" i="119"/>
  <c r="Y12" i="119"/>
  <c r="Y42" i="119" s="1"/>
  <c r="U42" i="119"/>
  <c r="AA12" i="119"/>
  <c r="V63" i="119"/>
  <c r="Y43" i="119"/>
  <c r="Y63" i="119" s="1"/>
  <c r="W63" i="119"/>
  <c r="Z43" i="119"/>
  <c r="Z63" i="119" s="1"/>
  <c r="V69" i="119"/>
  <c r="Y64" i="119"/>
  <c r="Y69" i="119" s="1"/>
  <c r="W69" i="119"/>
  <c r="Z64" i="119"/>
  <c r="Z69" i="119" s="1"/>
  <c r="V75" i="119"/>
  <c r="Y70" i="119"/>
  <c r="Y75" i="119" s="1"/>
  <c r="W75" i="119"/>
  <c r="Z70" i="119"/>
  <c r="Z75" i="119" s="1"/>
  <c r="AA22" i="119"/>
  <c r="AA23" i="119"/>
  <c r="AA24" i="119"/>
  <c r="AA25" i="119"/>
  <c r="AA26" i="119"/>
  <c r="AA27" i="119"/>
  <c r="AA28" i="119"/>
  <c r="AA29" i="119"/>
  <c r="AA30" i="119"/>
  <c r="AA31" i="119"/>
  <c r="AA32" i="119"/>
  <c r="AA33" i="119"/>
  <c r="AA34" i="119"/>
  <c r="AA35" i="119"/>
  <c r="AA36" i="119"/>
  <c r="AA37" i="119"/>
  <c r="AA38" i="119"/>
  <c r="AA39" i="119"/>
  <c r="AA40" i="119"/>
  <c r="AA41" i="119"/>
  <c r="U63" i="119"/>
  <c r="AA43" i="119"/>
  <c r="AA44" i="119"/>
  <c r="AA45" i="119"/>
  <c r="AA46" i="119"/>
  <c r="AA47" i="119"/>
  <c r="AA48" i="119"/>
  <c r="AA49" i="119"/>
  <c r="AA50" i="119"/>
  <c r="AA51" i="119"/>
  <c r="AA52" i="119"/>
  <c r="AA53" i="119"/>
  <c r="AA54" i="119"/>
  <c r="AA55" i="119"/>
  <c r="AA56" i="119"/>
  <c r="AA57" i="119"/>
  <c r="AA58" i="119"/>
  <c r="AA59" i="119"/>
  <c r="AA60" i="119"/>
  <c r="AA61" i="119"/>
  <c r="AA62" i="119"/>
  <c r="U69" i="119"/>
  <c r="AA64" i="119"/>
  <c r="AA65" i="119"/>
  <c r="AA66" i="119"/>
  <c r="AA67" i="119"/>
  <c r="AA68" i="119"/>
  <c r="U75" i="119"/>
  <c r="AA70" i="119"/>
  <c r="AA71" i="119"/>
  <c r="AA72" i="119"/>
  <c r="AA73" i="119"/>
  <c r="AA74" i="119"/>
  <c r="AA98" i="119"/>
  <c r="AC78" i="119"/>
  <c r="AC79" i="119"/>
  <c r="AC80" i="119"/>
  <c r="AC81" i="119"/>
  <c r="AC82" i="119"/>
  <c r="AC83" i="119"/>
  <c r="AC84" i="119"/>
  <c r="AC85" i="119"/>
  <c r="AC86" i="119"/>
  <c r="AC87" i="119"/>
  <c r="AC88" i="119"/>
  <c r="AC89" i="119"/>
  <c r="AC90" i="119"/>
  <c r="AC91" i="119"/>
  <c r="AC92" i="119"/>
  <c r="AC93" i="119"/>
  <c r="AC94" i="119"/>
  <c r="AC95" i="119"/>
  <c r="AC96" i="119"/>
  <c r="AC97" i="119"/>
  <c r="G57" i="118"/>
  <c r="L57" i="118" s="1"/>
  <c r="F46" i="118"/>
  <c r="AA21" i="118"/>
  <c r="AA20" i="118"/>
  <c r="AA19" i="118"/>
  <c r="AA18" i="118"/>
  <c r="AA17" i="118"/>
  <c r="AA16" i="118"/>
  <c r="AA15" i="118"/>
  <c r="AA14" i="118"/>
  <c r="AA13" i="118"/>
  <c r="X42" i="118"/>
  <c r="W42" i="118"/>
  <c r="Z12" i="118"/>
  <c r="Z42" i="118" s="1"/>
  <c r="V42" i="118"/>
  <c r="Y12" i="118"/>
  <c r="Y42" i="118" s="1"/>
  <c r="U42" i="118"/>
  <c r="AA12" i="118"/>
  <c r="V63" i="118"/>
  <c r="Y43" i="118"/>
  <c r="Y63" i="118" s="1"/>
  <c r="W63" i="118"/>
  <c r="Z43" i="118"/>
  <c r="Z63" i="118" s="1"/>
  <c r="V69" i="118"/>
  <c r="Y64" i="118"/>
  <c r="Y69" i="118" s="1"/>
  <c r="W69" i="118"/>
  <c r="Z64" i="118"/>
  <c r="Z69" i="118" s="1"/>
  <c r="V75" i="118"/>
  <c r="Y70" i="118"/>
  <c r="Y75" i="118" s="1"/>
  <c r="W75" i="118"/>
  <c r="Z70" i="118"/>
  <c r="Z75" i="118" s="1"/>
  <c r="AA22" i="118"/>
  <c r="AA23" i="118"/>
  <c r="AA24" i="118"/>
  <c r="AA25" i="118"/>
  <c r="AA26" i="118"/>
  <c r="AA27" i="118"/>
  <c r="AA28" i="118"/>
  <c r="AA29" i="118"/>
  <c r="AA30" i="118"/>
  <c r="AA31" i="118"/>
  <c r="AA32" i="118"/>
  <c r="AA33" i="118"/>
  <c r="AA34" i="118"/>
  <c r="AA35" i="118"/>
  <c r="AA36" i="118"/>
  <c r="AA37" i="118"/>
  <c r="AA38" i="118"/>
  <c r="AA39" i="118"/>
  <c r="AA40" i="118"/>
  <c r="AA41" i="118"/>
  <c r="U63" i="118"/>
  <c r="AA43" i="118"/>
  <c r="AA44" i="118"/>
  <c r="AA45" i="118"/>
  <c r="AA46" i="118"/>
  <c r="AA47" i="118"/>
  <c r="AA48" i="118"/>
  <c r="AA49" i="118"/>
  <c r="AA50" i="118"/>
  <c r="AA51" i="118"/>
  <c r="AA52" i="118"/>
  <c r="AA53" i="118"/>
  <c r="AA54" i="118"/>
  <c r="AA55" i="118"/>
  <c r="AA56" i="118"/>
  <c r="AA57" i="118"/>
  <c r="AA58" i="118"/>
  <c r="AA59" i="118"/>
  <c r="AA60" i="118"/>
  <c r="AA61" i="118"/>
  <c r="AA62" i="118"/>
  <c r="U69" i="118"/>
  <c r="AA64" i="118"/>
  <c r="AA65" i="118"/>
  <c r="AA66" i="118"/>
  <c r="AA67" i="118"/>
  <c r="AA68" i="118"/>
  <c r="U75" i="118"/>
  <c r="AA70" i="118"/>
  <c r="AA71" i="118"/>
  <c r="AA72" i="118"/>
  <c r="AA73" i="118"/>
  <c r="AA74" i="118"/>
  <c r="AA98" i="118"/>
  <c r="AC78" i="118"/>
  <c r="AC79" i="118"/>
  <c r="AC80" i="118"/>
  <c r="AC81" i="118"/>
  <c r="AC82" i="118"/>
  <c r="AC83" i="118"/>
  <c r="AC84" i="118"/>
  <c r="AC85" i="118"/>
  <c r="AC86" i="118"/>
  <c r="AC87" i="118"/>
  <c r="AC88" i="118"/>
  <c r="AC89" i="118"/>
  <c r="AC90" i="118"/>
  <c r="AC91" i="118"/>
  <c r="AC92" i="118"/>
  <c r="AC93" i="118"/>
  <c r="AC94" i="118"/>
  <c r="AC95" i="118"/>
  <c r="AC96" i="118"/>
  <c r="AC97" i="118"/>
  <c r="G57" i="117"/>
  <c r="L57" i="117" s="1"/>
  <c r="F46" i="117"/>
  <c r="AA21" i="117"/>
  <c r="AA20" i="117"/>
  <c r="AA19" i="117"/>
  <c r="AA18" i="117"/>
  <c r="AA17" i="117"/>
  <c r="AA16" i="117"/>
  <c r="AA15" i="117"/>
  <c r="AA14" i="117"/>
  <c r="AA13" i="117"/>
  <c r="X42" i="117"/>
  <c r="W42" i="117"/>
  <c r="Z12" i="117"/>
  <c r="Z42" i="117" s="1"/>
  <c r="V42" i="117"/>
  <c r="Y12" i="117"/>
  <c r="Y42" i="117" s="1"/>
  <c r="U42" i="117"/>
  <c r="AA12" i="117"/>
  <c r="V63" i="117"/>
  <c r="Y43" i="117"/>
  <c r="Y63" i="117" s="1"/>
  <c r="W63" i="117"/>
  <c r="Z43" i="117"/>
  <c r="Z63" i="117" s="1"/>
  <c r="V69" i="117"/>
  <c r="Y64" i="117"/>
  <c r="Y69" i="117" s="1"/>
  <c r="W69" i="117"/>
  <c r="Z64" i="117"/>
  <c r="Z69" i="117" s="1"/>
  <c r="V75" i="117"/>
  <c r="Y70" i="117"/>
  <c r="Y75" i="117" s="1"/>
  <c r="W75" i="117"/>
  <c r="Z70" i="117"/>
  <c r="Z75" i="117" s="1"/>
  <c r="AA22" i="117"/>
  <c r="AA23" i="117"/>
  <c r="AA24" i="117"/>
  <c r="AA25" i="117"/>
  <c r="AA26" i="117"/>
  <c r="AA27" i="117"/>
  <c r="AA28" i="117"/>
  <c r="AA29" i="117"/>
  <c r="AA30" i="117"/>
  <c r="AA31" i="117"/>
  <c r="AA32" i="117"/>
  <c r="AA33" i="117"/>
  <c r="AA34" i="117"/>
  <c r="AA35" i="117"/>
  <c r="AA36" i="117"/>
  <c r="AA37" i="117"/>
  <c r="AA38" i="117"/>
  <c r="AA39" i="117"/>
  <c r="AA40" i="117"/>
  <c r="AA41" i="117"/>
  <c r="U63" i="117"/>
  <c r="AA43" i="117"/>
  <c r="AA44" i="117"/>
  <c r="AA45" i="117"/>
  <c r="AA46" i="117"/>
  <c r="AA47" i="117"/>
  <c r="AA48" i="117"/>
  <c r="AA49" i="117"/>
  <c r="AA50" i="117"/>
  <c r="AA51" i="117"/>
  <c r="AA52" i="117"/>
  <c r="AA53" i="117"/>
  <c r="AA54" i="117"/>
  <c r="AA55" i="117"/>
  <c r="AA56" i="117"/>
  <c r="AA57" i="117"/>
  <c r="AA58" i="117"/>
  <c r="AA59" i="117"/>
  <c r="AA60" i="117"/>
  <c r="AA61" i="117"/>
  <c r="AA62" i="117"/>
  <c r="U69" i="117"/>
  <c r="AA64" i="117"/>
  <c r="AA65" i="117"/>
  <c r="AA66" i="117"/>
  <c r="AA67" i="117"/>
  <c r="AA68" i="117"/>
  <c r="U75" i="117"/>
  <c r="AA70" i="117"/>
  <c r="AA71" i="117"/>
  <c r="AA72" i="117"/>
  <c r="AA73" i="117"/>
  <c r="AA74" i="117"/>
  <c r="AA98" i="117"/>
  <c r="AC78" i="117"/>
  <c r="AC79" i="117"/>
  <c r="AC80" i="117"/>
  <c r="AC81" i="117"/>
  <c r="AC82" i="117"/>
  <c r="AC83" i="117"/>
  <c r="AC84" i="117"/>
  <c r="AC85" i="117"/>
  <c r="AC86" i="117"/>
  <c r="AC87" i="117"/>
  <c r="AC88" i="117"/>
  <c r="AC89" i="117"/>
  <c r="AC90" i="117"/>
  <c r="AC91" i="117"/>
  <c r="AC92" i="117"/>
  <c r="AC93" i="117"/>
  <c r="AC94" i="117"/>
  <c r="AC95" i="117"/>
  <c r="AC96" i="117"/>
  <c r="AC97" i="117"/>
  <c r="G57" i="116"/>
  <c r="L57" i="116" s="1"/>
  <c r="F46" i="116"/>
  <c r="F61" i="116" s="1"/>
  <c r="AA21" i="116"/>
  <c r="AA20" i="116"/>
  <c r="AA19" i="116"/>
  <c r="AA18" i="116"/>
  <c r="AA17" i="116"/>
  <c r="AA16" i="116"/>
  <c r="AA15" i="116"/>
  <c r="AA14" i="116"/>
  <c r="AA13" i="116"/>
  <c r="X42" i="116"/>
  <c r="W42" i="116"/>
  <c r="Z12" i="116"/>
  <c r="Z42" i="116" s="1"/>
  <c r="V42" i="116"/>
  <c r="Y12" i="116"/>
  <c r="Y42" i="116" s="1"/>
  <c r="U42" i="116"/>
  <c r="AA12" i="116"/>
  <c r="V63" i="116"/>
  <c r="Y43" i="116"/>
  <c r="Y63" i="116" s="1"/>
  <c r="W63" i="116"/>
  <c r="Z43" i="116"/>
  <c r="Z63" i="116" s="1"/>
  <c r="V69" i="116"/>
  <c r="Y64" i="116"/>
  <c r="Y69" i="116" s="1"/>
  <c r="W69" i="116"/>
  <c r="Z64" i="116"/>
  <c r="Z69" i="116" s="1"/>
  <c r="V75" i="116"/>
  <c r="Y70" i="116"/>
  <c r="Y75" i="116" s="1"/>
  <c r="W75" i="116"/>
  <c r="Z70" i="116"/>
  <c r="Z75" i="116" s="1"/>
  <c r="AA22" i="116"/>
  <c r="AA23" i="116"/>
  <c r="AA24" i="116"/>
  <c r="AA25" i="116"/>
  <c r="AA26" i="116"/>
  <c r="AA27" i="116"/>
  <c r="AA28" i="116"/>
  <c r="AA29" i="116"/>
  <c r="AA30" i="116"/>
  <c r="AA31" i="116"/>
  <c r="AA32" i="116"/>
  <c r="AA33" i="116"/>
  <c r="AA34" i="116"/>
  <c r="AA35" i="116"/>
  <c r="AA36" i="116"/>
  <c r="AA37" i="116"/>
  <c r="AA38" i="116"/>
  <c r="AA39" i="116"/>
  <c r="AA40" i="116"/>
  <c r="AA41" i="116"/>
  <c r="U63" i="116"/>
  <c r="AA43" i="116"/>
  <c r="AA44" i="116"/>
  <c r="AA45" i="116"/>
  <c r="AA46" i="116"/>
  <c r="AA47" i="116"/>
  <c r="AA48" i="116"/>
  <c r="AA49" i="116"/>
  <c r="AA50" i="116"/>
  <c r="AA51" i="116"/>
  <c r="AA52" i="116"/>
  <c r="AA53" i="116"/>
  <c r="AA54" i="116"/>
  <c r="AA55" i="116"/>
  <c r="AA56" i="116"/>
  <c r="AA57" i="116"/>
  <c r="AA58" i="116"/>
  <c r="AA59" i="116"/>
  <c r="AA60" i="116"/>
  <c r="AA61" i="116"/>
  <c r="AA62" i="116"/>
  <c r="U69" i="116"/>
  <c r="AA64" i="116"/>
  <c r="AA65" i="116"/>
  <c r="AA66" i="116"/>
  <c r="AA67" i="116"/>
  <c r="AA68" i="116"/>
  <c r="U75" i="116"/>
  <c r="AA70" i="116"/>
  <c r="AA71" i="116"/>
  <c r="AA72" i="116"/>
  <c r="AA73" i="116"/>
  <c r="AA74" i="116"/>
  <c r="AA98" i="116"/>
  <c r="AC78" i="116"/>
  <c r="AC79" i="116"/>
  <c r="AC80" i="116"/>
  <c r="AC81" i="116"/>
  <c r="AC82" i="116"/>
  <c r="AC83" i="116"/>
  <c r="AC84" i="116"/>
  <c r="AC85" i="116"/>
  <c r="AC86" i="116"/>
  <c r="AC87" i="116"/>
  <c r="AC88" i="116"/>
  <c r="AC89" i="116"/>
  <c r="AC90" i="116"/>
  <c r="AC91" i="116"/>
  <c r="AC92" i="116"/>
  <c r="AC93" i="116"/>
  <c r="AC94" i="116"/>
  <c r="AC95" i="116"/>
  <c r="AC96" i="116"/>
  <c r="AC97" i="116"/>
  <c r="G57" i="115"/>
  <c r="L57" i="115" s="1"/>
  <c r="D61" i="115"/>
  <c r="F46" i="115"/>
  <c r="F61" i="115" s="1"/>
  <c r="AA21" i="115"/>
  <c r="AA20" i="115"/>
  <c r="AA19" i="115"/>
  <c r="AA18" i="115"/>
  <c r="AA17" i="115"/>
  <c r="AA16" i="115"/>
  <c r="AA15" i="115"/>
  <c r="AA14" i="115"/>
  <c r="AA13" i="115"/>
  <c r="X42" i="115"/>
  <c r="W42" i="115"/>
  <c r="Z12" i="115"/>
  <c r="Z42" i="115" s="1"/>
  <c r="V42" i="115"/>
  <c r="Y12" i="115"/>
  <c r="Y42" i="115" s="1"/>
  <c r="U42" i="115"/>
  <c r="AA12" i="115"/>
  <c r="V63" i="115"/>
  <c r="Y43" i="115"/>
  <c r="Y63" i="115" s="1"/>
  <c r="W63" i="115"/>
  <c r="Z43" i="115"/>
  <c r="Z63" i="115" s="1"/>
  <c r="V69" i="115"/>
  <c r="Y64" i="115"/>
  <c r="Y69" i="115" s="1"/>
  <c r="W69" i="115"/>
  <c r="Z64" i="115"/>
  <c r="Z69" i="115" s="1"/>
  <c r="V75" i="115"/>
  <c r="Y70" i="115"/>
  <c r="Y75" i="115" s="1"/>
  <c r="W75" i="115"/>
  <c r="Z70" i="115"/>
  <c r="Z75" i="115" s="1"/>
  <c r="AA22" i="115"/>
  <c r="AA23" i="115"/>
  <c r="AA24" i="115"/>
  <c r="AA25" i="115"/>
  <c r="AA26" i="115"/>
  <c r="AA27" i="115"/>
  <c r="AA28" i="115"/>
  <c r="AA29" i="115"/>
  <c r="AA30" i="115"/>
  <c r="AA31" i="115"/>
  <c r="AA32" i="115"/>
  <c r="AA33" i="115"/>
  <c r="AA34" i="115"/>
  <c r="AA35" i="115"/>
  <c r="AA36" i="115"/>
  <c r="AA37" i="115"/>
  <c r="AA38" i="115"/>
  <c r="AA39" i="115"/>
  <c r="AA40" i="115"/>
  <c r="AA41" i="115"/>
  <c r="U63" i="115"/>
  <c r="AA43" i="115"/>
  <c r="AA44" i="115"/>
  <c r="AA45" i="115"/>
  <c r="AA46" i="115"/>
  <c r="AA47" i="115"/>
  <c r="AA48" i="115"/>
  <c r="AA49" i="115"/>
  <c r="AA50" i="115"/>
  <c r="AA51" i="115"/>
  <c r="AA52" i="115"/>
  <c r="AA53" i="115"/>
  <c r="AA54" i="115"/>
  <c r="AA55" i="115"/>
  <c r="AA56" i="115"/>
  <c r="AA57" i="115"/>
  <c r="AA58" i="115"/>
  <c r="AA59" i="115"/>
  <c r="AA60" i="115"/>
  <c r="AA61" i="115"/>
  <c r="AA62" i="115"/>
  <c r="U69" i="115"/>
  <c r="AA64" i="115"/>
  <c r="AA65" i="115"/>
  <c r="AA66" i="115"/>
  <c r="AA67" i="115"/>
  <c r="AA68" i="115"/>
  <c r="U75" i="115"/>
  <c r="AA70" i="115"/>
  <c r="AA71" i="115"/>
  <c r="AA72" i="115"/>
  <c r="AA73" i="115"/>
  <c r="AA74" i="115"/>
  <c r="AA98" i="115"/>
  <c r="AC78" i="115"/>
  <c r="AC79" i="115"/>
  <c r="AC80" i="115"/>
  <c r="AC81" i="115"/>
  <c r="AC82" i="115"/>
  <c r="AC83" i="115"/>
  <c r="AC84" i="115"/>
  <c r="AC85" i="115"/>
  <c r="AC86" i="115"/>
  <c r="AC87" i="115"/>
  <c r="AC88" i="115"/>
  <c r="AC89" i="115"/>
  <c r="AC90" i="115"/>
  <c r="AC91" i="115"/>
  <c r="AC92" i="115"/>
  <c r="AC93" i="115"/>
  <c r="AC94" i="115"/>
  <c r="AC95" i="115"/>
  <c r="AC96" i="115"/>
  <c r="AC97" i="115"/>
  <c r="H69" i="114"/>
  <c r="G57" i="114"/>
  <c r="L57" i="114" s="1"/>
  <c r="D61" i="114"/>
  <c r="F46" i="114"/>
  <c r="AA21" i="114"/>
  <c r="AA20" i="114"/>
  <c r="AA19" i="114"/>
  <c r="AA18" i="114"/>
  <c r="AA17" i="114"/>
  <c r="AA16" i="114"/>
  <c r="AA15" i="114"/>
  <c r="AA14" i="114"/>
  <c r="AA13" i="114"/>
  <c r="X42" i="114"/>
  <c r="W42" i="114"/>
  <c r="Z12" i="114"/>
  <c r="Z42" i="114" s="1"/>
  <c r="V42" i="114"/>
  <c r="Y12" i="114"/>
  <c r="Y42" i="114" s="1"/>
  <c r="U42" i="114"/>
  <c r="AA12" i="114"/>
  <c r="V63" i="114"/>
  <c r="Y43" i="114"/>
  <c r="Y63" i="114" s="1"/>
  <c r="W63" i="114"/>
  <c r="Z43" i="114"/>
  <c r="Z63" i="114" s="1"/>
  <c r="V69" i="114"/>
  <c r="Y64" i="114"/>
  <c r="Y69" i="114" s="1"/>
  <c r="W69" i="114"/>
  <c r="Z64" i="114"/>
  <c r="Z69" i="114" s="1"/>
  <c r="V75" i="114"/>
  <c r="Y70" i="114"/>
  <c r="Y75" i="114" s="1"/>
  <c r="W75" i="114"/>
  <c r="Z70" i="114"/>
  <c r="Z75" i="114" s="1"/>
  <c r="AA22" i="114"/>
  <c r="AA23" i="114"/>
  <c r="AA24" i="114"/>
  <c r="AA25" i="114"/>
  <c r="AA26" i="114"/>
  <c r="AA27" i="114"/>
  <c r="AA28" i="114"/>
  <c r="AA29" i="114"/>
  <c r="AA30" i="114"/>
  <c r="AA31" i="114"/>
  <c r="AA32" i="114"/>
  <c r="AA33" i="114"/>
  <c r="AA34" i="114"/>
  <c r="AA35" i="114"/>
  <c r="AA36" i="114"/>
  <c r="AA37" i="114"/>
  <c r="AA38" i="114"/>
  <c r="AA39" i="114"/>
  <c r="AA40" i="114"/>
  <c r="AA41" i="114"/>
  <c r="U63" i="114"/>
  <c r="AA43" i="114"/>
  <c r="AA44" i="114"/>
  <c r="AA45" i="114"/>
  <c r="AA46" i="114"/>
  <c r="AA47" i="114"/>
  <c r="AA48" i="114"/>
  <c r="AA49" i="114"/>
  <c r="AA50" i="114"/>
  <c r="AA51" i="114"/>
  <c r="AA52" i="114"/>
  <c r="AA53" i="114"/>
  <c r="AA54" i="114"/>
  <c r="AA55" i="114"/>
  <c r="AA56" i="114"/>
  <c r="AA57" i="114"/>
  <c r="AA58" i="114"/>
  <c r="AA59" i="114"/>
  <c r="AA60" i="114"/>
  <c r="AA61" i="114"/>
  <c r="AA62" i="114"/>
  <c r="U69" i="114"/>
  <c r="AA64" i="114"/>
  <c r="AA65" i="114"/>
  <c r="AA66" i="114"/>
  <c r="AA67" i="114"/>
  <c r="AA68" i="114"/>
  <c r="U75" i="114"/>
  <c r="AA70" i="114"/>
  <c r="AA71" i="114"/>
  <c r="AA72" i="114"/>
  <c r="AA73" i="114"/>
  <c r="AA74" i="114"/>
  <c r="AA98" i="114"/>
  <c r="AC78" i="114"/>
  <c r="AC79" i="114"/>
  <c r="AC80" i="114"/>
  <c r="AC81" i="114"/>
  <c r="AC82" i="114"/>
  <c r="AC83" i="114"/>
  <c r="AC84" i="114"/>
  <c r="AC85" i="114"/>
  <c r="AC86" i="114"/>
  <c r="AC87" i="114"/>
  <c r="AC88" i="114"/>
  <c r="AC89" i="114"/>
  <c r="AC90" i="114"/>
  <c r="AC91" i="114"/>
  <c r="AC92" i="114"/>
  <c r="AC93" i="114"/>
  <c r="AC94" i="114"/>
  <c r="AC95" i="114"/>
  <c r="AC96" i="114"/>
  <c r="AC97" i="114"/>
  <c r="G57" i="113"/>
  <c r="L57" i="113" s="1"/>
  <c r="F46" i="113"/>
  <c r="AA21" i="113"/>
  <c r="AA20" i="113"/>
  <c r="AA19" i="113"/>
  <c r="AA18" i="113"/>
  <c r="AA17" i="113"/>
  <c r="AA16" i="113"/>
  <c r="AA15" i="113"/>
  <c r="AA14" i="113"/>
  <c r="AA13" i="113"/>
  <c r="X42" i="113"/>
  <c r="W42" i="113"/>
  <c r="Z12" i="113"/>
  <c r="Z42" i="113" s="1"/>
  <c r="V42" i="113"/>
  <c r="Y12" i="113"/>
  <c r="Y42" i="113" s="1"/>
  <c r="U42" i="113"/>
  <c r="AA12" i="113"/>
  <c r="V63" i="113"/>
  <c r="Y43" i="113"/>
  <c r="Y63" i="113" s="1"/>
  <c r="W63" i="113"/>
  <c r="Z43" i="113"/>
  <c r="Z63" i="113" s="1"/>
  <c r="V69" i="113"/>
  <c r="Y64" i="113"/>
  <c r="Y69" i="113" s="1"/>
  <c r="W69" i="113"/>
  <c r="Z64" i="113"/>
  <c r="Z69" i="113" s="1"/>
  <c r="V75" i="113"/>
  <c r="Y70" i="113"/>
  <c r="Y75" i="113" s="1"/>
  <c r="W75" i="113"/>
  <c r="Z70" i="113"/>
  <c r="Z75" i="113" s="1"/>
  <c r="AA22" i="113"/>
  <c r="AA23" i="113"/>
  <c r="AA24" i="113"/>
  <c r="AA25" i="113"/>
  <c r="AA26" i="113"/>
  <c r="AA27" i="113"/>
  <c r="AA28" i="113"/>
  <c r="AA29" i="113"/>
  <c r="AA30" i="113"/>
  <c r="AA31" i="113"/>
  <c r="AA32" i="113"/>
  <c r="AA33" i="113"/>
  <c r="AA34" i="113"/>
  <c r="AA35" i="113"/>
  <c r="AA36" i="113"/>
  <c r="AA37" i="113"/>
  <c r="AA38" i="113"/>
  <c r="AA39" i="113"/>
  <c r="AA40" i="113"/>
  <c r="AA41" i="113"/>
  <c r="U63" i="113"/>
  <c r="AA43" i="113"/>
  <c r="AA44" i="113"/>
  <c r="AA45" i="113"/>
  <c r="AA46" i="113"/>
  <c r="AA47" i="113"/>
  <c r="AA48" i="113"/>
  <c r="AA49" i="113"/>
  <c r="AA50" i="113"/>
  <c r="AA51" i="113"/>
  <c r="AA52" i="113"/>
  <c r="AA53" i="113"/>
  <c r="AA54" i="113"/>
  <c r="AA55" i="113"/>
  <c r="AA56" i="113"/>
  <c r="AA57" i="113"/>
  <c r="AA58" i="113"/>
  <c r="AA59" i="113"/>
  <c r="AA60" i="113"/>
  <c r="AA61" i="113"/>
  <c r="AA62" i="113"/>
  <c r="U69" i="113"/>
  <c r="AA64" i="113"/>
  <c r="AA65" i="113"/>
  <c r="AA66" i="113"/>
  <c r="AA67" i="113"/>
  <c r="AA68" i="113"/>
  <c r="U75" i="113"/>
  <c r="AA70" i="113"/>
  <c r="AA71" i="113"/>
  <c r="AA72" i="113"/>
  <c r="AA73" i="113"/>
  <c r="AA74" i="113"/>
  <c r="AA98" i="113"/>
  <c r="AC78" i="113"/>
  <c r="AC79" i="113"/>
  <c r="AC80" i="113"/>
  <c r="AC81" i="113"/>
  <c r="AC82" i="113"/>
  <c r="AC83" i="113"/>
  <c r="AC84" i="113"/>
  <c r="AC85" i="113"/>
  <c r="AC86" i="113"/>
  <c r="AC87" i="113"/>
  <c r="AC88" i="113"/>
  <c r="AC89" i="113"/>
  <c r="AC90" i="113"/>
  <c r="AC91" i="113"/>
  <c r="AC92" i="113"/>
  <c r="AC93" i="113"/>
  <c r="AC94" i="113"/>
  <c r="AC95" i="113"/>
  <c r="AC96" i="113"/>
  <c r="AC97" i="113"/>
  <c r="G57" i="112"/>
  <c r="L57" i="112" s="1"/>
  <c r="D61" i="112"/>
  <c r="F46" i="112"/>
  <c r="F61" i="112" s="1"/>
  <c r="AA21" i="112"/>
  <c r="AA20" i="112"/>
  <c r="AA19" i="112"/>
  <c r="AA18" i="112"/>
  <c r="AA17" i="112"/>
  <c r="AA16" i="112"/>
  <c r="AA15" i="112"/>
  <c r="AA14" i="112"/>
  <c r="AA13" i="112"/>
  <c r="X42" i="112"/>
  <c r="W42" i="112"/>
  <c r="Z12" i="112"/>
  <c r="Z42" i="112" s="1"/>
  <c r="V42" i="112"/>
  <c r="Y12" i="112"/>
  <c r="Y42" i="112" s="1"/>
  <c r="U42" i="112"/>
  <c r="AA12" i="112"/>
  <c r="V63" i="112"/>
  <c r="Y43" i="112"/>
  <c r="Y63" i="112" s="1"/>
  <c r="W63" i="112"/>
  <c r="Z43" i="112"/>
  <c r="Z63" i="112" s="1"/>
  <c r="V69" i="112"/>
  <c r="Y64" i="112"/>
  <c r="Y69" i="112" s="1"/>
  <c r="W69" i="112"/>
  <c r="Z64" i="112"/>
  <c r="Z69" i="112" s="1"/>
  <c r="V75" i="112"/>
  <c r="Y70" i="112"/>
  <c r="Y75" i="112" s="1"/>
  <c r="W75" i="112"/>
  <c r="Z70" i="112"/>
  <c r="Z75" i="112" s="1"/>
  <c r="AA22" i="112"/>
  <c r="AA23" i="112"/>
  <c r="AA24" i="112"/>
  <c r="AA25" i="112"/>
  <c r="AA26" i="112"/>
  <c r="AA27" i="112"/>
  <c r="AA28" i="112"/>
  <c r="AA29" i="112"/>
  <c r="AA30" i="112"/>
  <c r="AA31" i="112"/>
  <c r="AA32" i="112"/>
  <c r="AA33" i="112"/>
  <c r="AA34" i="112"/>
  <c r="AA35" i="112"/>
  <c r="AA36" i="112"/>
  <c r="AA37" i="112"/>
  <c r="AA38" i="112"/>
  <c r="AA39" i="112"/>
  <c r="AA40" i="112"/>
  <c r="AA41" i="112"/>
  <c r="U63" i="112"/>
  <c r="AA43" i="112"/>
  <c r="AA44" i="112"/>
  <c r="AA45" i="112"/>
  <c r="AA46" i="112"/>
  <c r="AA47" i="112"/>
  <c r="AA48" i="112"/>
  <c r="AA49" i="112"/>
  <c r="AA50" i="112"/>
  <c r="AA51" i="112"/>
  <c r="AA52" i="112"/>
  <c r="AA53" i="112"/>
  <c r="AA54" i="112"/>
  <c r="AA55" i="112"/>
  <c r="AA56" i="112"/>
  <c r="AA57" i="112"/>
  <c r="AA58" i="112"/>
  <c r="AA59" i="112"/>
  <c r="AA60" i="112"/>
  <c r="AA61" i="112"/>
  <c r="AA62" i="112"/>
  <c r="U69" i="112"/>
  <c r="AA64" i="112"/>
  <c r="AA65" i="112"/>
  <c r="AA66" i="112"/>
  <c r="AA67" i="112"/>
  <c r="AA68" i="112"/>
  <c r="U75" i="112"/>
  <c r="AA70" i="112"/>
  <c r="AA71" i="112"/>
  <c r="AA72" i="112"/>
  <c r="AA73" i="112"/>
  <c r="AA74" i="112"/>
  <c r="AA98" i="112"/>
  <c r="AC78" i="112"/>
  <c r="AC79" i="112"/>
  <c r="AC80" i="112"/>
  <c r="AC81" i="112"/>
  <c r="AC82" i="112"/>
  <c r="AC83" i="112"/>
  <c r="AC84" i="112"/>
  <c r="AC85" i="112"/>
  <c r="AC86" i="112"/>
  <c r="AC87" i="112"/>
  <c r="AC88" i="112"/>
  <c r="AC89" i="112"/>
  <c r="AC90" i="112"/>
  <c r="AC91" i="112"/>
  <c r="AC92" i="112"/>
  <c r="AC93" i="112"/>
  <c r="AC94" i="112"/>
  <c r="AC95" i="112"/>
  <c r="AC96" i="112"/>
  <c r="AC97" i="112"/>
  <c r="G57" i="111"/>
  <c r="L57" i="111" s="1"/>
  <c r="F46" i="111"/>
  <c r="AA21" i="111"/>
  <c r="AA20" i="111"/>
  <c r="AA19" i="111"/>
  <c r="AA18" i="111"/>
  <c r="AA17" i="111"/>
  <c r="AA16" i="111"/>
  <c r="AA15" i="111"/>
  <c r="AA14" i="111"/>
  <c r="AA13" i="111"/>
  <c r="X42" i="111"/>
  <c r="W42" i="111"/>
  <c r="Z12" i="111"/>
  <c r="Z42" i="111" s="1"/>
  <c r="V42" i="111"/>
  <c r="Y12" i="111"/>
  <c r="U42" i="111"/>
  <c r="AA12" i="111"/>
  <c r="V63" i="111"/>
  <c r="Y43" i="111"/>
  <c r="Y63" i="111" s="1"/>
  <c r="W63" i="111"/>
  <c r="Z43" i="111"/>
  <c r="Z63" i="111" s="1"/>
  <c r="V69" i="111"/>
  <c r="Y64" i="111"/>
  <c r="Y69" i="111" s="1"/>
  <c r="W69" i="111"/>
  <c r="Z64" i="111"/>
  <c r="Z69" i="111" s="1"/>
  <c r="V75" i="111"/>
  <c r="Y70" i="111"/>
  <c r="Y75" i="111" s="1"/>
  <c r="W75" i="111"/>
  <c r="Z70" i="111"/>
  <c r="Z75" i="111" s="1"/>
  <c r="AA22" i="111"/>
  <c r="AA23" i="111"/>
  <c r="AA24" i="111"/>
  <c r="AA25" i="111"/>
  <c r="AA26" i="111"/>
  <c r="AA27" i="111"/>
  <c r="AA28" i="111"/>
  <c r="AA29" i="111"/>
  <c r="AA30" i="111"/>
  <c r="AA31" i="111"/>
  <c r="AA32" i="111"/>
  <c r="AA33" i="111"/>
  <c r="AA34" i="111"/>
  <c r="AA35" i="111"/>
  <c r="AA36" i="111"/>
  <c r="AA37" i="111"/>
  <c r="AA38" i="111"/>
  <c r="AA39" i="111"/>
  <c r="AA40" i="111"/>
  <c r="AA41" i="111"/>
  <c r="U63" i="111"/>
  <c r="AA43" i="111"/>
  <c r="AA44" i="111"/>
  <c r="AA45" i="111"/>
  <c r="AA46" i="111"/>
  <c r="AA47" i="111"/>
  <c r="AA48" i="111"/>
  <c r="AA49" i="111"/>
  <c r="AA50" i="111"/>
  <c r="AA51" i="111"/>
  <c r="AA52" i="111"/>
  <c r="AA53" i="111"/>
  <c r="AA54" i="111"/>
  <c r="AA55" i="111"/>
  <c r="AA56" i="111"/>
  <c r="AA57" i="111"/>
  <c r="AA58" i="111"/>
  <c r="AA59" i="111"/>
  <c r="AA60" i="111"/>
  <c r="AA61" i="111"/>
  <c r="AA62" i="111"/>
  <c r="U69" i="111"/>
  <c r="AA64" i="111"/>
  <c r="AA65" i="111"/>
  <c r="AA66" i="111"/>
  <c r="AA67" i="111"/>
  <c r="AA68" i="111"/>
  <c r="U75" i="111"/>
  <c r="AA70" i="111"/>
  <c r="AA71" i="111"/>
  <c r="AA72" i="111"/>
  <c r="AA73" i="111"/>
  <c r="AA74" i="111"/>
  <c r="AA98" i="111"/>
  <c r="AC78" i="111"/>
  <c r="AC79" i="111"/>
  <c r="AC80" i="111"/>
  <c r="AC81" i="111"/>
  <c r="AC82" i="111"/>
  <c r="AC83" i="111"/>
  <c r="AC84" i="111"/>
  <c r="AC85" i="111"/>
  <c r="AC86" i="111"/>
  <c r="AC87" i="111"/>
  <c r="AC88" i="111"/>
  <c r="AC89" i="111"/>
  <c r="AC90" i="111"/>
  <c r="AC91" i="111"/>
  <c r="AC92" i="111"/>
  <c r="AC93" i="111"/>
  <c r="AC94" i="111"/>
  <c r="AC95" i="111"/>
  <c r="AC96" i="111"/>
  <c r="AC97" i="111"/>
  <c r="H69" i="110"/>
  <c r="G57" i="110"/>
  <c r="L57" i="110" s="1"/>
  <c r="F46" i="110"/>
  <c r="AA21" i="110"/>
  <c r="AA20" i="110"/>
  <c r="AA19" i="110"/>
  <c r="AA18" i="110"/>
  <c r="AA17" i="110"/>
  <c r="AA16" i="110"/>
  <c r="AA15" i="110"/>
  <c r="AA14" i="110"/>
  <c r="AA13" i="110"/>
  <c r="X42" i="110"/>
  <c r="W42" i="110"/>
  <c r="Z12" i="110"/>
  <c r="Z42" i="110" s="1"/>
  <c r="V42" i="110"/>
  <c r="Y12" i="110"/>
  <c r="Y42" i="110" s="1"/>
  <c r="U42" i="110"/>
  <c r="AA12" i="110"/>
  <c r="V63" i="110"/>
  <c r="Y43" i="110"/>
  <c r="Y63" i="110" s="1"/>
  <c r="W63" i="110"/>
  <c r="Z43" i="110"/>
  <c r="Z63" i="110" s="1"/>
  <c r="V69" i="110"/>
  <c r="Y64" i="110"/>
  <c r="Y69" i="110" s="1"/>
  <c r="W69" i="110"/>
  <c r="Z64" i="110"/>
  <c r="Z69" i="110" s="1"/>
  <c r="V75" i="110"/>
  <c r="Y70" i="110"/>
  <c r="Y75" i="110" s="1"/>
  <c r="W75" i="110"/>
  <c r="Z70" i="110"/>
  <c r="Z75" i="110" s="1"/>
  <c r="AA22" i="110"/>
  <c r="AA23" i="110"/>
  <c r="AA24" i="110"/>
  <c r="AA25" i="110"/>
  <c r="AA26" i="110"/>
  <c r="AA27" i="110"/>
  <c r="AA28" i="110"/>
  <c r="AA29" i="110"/>
  <c r="AA30" i="110"/>
  <c r="AA31" i="110"/>
  <c r="AA32" i="110"/>
  <c r="AA33" i="110"/>
  <c r="AA34" i="110"/>
  <c r="AA35" i="110"/>
  <c r="AA36" i="110"/>
  <c r="AA37" i="110"/>
  <c r="AA38" i="110"/>
  <c r="AA39" i="110"/>
  <c r="AA40" i="110"/>
  <c r="AA41" i="110"/>
  <c r="U63" i="110"/>
  <c r="AA43" i="110"/>
  <c r="AA44" i="110"/>
  <c r="AA45" i="110"/>
  <c r="AA46" i="110"/>
  <c r="AA47" i="110"/>
  <c r="AA48" i="110"/>
  <c r="AA49" i="110"/>
  <c r="AA50" i="110"/>
  <c r="AA51" i="110"/>
  <c r="AA52" i="110"/>
  <c r="AA53" i="110"/>
  <c r="AA54" i="110"/>
  <c r="AA55" i="110"/>
  <c r="AA56" i="110"/>
  <c r="AA57" i="110"/>
  <c r="AA58" i="110"/>
  <c r="AA59" i="110"/>
  <c r="AA60" i="110"/>
  <c r="AA61" i="110"/>
  <c r="AA62" i="110"/>
  <c r="U69" i="110"/>
  <c r="AA64" i="110"/>
  <c r="AA65" i="110"/>
  <c r="AA66" i="110"/>
  <c r="AA67" i="110"/>
  <c r="AA68" i="110"/>
  <c r="U75" i="110"/>
  <c r="AA70" i="110"/>
  <c r="AA71" i="110"/>
  <c r="AA72" i="110"/>
  <c r="AA73" i="110"/>
  <c r="AA74" i="110"/>
  <c r="AA98" i="110"/>
  <c r="AC78" i="110"/>
  <c r="AC79" i="110"/>
  <c r="AC80" i="110"/>
  <c r="AC81" i="110"/>
  <c r="AC82" i="110"/>
  <c r="AC83" i="110"/>
  <c r="AC84" i="110"/>
  <c r="AC85" i="110"/>
  <c r="AC86" i="110"/>
  <c r="AC87" i="110"/>
  <c r="AC88" i="110"/>
  <c r="AC89" i="110"/>
  <c r="AC90" i="110"/>
  <c r="AC91" i="110"/>
  <c r="AC92" i="110"/>
  <c r="AC93" i="110"/>
  <c r="AC94" i="110"/>
  <c r="AC95" i="110"/>
  <c r="AC96" i="110"/>
  <c r="AC97" i="110"/>
  <c r="X10" i="40"/>
  <c r="V10" i="40"/>
  <c r="U10" i="40"/>
  <c r="L13" i="40"/>
  <c r="L14" i="40"/>
  <c r="L15" i="40"/>
  <c r="L16" i="40"/>
  <c r="L17" i="40"/>
  <c r="L18" i="40"/>
  <c r="L19" i="40"/>
  <c r="L20" i="40"/>
  <c r="L21" i="40"/>
  <c r="L22" i="40"/>
  <c r="L23" i="40"/>
  <c r="L24" i="40"/>
  <c r="L25" i="40"/>
  <c r="L26" i="40"/>
  <c r="L27" i="40"/>
  <c r="L28" i="40"/>
  <c r="L29" i="40"/>
  <c r="L30" i="40"/>
  <c r="L31" i="40"/>
  <c r="L32" i="40"/>
  <c r="L33" i="40"/>
  <c r="L34" i="40"/>
  <c r="L35" i="40"/>
  <c r="L36" i="40"/>
  <c r="L37" i="40"/>
  <c r="L38" i="40"/>
  <c r="L39" i="40"/>
  <c r="L40" i="40"/>
  <c r="L41" i="40"/>
  <c r="L42" i="40"/>
  <c r="L43" i="40"/>
  <c r="L44" i="40"/>
  <c r="J13" i="40"/>
  <c r="J15" i="40"/>
  <c r="J17" i="40"/>
  <c r="J21" i="40"/>
  <c r="J23" i="40"/>
  <c r="J25" i="40"/>
  <c r="J29" i="40"/>
  <c r="J31" i="40"/>
  <c r="J33" i="40"/>
  <c r="J37" i="40"/>
  <c r="J39" i="40"/>
  <c r="J41" i="40"/>
  <c r="J45" i="40"/>
  <c r="J49" i="40"/>
  <c r="J56" i="40"/>
  <c r="J60" i="40"/>
  <c r="J61" i="40"/>
  <c r="J62" i="40"/>
  <c r="J64" i="40"/>
  <c r="H51" i="40"/>
  <c r="H46" i="40"/>
  <c r="D49" i="40"/>
  <c r="F49" i="40" s="1"/>
  <c r="G49" i="40" s="1"/>
  <c r="F56" i="40"/>
  <c r="B54" i="40"/>
  <c r="R69" i="40"/>
  <c r="T63" i="40"/>
  <c r="B53" i="40" s="1"/>
  <c r="F53" i="40" s="1"/>
  <c r="S63" i="40"/>
  <c r="S42" i="40"/>
  <c r="B57" i="40" s="1"/>
  <c r="J57" i="40" s="1"/>
  <c r="V98" i="40"/>
  <c r="P98" i="40"/>
  <c r="S79" i="40"/>
  <c r="T79" i="40" s="1"/>
  <c r="S80" i="40"/>
  <c r="T80" i="40" s="1"/>
  <c r="S81" i="40"/>
  <c r="T81" i="40" s="1"/>
  <c r="S82" i="40"/>
  <c r="S83" i="40"/>
  <c r="T83" i="40" s="1"/>
  <c r="S84" i="40"/>
  <c r="T84" i="40" s="1"/>
  <c r="S85" i="40"/>
  <c r="T85" i="40" s="1"/>
  <c r="S86" i="40"/>
  <c r="T86" i="40" s="1"/>
  <c r="S87" i="40"/>
  <c r="T87" i="40" s="1"/>
  <c r="S88" i="40"/>
  <c r="T88" i="40" s="1"/>
  <c r="S89" i="40"/>
  <c r="T89" i="40" s="1"/>
  <c r="S90" i="40"/>
  <c r="T90" i="40" s="1"/>
  <c r="S91" i="40"/>
  <c r="T91" i="40" s="1"/>
  <c r="S92" i="40"/>
  <c r="T92" i="40" s="1"/>
  <c r="S93" i="40"/>
  <c r="T93" i="40" s="1"/>
  <c r="S94" i="40"/>
  <c r="T94" i="40" s="1"/>
  <c r="S95" i="40"/>
  <c r="T95" i="40" s="1"/>
  <c r="S96" i="40"/>
  <c r="T96" i="40" s="1"/>
  <c r="S97" i="40"/>
  <c r="T97" i="40" s="1"/>
  <c r="T82" i="40"/>
  <c r="S78" i="40"/>
  <c r="T78" i="40" s="1"/>
  <c r="X79" i="40"/>
  <c r="Y79" i="40" s="1"/>
  <c r="X80" i="40"/>
  <c r="Y80" i="40" s="1"/>
  <c r="X81" i="40"/>
  <c r="Y81" i="40" s="1"/>
  <c r="X82" i="40"/>
  <c r="Y82" i="40" s="1"/>
  <c r="X83" i="40"/>
  <c r="Y83" i="40" s="1"/>
  <c r="X84" i="40"/>
  <c r="Y84" i="40" s="1"/>
  <c r="X85" i="40"/>
  <c r="Y85" i="40" s="1"/>
  <c r="X86" i="40"/>
  <c r="Y86" i="40" s="1"/>
  <c r="X87" i="40"/>
  <c r="Y87" i="40" s="1"/>
  <c r="X88" i="40"/>
  <c r="Y88" i="40" s="1"/>
  <c r="X89" i="40"/>
  <c r="Y89" i="40" s="1"/>
  <c r="X90" i="40"/>
  <c r="Y90" i="40" s="1"/>
  <c r="X91" i="40"/>
  <c r="Y91" i="40" s="1"/>
  <c r="X92" i="40"/>
  <c r="Y92" i="40" s="1"/>
  <c r="X93" i="40"/>
  <c r="Y93" i="40" s="1"/>
  <c r="X94" i="40"/>
  <c r="Y94" i="40" s="1"/>
  <c r="X95" i="40"/>
  <c r="Y95" i="40" s="1"/>
  <c r="X96" i="40"/>
  <c r="Y96" i="40" s="1"/>
  <c r="X97" i="40"/>
  <c r="Y97" i="40" s="1"/>
  <c r="X78" i="40"/>
  <c r="Y78" i="40" s="1"/>
  <c r="U98" i="40"/>
  <c r="B48" i="40"/>
  <c r="J48" i="40" s="1"/>
  <c r="R63" i="40"/>
  <c r="B47" i="40" s="1"/>
  <c r="D47" i="40" s="1"/>
  <c r="B27" i="40"/>
  <c r="B24" i="40"/>
  <c r="J24" i="40" s="1"/>
  <c r="R42" i="40"/>
  <c r="B46" i="40" s="1"/>
  <c r="B42" i="40"/>
  <c r="J42" i="40" s="1"/>
  <c r="B40" i="40"/>
  <c r="J40" i="40" s="1"/>
  <c r="B38" i="40"/>
  <c r="J38" i="40" s="1"/>
  <c r="B43" i="40"/>
  <c r="B35" i="40"/>
  <c r="B34" i="40"/>
  <c r="J34" i="40" s="1"/>
  <c r="B32" i="40"/>
  <c r="J32" i="40" s="1"/>
  <c r="B30" i="40"/>
  <c r="J30" i="40" s="1"/>
  <c r="B26" i="40"/>
  <c r="J26" i="40" s="1"/>
  <c r="B22" i="40"/>
  <c r="J22" i="40" s="1"/>
  <c r="B19" i="40"/>
  <c r="B18" i="40"/>
  <c r="J18" i="40" s="1"/>
  <c r="B16" i="40"/>
  <c r="J16" i="40" s="1"/>
  <c r="B14" i="40"/>
  <c r="J14" i="40" s="1"/>
  <c r="F61" i="114" l="1"/>
  <c r="L50" i="114"/>
  <c r="F61" i="111"/>
  <c r="L56" i="130"/>
  <c r="B27" i="143"/>
  <c r="C27" i="143"/>
  <c r="H27" i="143" s="1"/>
  <c r="L49" i="123"/>
  <c r="B22" i="143"/>
  <c r="C18" i="143"/>
  <c r="H18" i="143" s="1"/>
  <c r="D61" i="118"/>
  <c r="B18" i="143"/>
  <c r="G18" i="143" s="1"/>
  <c r="L56" i="117"/>
  <c r="D61" i="116"/>
  <c r="G51" i="116"/>
  <c r="L51" i="116" s="1"/>
  <c r="L50" i="116"/>
  <c r="F61" i="110"/>
  <c r="L50" i="110"/>
  <c r="B10" i="143"/>
  <c r="G10" i="143" s="1"/>
  <c r="D61" i="138"/>
  <c r="F61" i="138"/>
  <c r="G51" i="138"/>
  <c r="L51" i="138" s="1"/>
  <c r="C36" i="143"/>
  <c r="H36" i="143" s="1"/>
  <c r="F61" i="136"/>
  <c r="L56" i="135"/>
  <c r="D61" i="132"/>
  <c r="L51" i="127"/>
  <c r="B26" i="143"/>
  <c r="G26" i="143" s="1"/>
  <c r="B25" i="143"/>
  <c r="G25" i="143" s="1"/>
  <c r="D61" i="125"/>
  <c r="G50" i="125"/>
  <c r="L50" i="125" s="1"/>
  <c r="D61" i="124"/>
  <c r="G51" i="124"/>
  <c r="L51" i="124" s="1"/>
  <c r="L50" i="124"/>
  <c r="B24" i="143"/>
  <c r="G24" i="143" s="1"/>
  <c r="G51" i="122"/>
  <c r="L51" i="122" s="1"/>
  <c r="L51" i="112"/>
  <c r="F61" i="121"/>
  <c r="L49" i="120"/>
  <c r="F61" i="118"/>
  <c r="D61" i="119"/>
  <c r="B19" i="143"/>
  <c r="G19" i="143" s="1"/>
  <c r="B17" i="143"/>
  <c r="G17" i="143" s="1"/>
  <c r="B15" i="143"/>
  <c r="D15" i="143" s="1"/>
  <c r="L50" i="113"/>
  <c r="B13" i="143"/>
  <c r="D13" i="143" s="1"/>
  <c r="F61" i="113"/>
  <c r="G51" i="113"/>
  <c r="L51" i="113" s="1"/>
  <c r="L49" i="112"/>
  <c r="B11" i="143"/>
  <c r="G11" i="143" s="1"/>
  <c r="D61" i="111"/>
  <c r="C11" i="143"/>
  <c r="H11" i="143" s="1"/>
  <c r="B10" i="140"/>
  <c r="L49" i="136"/>
  <c r="L51" i="136"/>
  <c r="B36" i="141"/>
  <c r="I36" i="141" s="1"/>
  <c r="G50" i="135"/>
  <c r="L50" i="135" s="1"/>
  <c r="D61" i="128"/>
  <c r="F61" i="132"/>
  <c r="G51" i="132"/>
  <c r="C32" i="141" s="1"/>
  <c r="D61" i="131"/>
  <c r="G51" i="131"/>
  <c r="L51" i="131" s="1"/>
  <c r="F61" i="130"/>
  <c r="C29" i="34"/>
  <c r="H29" i="34" s="1"/>
  <c r="L52" i="129"/>
  <c r="D61" i="134"/>
  <c r="G51" i="134"/>
  <c r="C34" i="141" s="1"/>
  <c r="D61" i="133"/>
  <c r="G50" i="133"/>
  <c r="B33" i="141" s="1"/>
  <c r="J71" i="129"/>
  <c r="F61" i="131"/>
  <c r="G51" i="129"/>
  <c r="L51" i="129" s="1"/>
  <c r="F61" i="128"/>
  <c r="L52" i="122"/>
  <c r="L52" i="121"/>
  <c r="C16" i="34"/>
  <c r="H16" i="34" s="1"/>
  <c r="L52" i="116"/>
  <c r="D61" i="126"/>
  <c r="F61" i="126"/>
  <c r="G51" i="126"/>
  <c r="C26" i="141" s="1"/>
  <c r="B26" i="141"/>
  <c r="E26" i="141" s="1"/>
  <c r="C23" i="141"/>
  <c r="F61" i="122"/>
  <c r="D61" i="122"/>
  <c r="L51" i="121"/>
  <c r="L51" i="120"/>
  <c r="D61" i="120"/>
  <c r="L50" i="119"/>
  <c r="J71" i="119"/>
  <c r="G46" i="132"/>
  <c r="B32" i="34" s="1"/>
  <c r="G32" i="34" s="1"/>
  <c r="L52" i="112"/>
  <c r="L53" i="115"/>
  <c r="L50" i="115"/>
  <c r="D61" i="113"/>
  <c r="L47" i="112"/>
  <c r="D61" i="110"/>
  <c r="G51" i="110"/>
  <c r="G50" i="139"/>
  <c r="F61" i="139"/>
  <c r="C38" i="141"/>
  <c r="L52" i="138"/>
  <c r="C28" i="34"/>
  <c r="H28" i="34" s="1"/>
  <c r="L52" i="128"/>
  <c r="C27" i="34"/>
  <c r="H27" i="34" s="1"/>
  <c r="L52" i="127"/>
  <c r="C26" i="34"/>
  <c r="H26" i="34" s="1"/>
  <c r="L52" i="126"/>
  <c r="C25" i="34"/>
  <c r="H25" i="34" s="1"/>
  <c r="L52" i="125"/>
  <c r="C24" i="34"/>
  <c r="H24" i="34" s="1"/>
  <c r="L52" i="124"/>
  <c r="C23" i="34"/>
  <c r="H23" i="34" s="1"/>
  <c r="L52" i="123"/>
  <c r="C22" i="34"/>
  <c r="H22" i="34" s="1"/>
  <c r="C21" i="34"/>
  <c r="H21" i="34" s="1"/>
  <c r="C20" i="34"/>
  <c r="H20" i="34" s="1"/>
  <c r="L52" i="120"/>
  <c r="L52" i="137"/>
  <c r="H69" i="137"/>
  <c r="J71" i="137" s="1"/>
  <c r="B37" i="141"/>
  <c r="E37" i="141" s="1"/>
  <c r="D61" i="135"/>
  <c r="H69" i="135"/>
  <c r="F61" i="135"/>
  <c r="L52" i="134"/>
  <c r="L52" i="133"/>
  <c r="G46" i="133"/>
  <c r="B33" i="34" s="1"/>
  <c r="G33" i="34" s="1"/>
  <c r="L52" i="131"/>
  <c r="H69" i="131"/>
  <c r="J71" i="131" s="1"/>
  <c r="D61" i="130"/>
  <c r="G50" i="130"/>
  <c r="L50" i="130" s="1"/>
  <c r="L52" i="130"/>
  <c r="H74" i="130"/>
  <c r="D61" i="129"/>
  <c r="F61" i="129"/>
  <c r="G50" i="129"/>
  <c r="L50" i="129" s="1"/>
  <c r="G46" i="129"/>
  <c r="B29" i="34" s="1"/>
  <c r="G29" i="34" s="1"/>
  <c r="L50" i="128"/>
  <c r="C28" i="141"/>
  <c r="G46" i="128"/>
  <c r="L50" i="127"/>
  <c r="G46" i="127"/>
  <c r="L46" i="127" s="1"/>
  <c r="G46" i="126"/>
  <c r="C18" i="34"/>
  <c r="H18" i="34" s="1"/>
  <c r="L52" i="118"/>
  <c r="C15" i="34"/>
  <c r="H15" i="34" s="1"/>
  <c r="L52" i="115"/>
  <c r="C13" i="34"/>
  <c r="H13" i="34" s="1"/>
  <c r="L52" i="113"/>
  <c r="C12" i="34"/>
  <c r="H12" i="34" s="1"/>
  <c r="G46" i="130"/>
  <c r="B30" i="34" s="1"/>
  <c r="D30" i="34" s="1"/>
  <c r="G46" i="131"/>
  <c r="B31" i="34" s="1"/>
  <c r="D31" i="34" s="1"/>
  <c r="B25" i="141"/>
  <c r="I25" i="141" s="1"/>
  <c r="C24" i="141"/>
  <c r="H74" i="124"/>
  <c r="B23" i="141"/>
  <c r="E23" i="141" s="1"/>
  <c r="G46" i="123"/>
  <c r="G46" i="122"/>
  <c r="B21" i="141"/>
  <c r="E21" i="141" s="1"/>
  <c r="G46" i="121"/>
  <c r="L46" i="121" s="1"/>
  <c r="F61" i="120"/>
  <c r="G50" i="120"/>
  <c r="L50" i="120" s="1"/>
  <c r="G46" i="120"/>
  <c r="C19" i="141"/>
  <c r="G46" i="119"/>
  <c r="B19" i="34" s="1"/>
  <c r="G19" i="34" s="1"/>
  <c r="L52" i="119"/>
  <c r="B18" i="141"/>
  <c r="E18" i="141" s="1"/>
  <c r="G46" i="118"/>
  <c r="B17" i="141"/>
  <c r="I17" i="141" s="1"/>
  <c r="C17" i="141"/>
  <c r="F61" i="117"/>
  <c r="D61" i="117"/>
  <c r="G46" i="117"/>
  <c r="B17" i="34" s="1"/>
  <c r="D17" i="34" s="1"/>
  <c r="C16" i="141"/>
  <c r="G46" i="116"/>
  <c r="G46" i="115"/>
  <c r="G46" i="114"/>
  <c r="B14" i="34" s="1"/>
  <c r="D14" i="34" s="1"/>
  <c r="L52" i="114"/>
  <c r="G46" i="113"/>
  <c r="B12" i="141"/>
  <c r="I12" i="141" s="1"/>
  <c r="G46" i="112"/>
  <c r="L46" i="112" s="1"/>
  <c r="L47" i="111"/>
  <c r="C11" i="141"/>
  <c r="B11" i="141"/>
  <c r="E11" i="141" s="1"/>
  <c r="L52" i="111"/>
  <c r="G46" i="111"/>
  <c r="B11" i="34" s="1"/>
  <c r="G11" i="34" s="1"/>
  <c r="L52" i="110"/>
  <c r="G46" i="110"/>
  <c r="B10" i="34" s="1"/>
  <c r="D10" i="34" s="1"/>
  <c r="J35" i="40"/>
  <c r="F8" i="109"/>
  <c r="E39" i="109" s="1"/>
  <c r="B58" i="40"/>
  <c r="J58" i="40" s="1"/>
  <c r="G20" i="140"/>
  <c r="D20" i="140"/>
  <c r="G20" i="142"/>
  <c r="D20" i="142"/>
  <c r="G20" i="143"/>
  <c r="D20" i="143"/>
  <c r="G19" i="140"/>
  <c r="D19" i="140"/>
  <c r="G19" i="142"/>
  <c r="D19" i="142"/>
  <c r="I19" i="141"/>
  <c r="E19" i="141"/>
  <c r="G18" i="140"/>
  <c r="D18" i="140"/>
  <c r="G18" i="142"/>
  <c r="D18" i="142"/>
  <c r="G17" i="140"/>
  <c r="D17" i="140"/>
  <c r="G17" i="142"/>
  <c r="D17" i="142"/>
  <c r="G16" i="140"/>
  <c r="D16" i="140"/>
  <c r="G16" i="142"/>
  <c r="D16" i="142"/>
  <c r="G16" i="143"/>
  <c r="D16" i="143"/>
  <c r="I16" i="141"/>
  <c r="E16" i="141"/>
  <c r="G15" i="140"/>
  <c r="D15" i="140"/>
  <c r="G15" i="142"/>
  <c r="D15" i="142"/>
  <c r="G15" i="143"/>
  <c r="I15" i="141"/>
  <c r="E15" i="141"/>
  <c r="G14" i="140"/>
  <c r="D14" i="140"/>
  <c r="G14" i="142"/>
  <c r="D14" i="142"/>
  <c r="G14" i="143"/>
  <c r="D14" i="143"/>
  <c r="I14" i="141"/>
  <c r="E14" i="141"/>
  <c r="G13" i="140"/>
  <c r="D13" i="140"/>
  <c r="G13" i="142"/>
  <c r="D13" i="142"/>
  <c r="I13" i="141"/>
  <c r="E13" i="141"/>
  <c r="G12" i="140"/>
  <c r="D12" i="140"/>
  <c r="G12" i="142"/>
  <c r="D12" i="142"/>
  <c r="G12" i="143"/>
  <c r="D12" i="143"/>
  <c r="G11" i="140"/>
  <c r="D11" i="140"/>
  <c r="G11" i="142"/>
  <c r="D11" i="142"/>
  <c r="G10" i="140"/>
  <c r="D10" i="140"/>
  <c r="G10" i="142"/>
  <c r="D10" i="142"/>
  <c r="I10" i="141"/>
  <c r="E10" i="141"/>
  <c r="G39" i="140"/>
  <c r="D39" i="140"/>
  <c r="G39" i="142"/>
  <c r="D39" i="142"/>
  <c r="G39" i="143"/>
  <c r="D39" i="143"/>
  <c r="G38" i="140"/>
  <c r="D38" i="140"/>
  <c r="G38" i="142"/>
  <c r="D38" i="142"/>
  <c r="G38" i="143"/>
  <c r="D38" i="143"/>
  <c r="I38" i="141"/>
  <c r="E38" i="141"/>
  <c r="G37" i="140"/>
  <c r="D37" i="140"/>
  <c r="G37" i="142"/>
  <c r="D37" i="142"/>
  <c r="G37" i="143"/>
  <c r="D37" i="143"/>
  <c r="I37" i="141"/>
  <c r="G36" i="140"/>
  <c r="D36" i="140"/>
  <c r="G36" i="142"/>
  <c r="D36" i="142"/>
  <c r="G36" i="143"/>
  <c r="D36" i="143"/>
  <c r="L47" i="135"/>
  <c r="B35" i="140"/>
  <c r="L49" i="135"/>
  <c r="B35" i="143"/>
  <c r="L51" i="135"/>
  <c r="C35" i="141"/>
  <c r="L48" i="134"/>
  <c r="B34" i="142"/>
  <c r="L50" i="134"/>
  <c r="B34" i="141"/>
  <c r="L47" i="133"/>
  <c r="B33" i="140"/>
  <c r="L49" i="133"/>
  <c r="B33" i="143"/>
  <c r="L51" i="133"/>
  <c r="C33" i="141"/>
  <c r="L48" i="132"/>
  <c r="B32" i="142"/>
  <c r="L50" i="132"/>
  <c r="B32" i="141"/>
  <c r="L47" i="131"/>
  <c r="B31" i="140"/>
  <c r="L49" i="131"/>
  <c r="B31" i="143"/>
  <c r="L48" i="130"/>
  <c r="B30" i="142"/>
  <c r="L47" i="129"/>
  <c r="B29" i="140"/>
  <c r="L49" i="129"/>
  <c r="B29" i="143"/>
  <c r="G28" i="140"/>
  <c r="D28" i="140"/>
  <c r="G28" i="142"/>
  <c r="D28" i="142"/>
  <c r="G28" i="143"/>
  <c r="D28" i="143"/>
  <c r="I28" i="141"/>
  <c r="E28" i="141"/>
  <c r="G27" i="140"/>
  <c r="D27" i="140"/>
  <c r="G27" i="142"/>
  <c r="D27" i="142"/>
  <c r="G27" i="143"/>
  <c r="I27" i="141"/>
  <c r="E27" i="141"/>
  <c r="G26" i="140"/>
  <c r="D26" i="140"/>
  <c r="G26" i="142"/>
  <c r="D26" i="142"/>
  <c r="I26" i="141"/>
  <c r="G25" i="140"/>
  <c r="D25" i="140"/>
  <c r="G25" i="142"/>
  <c r="D25" i="142"/>
  <c r="G24" i="140"/>
  <c r="D24" i="140"/>
  <c r="G24" i="142"/>
  <c r="D24" i="142"/>
  <c r="I24" i="141"/>
  <c r="E24" i="141"/>
  <c r="G23" i="140"/>
  <c r="D23" i="140"/>
  <c r="G23" i="142"/>
  <c r="D23" i="142"/>
  <c r="G23" i="143"/>
  <c r="D23" i="143"/>
  <c r="G22" i="140"/>
  <c r="D22" i="140"/>
  <c r="G22" i="142"/>
  <c r="D22" i="142"/>
  <c r="G22" i="143"/>
  <c r="D22" i="143"/>
  <c r="I22" i="141"/>
  <c r="E22" i="141"/>
  <c r="G21" i="140"/>
  <c r="D21" i="140"/>
  <c r="G21" i="142"/>
  <c r="D21" i="142"/>
  <c r="G21" i="143"/>
  <c r="D21" i="143"/>
  <c r="I21" i="141"/>
  <c r="J43" i="40"/>
  <c r="H8" i="109"/>
  <c r="J27" i="40"/>
  <c r="D8" i="109"/>
  <c r="D39" i="109" s="1"/>
  <c r="L49" i="40"/>
  <c r="B9" i="143"/>
  <c r="G10" i="34"/>
  <c r="G14" i="34"/>
  <c r="G46" i="124"/>
  <c r="G46" i="125"/>
  <c r="D33" i="34"/>
  <c r="G46" i="134"/>
  <c r="B34" i="34" s="1"/>
  <c r="G46" i="135"/>
  <c r="B35" i="34" s="1"/>
  <c r="G46" i="136"/>
  <c r="B36" i="34" s="1"/>
  <c r="G46" i="137"/>
  <c r="B37" i="34" s="1"/>
  <c r="G46" i="138"/>
  <c r="B38" i="34" s="1"/>
  <c r="G46" i="139"/>
  <c r="B39" i="34" s="1"/>
  <c r="L52" i="139"/>
  <c r="L48" i="135"/>
  <c r="B35" i="142"/>
  <c r="L47" i="134"/>
  <c r="B34" i="140"/>
  <c r="L49" i="134"/>
  <c r="B34" i="143"/>
  <c r="L48" i="133"/>
  <c r="B33" i="142"/>
  <c r="L47" i="132"/>
  <c r="B32" i="140"/>
  <c r="L49" i="132"/>
  <c r="B32" i="143"/>
  <c r="L51" i="132"/>
  <c r="L48" i="131"/>
  <c r="B31" i="142"/>
  <c r="L50" i="131"/>
  <c r="B31" i="141"/>
  <c r="L47" i="130"/>
  <c r="B30" i="140"/>
  <c r="L49" i="130"/>
  <c r="B30" i="143"/>
  <c r="L51" i="130"/>
  <c r="C30" i="141"/>
  <c r="L48" i="129"/>
  <c r="B29" i="142"/>
  <c r="J19" i="40"/>
  <c r="B8" i="109"/>
  <c r="B39" i="109" s="1"/>
  <c r="AC98" i="139"/>
  <c r="AA75" i="139"/>
  <c r="AA69" i="139"/>
  <c r="AA63" i="139"/>
  <c r="AA42" i="139"/>
  <c r="H74" i="139"/>
  <c r="J71" i="139"/>
  <c r="AC98" i="138"/>
  <c r="AA75" i="138"/>
  <c r="AA69" i="138"/>
  <c r="AA63" i="138"/>
  <c r="AA42" i="138"/>
  <c r="H74" i="138"/>
  <c r="J71" i="138"/>
  <c r="AC98" i="137"/>
  <c r="AA75" i="137"/>
  <c r="AA69" i="137"/>
  <c r="AA63" i="137"/>
  <c r="AA42" i="137"/>
  <c r="H74" i="137"/>
  <c r="AC98" i="136"/>
  <c r="AA75" i="136"/>
  <c r="AA69" i="136"/>
  <c r="AA63" i="136"/>
  <c r="AA42" i="136"/>
  <c r="L46" i="136"/>
  <c r="H74" i="136"/>
  <c r="J71" i="136"/>
  <c r="AC98" i="135"/>
  <c r="AA75" i="135"/>
  <c r="AA69" i="135"/>
  <c r="AA63" i="135"/>
  <c r="AA42" i="135"/>
  <c r="H74" i="135"/>
  <c r="J71" i="135"/>
  <c r="AC98" i="134"/>
  <c r="AA75" i="134"/>
  <c r="AA69" i="134"/>
  <c r="AA63" i="134"/>
  <c r="AA42" i="134"/>
  <c r="H74" i="134"/>
  <c r="J71" i="134"/>
  <c r="AC98" i="133"/>
  <c r="AA75" i="133"/>
  <c r="AA69" i="133"/>
  <c r="AA63" i="133"/>
  <c r="AA42" i="133"/>
  <c r="H74" i="133"/>
  <c r="J71" i="133"/>
  <c r="AC98" i="132"/>
  <c r="AA75" i="132"/>
  <c r="AA69" i="132"/>
  <c r="AA63" i="132"/>
  <c r="AA42" i="132"/>
  <c r="H74" i="132"/>
  <c r="J71" i="132"/>
  <c r="AC98" i="131"/>
  <c r="AA75" i="131"/>
  <c r="AA69" i="131"/>
  <c r="AA63" i="131"/>
  <c r="AA42" i="131"/>
  <c r="AC98" i="130"/>
  <c r="AA75" i="130"/>
  <c r="AA69" i="130"/>
  <c r="AA63" i="130"/>
  <c r="AA42" i="130"/>
  <c r="AC98" i="129"/>
  <c r="AA75" i="129"/>
  <c r="AA69" i="129"/>
  <c r="AA63" i="129"/>
  <c r="AA42" i="129"/>
  <c r="H74" i="129"/>
  <c r="AC98" i="128"/>
  <c r="AA75" i="128"/>
  <c r="AA69" i="128"/>
  <c r="AA63" i="128"/>
  <c r="AA42" i="128"/>
  <c r="H74" i="128"/>
  <c r="J71" i="128"/>
  <c r="AC98" i="127"/>
  <c r="AA75" i="127"/>
  <c r="AA69" i="127"/>
  <c r="AA63" i="127"/>
  <c r="AA42" i="127"/>
  <c r="H74" i="127"/>
  <c r="J71" i="127"/>
  <c r="AC98" i="126"/>
  <c r="AA75" i="126"/>
  <c r="AA69" i="126"/>
  <c r="AA63" i="126"/>
  <c r="AA42" i="126"/>
  <c r="H74" i="126"/>
  <c r="J71" i="126"/>
  <c r="AC98" i="125"/>
  <c r="AA75" i="125"/>
  <c r="AA69" i="125"/>
  <c r="AA63" i="125"/>
  <c r="AA42" i="125"/>
  <c r="H74" i="125"/>
  <c r="J71" i="125"/>
  <c r="AC98" i="124"/>
  <c r="AA75" i="124"/>
  <c r="AA69" i="124"/>
  <c r="AA63" i="124"/>
  <c r="AA42" i="124"/>
  <c r="G61" i="124"/>
  <c r="L61" i="124" s="1"/>
  <c r="AC98" i="123"/>
  <c r="AA75" i="123"/>
  <c r="AA69" i="123"/>
  <c r="AA63" i="123"/>
  <c r="AA42" i="123"/>
  <c r="H74" i="123"/>
  <c r="J71" i="123"/>
  <c r="AC98" i="122"/>
  <c r="AA75" i="122"/>
  <c r="AA69" i="122"/>
  <c r="AA63" i="122"/>
  <c r="AA42" i="122"/>
  <c r="H74" i="122"/>
  <c r="J71" i="122"/>
  <c r="AC98" i="121"/>
  <c r="AA75" i="121"/>
  <c r="AA69" i="121"/>
  <c r="AA63" i="121"/>
  <c r="AA42" i="121"/>
  <c r="H74" i="121"/>
  <c r="J71" i="121"/>
  <c r="AC98" i="120"/>
  <c r="AA75" i="120"/>
  <c r="AA69" i="120"/>
  <c r="AA63" i="120"/>
  <c r="AA42" i="120"/>
  <c r="H74" i="120"/>
  <c r="J71" i="120"/>
  <c r="AC98" i="119"/>
  <c r="AA75" i="119"/>
  <c r="AA69" i="119"/>
  <c r="AA63" i="119"/>
  <c r="AA42" i="119"/>
  <c r="H74" i="119"/>
  <c r="AC98" i="118"/>
  <c r="AA75" i="118"/>
  <c r="AA69" i="118"/>
  <c r="AA63" i="118"/>
  <c r="AA42" i="118"/>
  <c r="H74" i="118"/>
  <c r="J71" i="118"/>
  <c r="AC98" i="117"/>
  <c r="AA75" i="117"/>
  <c r="AA69" i="117"/>
  <c r="AA63" i="117"/>
  <c r="AA42" i="117"/>
  <c r="H74" i="117"/>
  <c r="J71" i="117"/>
  <c r="AC98" i="116"/>
  <c r="AA75" i="116"/>
  <c r="AA69" i="116"/>
  <c r="AA63" i="116"/>
  <c r="AA42" i="116"/>
  <c r="H74" i="116"/>
  <c r="J71" i="116"/>
  <c r="AC98" i="115"/>
  <c r="AA75" i="115"/>
  <c r="AA69" i="115"/>
  <c r="AA63" i="115"/>
  <c r="AA42" i="115"/>
  <c r="H74" i="115"/>
  <c r="J71" i="115"/>
  <c r="AC98" i="114"/>
  <c r="AA75" i="114"/>
  <c r="AA69" i="114"/>
  <c r="AA63" i="114"/>
  <c r="AA42" i="114"/>
  <c r="H74" i="114"/>
  <c r="J71" i="114"/>
  <c r="AC98" i="113"/>
  <c r="AA75" i="113"/>
  <c r="AA69" i="113"/>
  <c r="AA63" i="113"/>
  <c r="AA42" i="113"/>
  <c r="H74" i="113"/>
  <c r="J71" i="113"/>
  <c r="AC98" i="112"/>
  <c r="AA75" i="112"/>
  <c r="AA69" i="112"/>
  <c r="AA63" i="112"/>
  <c r="AA42" i="112"/>
  <c r="H74" i="112"/>
  <c r="J71" i="112"/>
  <c r="AC98" i="111"/>
  <c r="AA75" i="111"/>
  <c r="AA69" i="111"/>
  <c r="AA63" i="111"/>
  <c r="AA42" i="111"/>
  <c r="H74" i="111"/>
  <c r="J71" i="111"/>
  <c r="AC98" i="110"/>
  <c r="AA75" i="110"/>
  <c r="AA69" i="110"/>
  <c r="AA63" i="110"/>
  <c r="AA42" i="110"/>
  <c r="H74" i="110"/>
  <c r="J71" i="110"/>
  <c r="J46" i="40"/>
  <c r="AB79" i="40"/>
  <c r="AB80" i="40"/>
  <c r="AB81" i="40"/>
  <c r="AB82" i="40"/>
  <c r="AB83" i="40"/>
  <c r="AB84" i="40"/>
  <c r="AB85" i="40"/>
  <c r="AB86" i="40"/>
  <c r="AB87" i="40"/>
  <c r="AB88" i="40"/>
  <c r="AB89" i="40"/>
  <c r="AB90" i="40"/>
  <c r="AB91" i="40"/>
  <c r="AB92" i="40"/>
  <c r="AB93" i="40"/>
  <c r="AB94" i="40"/>
  <c r="AB95" i="40"/>
  <c r="AB96" i="40"/>
  <c r="AB97" i="40"/>
  <c r="AB78" i="40"/>
  <c r="AA78" i="40"/>
  <c r="AC78" i="40" s="1"/>
  <c r="U74" i="40"/>
  <c r="U73" i="40"/>
  <c r="U72" i="40"/>
  <c r="U71" i="40"/>
  <c r="U70" i="40"/>
  <c r="W74" i="40"/>
  <c r="Z74" i="40" s="1"/>
  <c r="V74" i="40"/>
  <c r="Y74" i="40" s="1"/>
  <c r="W73" i="40"/>
  <c r="Z73" i="40" s="1"/>
  <c r="V73" i="40"/>
  <c r="Y73" i="40" s="1"/>
  <c r="W72" i="40"/>
  <c r="Z72" i="40" s="1"/>
  <c r="V72" i="40"/>
  <c r="Y72" i="40" s="1"/>
  <c r="W71" i="40"/>
  <c r="Z71" i="40" s="1"/>
  <c r="V71" i="40"/>
  <c r="Y71" i="40" s="1"/>
  <c r="W70" i="40"/>
  <c r="V70" i="40"/>
  <c r="X74" i="40"/>
  <c r="X73" i="40"/>
  <c r="X72" i="40"/>
  <c r="X71" i="40"/>
  <c r="X70" i="40"/>
  <c r="AA79" i="40"/>
  <c r="AC79" i="40" s="1"/>
  <c r="AA80" i="40"/>
  <c r="AA81" i="40"/>
  <c r="AC81" i="40" s="1"/>
  <c r="AA82" i="40"/>
  <c r="AA83" i="40"/>
  <c r="AC83" i="40" s="1"/>
  <c r="AA84" i="40"/>
  <c r="AA85" i="40"/>
  <c r="AC85" i="40" s="1"/>
  <c r="AA86" i="40"/>
  <c r="AA87" i="40"/>
  <c r="AC87" i="40" s="1"/>
  <c r="AA88" i="40"/>
  <c r="AA89" i="40"/>
  <c r="AC89" i="40" s="1"/>
  <c r="AA90" i="40"/>
  <c r="AA91" i="40"/>
  <c r="AC91" i="40" s="1"/>
  <c r="AA92" i="40"/>
  <c r="AA93" i="40"/>
  <c r="AC93" i="40" s="1"/>
  <c r="AA94" i="40"/>
  <c r="AA95" i="40"/>
  <c r="AC95" i="40" s="1"/>
  <c r="AA96" i="40"/>
  <c r="AA97" i="40"/>
  <c r="AC97" i="40" s="1"/>
  <c r="U12" i="40"/>
  <c r="U65" i="40"/>
  <c r="U66" i="40"/>
  <c r="U67" i="40"/>
  <c r="U68" i="40"/>
  <c r="U64" i="40"/>
  <c r="U44" i="40"/>
  <c r="U45" i="40"/>
  <c r="U46" i="40"/>
  <c r="U47" i="40"/>
  <c r="U48" i="40"/>
  <c r="U49" i="40"/>
  <c r="U50" i="40"/>
  <c r="U51" i="40"/>
  <c r="U52" i="40"/>
  <c r="U53" i="40"/>
  <c r="U54" i="40"/>
  <c r="U55" i="40"/>
  <c r="U56" i="40"/>
  <c r="U57" i="40"/>
  <c r="U58" i="40"/>
  <c r="U59" i="40"/>
  <c r="U60" i="40"/>
  <c r="U61" i="40"/>
  <c r="U62" i="40"/>
  <c r="U43" i="40"/>
  <c r="W12" i="40"/>
  <c r="Z12" i="40" s="1"/>
  <c r="V65" i="40"/>
  <c r="Y65" i="40" s="1"/>
  <c r="W65" i="40"/>
  <c r="Z65" i="40" s="1"/>
  <c r="V66" i="40"/>
  <c r="Y66" i="40" s="1"/>
  <c r="W66" i="40"/>
  <c r="Z66" i="40" s="1"/>
  <c r="V67" i="40"/>
  <c r="Y67" i="40" s="1"/>
  <c r="W67" i="40"/>
  <c r="Z67" i="40" s="1"/>
  <c r="V68" i="40"/>
  <c r="Y68" i="40" s="1"/>
  <c r="W68" i="40"/>
  <c r="Z68" i="40" s="1"/>
  <c r="W64" i="40"/>
  <c r="V64" i="40"/>
  <c r="V44" i="40"/>
  <c r="Y44" i="40" s="1"/>
  <c r="W44" i="40"/>
  <c r="Z44" i="40" s="1"/>
  <c r="V45" i="40"/>
  <c r="Y45" i="40" s="1"/>
  <c r="W45" i="40"/>
  <c r="Z45" i="40" s="1"/>
  <c r="V46" i="40"/>
  <c r="Y46" i="40" s="1"/>
  <c r="W46" i="40"/>
  <c r="Z46" i="40" s="1"/>
  <c r="V47" i="40"/>
  <c r="Y47" i="40" s="1"/>
  <c r="W47" i="40"/>
  <c r="Z47" i="40" s="1"/>
  <c r="V48" i="40"/>
  <c r="Y48" i="40" s="1"/>
  <c r="W48" i="40"/>
  <c r="Z48" i="40" s="1"/>
  <c r="V49" i="40"/>
  <c r="Y49" i="40" s="1"/>
  <c r="W49" i="40"/>
  <c r="Z49" i="40" s="1"/>
  <c r="V50" i="40"/>
  <c r="Y50" i="40" s="1"/>
  <c r="W50" i="40"/>
  <c r="Z50" i="40" s="1"/>
  <c r="V51" i="40"/>
  <c r="Y51" i="40" s="1"/>
  <c r="W51" i="40"/>
  <c r="Z51" i="40" s="1"/>
  <c r="V52" i="40"/>
  <c r="Y52" i="40" s="1"/>
  <c r="W52" i="40"/>
  <c r="Z52" i="40" s="1"/>
  <c r="V53" i="40"/>
  <c r="Y53" i="40" s="1"/>
  <c r="W53" i="40"/>
  <c r="Z53" i="40" s="1"/>
  <c r="V54" i="40"/>
  <c r="Y54" i="40" s="1"/>
  <c r="W54" i="40"/>
  <c r="Z54" i="40" s="1"/>
  <c r="V55" i="40"/>
  <c r="Y55" i="40" s="1"/>
  <c r="W55" i="40"/>
  <c r="Z55" i="40" s="1"/>
  <c r="V56" i="40"/>
  <c r="Y56" i="40" s="1"/>
  <c r="W56" i="40"/>
  <c r="Z56" i="40" s="1"/>
  <c r="V57" i="40"/>
  <c r="Y57" i="40" s="1"/>
  <c r="W57" i="40"/>
  <c r="Z57" i="40" s="1"/>
  <c r="V58" i="40"/>
  <c r="Y58" i="40" s="1"/>
  <c r="W58" i="40"/>
  <c r="Z58" i="40" s="1"/>
  <c r="V59" i="40"/>
  <c r="Y59" i="40" s="1"/>
  <c r="W59" i="40"/>
  <c r="Z59" i="40" s="1"/>
  <c r="V60" i="40"/>
  <c r="Y60" i="40" s="1"/>
  <c r="W60" i="40"/>
  <c r="Z60" i="40" s="1"/>
  <c r="V61" i="40"/>
  <c r="Y61" i="40" s="1"/>
  <c r="W61" i="40"/>
  <c r="Z61" i="40" s="1"/>
  <c r="V62" i="40"/>
  <c r="Y62" i="40" s="1"/>
  <c r="W62" i="40"/>
  <c r="Z62" i="40" s="1"/>
  <c r="W43" i="40"/>
  <c r="Z43" i="40" s="1"/>
  <c r="V43" i="40"/>
  <c r="Y43" i="40" s="1"/>
  <c r="X12" i="40"/>
  <c r="X65" i="40"/>
  <c r="X66" i="40"/>
  <c r="X67" i="40"/>
  <c r="X68" i="40"/>
  <c r="X64" i="40"/>
  <c r="X44" i="40"/>
  <c r="X45" i="40"/>
  <c r="X46" i="40"/>
  <c r="X47" i="40"/>
  <c r="X48" i="40"/>
  <c r="X49" i="40"/>
  <c r="X50" i="40"/>
  <c r="X51" i="40"/>
  <c r="X52" i="40"/>
  <c r="X53" i="40"/>
  <c r="X54" i="40"/>
  <c r="X55" i="40"/>
  <c r="X56" i="40"/>
  <c r="X57" i="40"/>
  <c r="X58" i="40"/>
  <c r="X59" i="40"/>
  <c r="X60" i="40"/>
  <c r="X61" i="40"/>
  <c r="X62" i="40"/>
  <c r="X43" i="40"/>
  <c r="D46" i="40"/>
  <c r="D48" i="40"/>
  <c r="F48" i="40" s="1"/>
  <c r="J47" i="40"/>
  <c r="U13" i="40"/>
  <c r="U14" i="40"/>
  <c r="U15" i="40"/>
  <c r="U16" i="40"/>
  <c r="U17" i="40"/>
  <c r="U18" i="40"/>
  <c r="U19" i="40"/>
  <c r="U20" i="40"/>
  <c r="U21" i="40"/>
  <c r="U22" i="40"/>
  <c r="U23" i="40"/>
  <c r="U24" i="40"/>
  <c r="U25" i="40"/>
  <c r="U26" i="40"/>
  <c r="U27" i="40"/>
  <c r="U29" i="40"/>
  <c r="U30" i="40"/>
  <c r="U31" i="40"/>
  <c r="U32" i="40"/>
  <c r="U33" i="40"/>
  <c r="U34" i="40"/>
  <c r="U35" i="40"/>
  <c r="U36" i="40"/>
  <c r="U37" i="40"/>
  <c r="U41" i="40"/>
  <c r="U40" i="40"/>
  <c r="U39" i="40"/>
  <c r="U38" i="40"/>
  <c r="V12" i="40"/>
  <c r="Y12" i="40" s="1"/>
  <c r="V41" i="40"/>
  <c r="Y41" i="40" s="1"/>
  <c r="V40" i="40"/>
  <c r="Y40" i="40" s="1"/>
  <c r="V39" i="40"/>
  <c r="Y39" i="40" s="1"/>
  <c r="V38" i="40"/>
  <c r="Y38" i="40" s="1"/>
  <c r="V37" i="40"/>
  <c r="Y37" i="40" s="1"/>
  <c r="V36" i="40"/>
  <c r="Y36" i="40" s="1"/>
  <c r="V35" i="40"/>
  <c r="Y35" i="40" s="1"/>
  <c r="V34" i="40"/>
  <c r="Y34" i="40" s="1"/>
  <c r="V33" i="40"/>
  <c r="Y33" i="40" s="1"/>
  <c r="V32" i="40"/>
  <c r="Y32" i="40" s="1"/>
  <c r="V31" i="40"/>
  <c r="Y31" i="40" s="1"/>
  <c r="V30" i="40"/>
  <c r="Y30" i="40" s="1"/>
  <c r="V29" i="40"/>
  <c r="Y29" i="40" s="1"/>
  <c r="V28" i="40"/>
  <c r="Y28" i="40" s="1"/>
  <c r="V27" i="40"/>
  <c r="Y27" i="40" s="1"/>
  <c r="V26" i="40"/>
  <c r="Y26" i="40" s="1"/>
  <c r="V25" i="40"/>
  <c r="Y25" i="40" s="1"/>
  <c r="V24" i="40"/>
  <c r="Y24" i="40" s="1"/>
  <c r="V23" i="40"/>
  <c r="Y23" i="40" s="1"/>
  <c r="V22" i="40"/>
  <c r="Y22" i="40" s="1"/>
  <c r="V21" i="40"/>
  <c r="Y21" i="40" s="1"/>
  <c r="V20" i="40"/>
  <c r="Y20" i="40" s="1"/>
  <c r="V19" i="40"/>
  <c r="Y19" i="40" s="1"/>
  <c r="V18" i="40"/>
  <c r="Y18" i="40" s="1"/>
  <c r="V17" i="40"/>
  <c r="Y17" i="40" s="1"/>
  <c r="V16" i="40"/>
  <c r="Y16" i="40" s="1"/>
  <c r="V15" i="40"/>
  <c r="Y15" i="40" s="1"/>
  <c r="V14" i="40"/>
  <c r="Y14" i="40" s="1"/>
  <c r="V13" i="40"/>
  <c r="Y13" i="40" s="1"/>
  <c r="W41" i="40"/>
  <c r="Z41" i="40" s="1"/>
  <c r="W40" i="40"/>
  <c r="Z40" i="40" s="1"/>
  <c r="W39" i="40"/>
  <c r="Z39" i="40" s="1"/>
  <c r="W38" i="40"/>
  <c r="Z38" i="40" s="1"/>
  <c r="W37" i="40"/>
  <c r="Z37" i="40" s="1"/>
  <c r="W36" i="40"/>
  <c r="Z36" i="40" s="1"/>
  <c r="W35" i="40"/>
  <c r="Z35" i="40" s="1"/>
  <c r="W34" i="40"/>
  <c r="Z34" i="40" s="1"/>
  <c r="W33" i="40"/>
  <c r="Z33" i="40" s="1"/>
  <c r="W32" i="40"/>
  <c r="Z32" i="40" s="1"/>
  <c r="W31" i="40"/>
  <c r="Z31" i="40" s="1"/>
  <c r="W30" i="40"/>
  <c r="Z30" i="40" s="1"/>
  <c r="W29" i="40"/>
  <c r="Z29" i="40" s="1"/>
  <c r="W28" i="40"/>
  <c r="Z28" i="40" s="1"/>
  <c r="W27" i="40"/>
  <c r="Z27" i="40" s="1"/>
  <c r="W26" i="40"/>
  <c r="Z26" i="40" s="1"/>
  <c r="W25" i="40"/>
  <c r="Z25" i="40" s="1"/>
  <c r="W24" i="40"/>
  <c r="Z24" i="40" s="1"/>
  <c r="W23" i="40"/>
  <c r="Z23" i="40" s="1"/>
  <c r="W22" i="40"/>
  <c r="Z22" i="40" s="1"/>
  <c r="W21" i="40"/>
  <c r="Z21" i="40" s="1"/>
  <c r="W20" i="40"/>
  <c r="Z20" i="40" s="1"/>
  <c r="W19" i="40"/>
  <c r="Z19" i="40" s="1"/>
  <c r="W18" i="40"/>
  <c r="Z18" i="40" s="1"/>
  <c r="W17" i="40"/>
  <c r="Z17" i="40" s="1"/>
  <c r="W16" i="40"/>
  <c r="Z16" i="40" s="1"/>
  <c r="W15" i="40"/>
  <c r="Z15" i="40" s="1"/>
  <c r="W14" i="40"/>
  <c r="Z14" i="40" s="1"/>
  <c r="W13" i="40"/>
  <c r="Z13" i="40" s="1"/>
  <c r="X13" i="40"/>
  <c r="X14" i="40"/>
  <c r="X15" i="40"/>
  <c r="X16" i="40"/>
  <c r="X17" i="40"/>
  <c r="X18" i="40"/>
  <c r="X19" i="40"/>
  <c r="X20" i="40"/>
  <c r="X21" i="40"/>
  <c r="X22" i="40"/>
  <c r="X23" i="40"/>
  <c r="X41" i="40"/>
  <c r="X40" i="40"/>
  <c r="X39" i="40"/>
  <c r="X38" i="40"/>
  <c r="X37" i="40"/>
  <c r="X36" i="40"/>
  <c r="X35" i="40"/>
  <c r="X34" i="40"/>
  <c r="X33" i="40"/>
  <c r="X32" i="40"/>
  <c r="X31" i="40"/>
  <c r="X30" i="40"/>
  <c r="X29" i="40"/>
  <c r="X27" i="40"/>
  <c r="X26" i="40"/>
  <c r="X25" i="40"/>
  <c r="X24" i="40"/>
  <c r="F47" i="40"/>
  <c r="G47" i="40" s="1"/>
  <c r="F55" i="40"/>
  <c r="J55" i="40"/>
  <c r="J53" i="40"/>
  <c r="D57" i="40"/>
  <c r="F57" i="40" s="1"/>
  <c r="G48" i="40"/>
  <c r="F54" i="40"/>
  <c r="J54" i="40"/>
  <c r="B50" i="40"/>
  <c r="Y98" i="40"/>
  <c r="S98" i="40"/>
  <c r="X98" i="40"/>
  <c r="B51" i="40"/>
  <c r="T98" i="40"/>
  <c r="G86" i="40" s="1"/>
  <c r="H81" i="40" s="1"/>
  <c r="B28" i="40"/>
  <c r="B36" i="40"/>
  <c r="B20" i="40"/>
  <c r="C8" i="109" s="1"/>
  <c r="B44" i="40"/>
  <c r="D60" i="40"/>
  <c r="F60" i="40" s="1"/>
  <c r="G60" i="40" s="1"/>
  <c r="L60" i="40" s="1"/>
  <c r="H60" i="40"/>
  <c r="H57" i="40"/>
  <c r="D58" i="40"/>
  <c r="F58" i="40" s="1"/>
  <c r="H58" i="40"/>
  <c r="H47" i="40"/>
  <c r="H48" i="40"/>
  <c r="H50" i="40"/>
  <c r="H49" i="40"/>
  <c r="H62" i="40"/>
  <c r="D53" i="40"/>
  <c r="G53" i="40" s="1"/>
  <c r="H53" i="40"/>
  <c r="D54" i="40"/>
  <c r="H54" i="40"/>
  <c r="H52" i="40"/>
  <c r="D55" i="40"/>
  <c r="H55" i="40"/>
  <c r="D56" i="40"/>
  <c r="G56" i="40" s="1"/>
  <c r="H56" i="40"/>
  <c r="H61" i="40"/>
  <c r="B70" i="40"/>
  <c r="E11" i="75"/>
  <c r="E12" i="75"/>
  <c r="E13" i="75"/>
  <c r="E14" i="75"/>
  <c r="E15" i="75"/>
  <c r="E16" i="75"/>
  <c r="E17" i="75"/>
  <c r="E18" i="75"/>
  <c r="E21" i="75"/>
  <c r="E22" i="75"/>
  <c r="E23" i="75"/>
  <c r="E26" i="75"/>
  <c r="E29" i="75"/>
  <c r="E30" i="75"/>
  <c r="E31" i="75"/>
  <c r="E32" i="75"/>
  <c r="E36" i="75"/>
  <c r="E38" i="75"/>
  <c r="D39" i="75"/>
  <c r="B8" i="77"/>
  <c r="C8" i="77"/>
  <c r="C39" i="77" s="1"/>
  <c r="B44" i="77"/>
  <c r="C44" i="77"/>
  <c r="D27" i="143" l="1"/>
  <c r="D25" i="143"/>
  <c r="D24" i="143"/>
  <c r="I18" i="141"/>
  <c r="D18" i="143"/>
  <c r="D11" i="143"/>
  <c r="C13" i="141"/>
  <c r="G13" i="143"/>
  <c r="G61" i="112"/>
  <c r="L61" i="112" s="1"/>
  <c r="D10" i="143"/>
  <c r="G74" i="136"/>
  <c r="L46" i="135"/>
  <c r="I71" i="135"/>
  <c r="L50" i="133"/>
  <c r="I71" i="131"/>
  <c r="G31" i="34"/>
  <c r="G61" i="132"/>
  <c r="L61" i="132" s="1"/>
  <c r="D32" i="34"/>
  <c r="L46" i="132"/>
  <c r="D26" i="143"/>
  <c r="C22" i="141"/>
  <c r="D19" i="143"/>
  <c r="D17" i="143"/>
  <c r="E36" i="141"/>
  <c r="G61" i="135"/>
  <c r="L61" i="135" s="1"/>
  <c r="B35" i="141"/>
  <c r="I35" i="141" s="1"/>
  <c r="L51" i="134"/>
  <c r="C31" i="141"/>
  <c r="C29" i="141"/>
  <c r="G61" i="134"/>
  <c r="L61" i="134" s="1"/>
  <c r="L46" i="134"/>
  <c r="I71" i="134"/>
  <c r="G61" i="133"/>
  <c r="L61" i="133" s="1"/>
  <c r="H74" i="131"/>
  <c r="L46" i="131"/>
  <c r="G30" i="34"/>
  <c r="B29" i="141"/>
  <c r="I29" i="141" s="1"/>
  <c r="B16" i="34"/>
  <c r="G16" i="34" s="1"/>
  <c r="L46" i="116"/>
  <c r="G61" i="126"/>
  <c r="L61" i="126" s="1"/>
  <c r="L51" i="126"/>
  <c r="E25" i="141"/>
  <c r="I23" i="141"/>
  <c r="E17" i="141"/>
  <c r="G17" i="34"/>
  <c r="G61" i="115"/>
  <c r="L61" i="115" s="1"/>
  <c r="I11" i="141"/>
  <c r="D11" i="34"/>
  <c r="L51" i="110"/>
  <c r="C10" i="141"/>
  <c r="B39" i="141"/>
  <c r="L50" i="139"/>
  <c r="G61" i="139"/>
  <c r="L61" i="139" s="1"/>
  <c r="L46" i="139"/>
  <c r="I71" i="139"/>
  <c r="L46" i="138"/>
  <c r="G61" i="138"/>
  <c r="L61" i="138" s="1"/>
  <c r="B24" i="34"/>
  <c r="G24" i="34" s="1"/>
  <c r="L46" i="124"/>
  <c r="B20" i="34"/>
  <c r="L46" i="120"/>
  <c r="B26" i="34"/>
  <c r="L46" i="126"/>
  <c r="B25" i="34"/>
  <c r="D25" i="34" s="1"/>
  <c r="L46" i="125"/>
  <c r="B21" i="34"/>
  <c r="G21" i="34" s="1"/>
  <c r="B22" i="34"/>
  <c r="L46" i="122"/>
  <c r="B23" i="34"/>
  <c r="G23" i="34" s="1"/>
  <c r="L46" i="123"/>
  <c r="B27" i="34"/>
  <c r="G27" i="34" s="1"/>
  <c r="B28" i="34"/>
  <c r="L46" i="128"/>
  <c r="G61" i="137"/>
  <c r="L61" i="137" s="1"/>
  <c r="L46" i="137"/>
  <c r="G74" i="137"/>
  <c r="G61" i="136"/>
  <c r="L61" i="136" s="1"/>
  <c r="L46" i="133"/>
  <c r="I71" i="133"/>
  <c r="G61" i="131"/>
  <c r="L61" i="131" s="1"/>
  <c r="J71" i="130"/>
  <c r="L46" i="130"/>
  <c r="G74" i="130"/>
  <c r="B30" i="141"/>
  <c r="I30" i="141" s="1"/>
  <c r="G61" i="130"/>
  <c r="L61" i="130" s="1"/>
  <c r="G61" i="129"/>
  <c r="L61" i="129" s="1"/>
  <c r="D29" i="34"/>
  <c r="L46" i="129"/>
  <c r="G74" i="129"/>
  <c r="G61" i="128"/>
  <c r="L61" i="128" s="1"/>
  <c r="G61" i="127"/>
  <c r="L61" i="127" s="1"/>
  <c r="I71" i="127"/>
  <c r="I71" i="126"/>
  <c r="Z63" i="40"/>
  <c r="U63" i="40"/>
  <c r="B13" i="34"/>
  <c r="L46" i="113"/>
  <c r="B12" i="34"/>
  <c r="G12" i="34" s="1"/>
  <c r="B15" i="34"/>
  <c r="L46" i="115"/>
  <c r="B18" i="34"/>
  <c r="D18" i="34" s="1"/>
  <c r="L46" i="118"/>
  <c r="G61" i="125"/>
  <c r="L61" i="125" s="1"/>
  <c r="G74" i="125"/>
  <c r="J71" i="124"/>
  <c r="G61" i="123"/>
  <c r="L61" i="123" s="1"/>
  <c r="D23" i="34"/>
  <c r="I71" i="123"/>
  <c r="I71" i="122"/>
  <c r="G61" i="122"/>
  <c r="L61" i="122" s="1"/>
  <c r="G61" i="121"/>
  <c r="L61" i="121" s="1"/>
  <c r="G74" i="121"/>
  <c r="B20" i="141"/>
  <c r="G61" i="120"/>
  <c r="L61" i="120" s="1"/>
  <c r="I71" i="120"/>
  <c r="G61" i="119"/>
  <c r="L61" i="119" s="1"/>
  <c r="D19" i="34"/>
  <c r="L46" i="119"/>
  <c r="G74" i="119"/>
  <c r="I71" i="118"/>
  <c r="G61" i="118"/>
  <c r="L61" i="118" s="1"/>
  <c r="L46" i="117"/>
  <c r="I71" i="117"/>
  <c r="G61" i="117"/>
  <c r="L61" i="117" s="1"/>
  <c r="G61" i="116"/>
  <c r="L61" i="116" s="1"/>
  <c r="D16" i="34"/>
  <c r="G74" i="116"/>
  <c r="L46" i="114"/>
  <c r="I71" i="114"/>
  <c r="G61" i="114"/>
  <c r="L61" i="114" s="1"/>
  <c r="G61" i="113"/>
  <c r="L61" i="113" s="1"/>
  <c r="E12" i="141"/>
  <c r="I71" i="112"/>
  <c r="G61" i="111"/>
  <c r="L61" i="111" s="1"/>
  <c r="L46" i="111"/>
  <c r="I71" i="111"/>
  <c r="L46" i="110"/>
  <c r="I71" i="110"/>
  <c r="G61" i="110"/>
  <c r="L61" i="110" s="1"/>
  <c r="X75" i="40"/>
  <c r="AB98" i="40"/>
  <c r="L53" i="40"/>
  <c r="C9" i="140"/>
  <c r="J28" i="40"/>
  <c r="E8" i="109"/>
  <c r="G39" i="34"/>
  <c r="D39" i="34"/>
  <c r="G37" i="34"/>
  <c r="D37" i="34"/>
  <c r="G35" i="34"/>
  <c r="D35" i="34"/>
  <c r="B40" i="143"/>
  <c r="G9" i="143"/>
  <c r="G29" i="143"/>
  <c r="D29" i="143"/>
  <c r="G29" i="140"/>
  <c r="D29" i="140"/>
  <c r="G30" i="142"/>
  <c r="D30" i="142"/>
  <c r="G31" i="143"/>
  <c r="D31" i="143"/>
  <c r="G31" i="140"/>
  <c r="D31" i="140"/>
  <c r="I32" i="141"/>
  <c r="E32" i="141"/>
  <c r="G32" i="142"/>
  <c r="D32" i="142"/>
  <c r="G33" i="143"/>
  <c r="D33" i="143"/>
  <c r="G33" i="140"/>
  <c r="D33" i="140"/>
  <c r="I34" i="141"/>
  <c r="E34" i="141"/>
  <c r="G34" i="142"/>
  <c r="D34" i="142"/>
  <c r="G35" i="143"/>
  <c r="D35" i="143"/>
  <c r="G35" i="140"/>
  <c r="D35" i="140"/>
  <c r="L47" i="40"/>
  <c r="B9" i="140"/>
  <c r="L56" i="40"/>
  <c r="C9" i="143"/>
  <c r="L48" i="40"/>
  <c r="B9" i="142"/>
  <c r="X69" i="40"/>
  <c r="Y63" i="40"/>
  <c r="AC96" i="40"/>
  <c r="AC94" i="40"/>
  <c r="AC92" i="40"/>
  <c r="AC90" i="40"/>
  <c r="AC88" i="40"/>
  <c r="AC86" i="40"/>
  <c r="AC84" i="40"/>
  <c r="AC82" i="40"/>
  <c r="AC80" i="40"/>
  <c r="AC98" i="40" s="1"/>
  <c r="G29" i="142"/>
  <c r="D29" i="142"/>
  <c r="G30" i="143"/>
  <c r="D30" i="143"/>
  <c r="G30" i="140"/>
  <c r="D30" i="140"/>
  <c r="I31" i="141"/>
  <c r="E31" i="141"/>
  <c r="G31" i="142"/>
  <c r="D31" i="142"/>
  <c r="G32" i="143"/>
  <c r="D32" i="143"/>
  <c r="G32" i="140"/>
  <c r="D32" i="140"/>
  <c r="I33" i="141"/>
  <c r="E33" i="141"/>
  <c r="G33" i="142"/>
  <c r="D33" i="142"/>
  <c r="G34" i="143"/>
  <c r="D34" i="143"/>
  <c r="G34" i="140"/>
  <c r="D34" i="140"/>
  <c r="G35" i="142"/>
  <c r="D35" i="142"/>
  <c r="G38" i="34"/>
  <c r="D38" i="34"/>
  <c r="G36" i="34"/>
  <c r="D36" i="34"/>
  <c r="G34" i="34"/>
  <c r="D34" i="34"/>
  <c r="J44" i="40"/>
  <c r="I8" i="109"/>
  <c r="J36" i="40"/>
  <c r="G8" i="109"/>
  <c r="G74" i="138"/>
  <c r="I71" i="138"/>
  <c r="G74" i="135"/>
  <c r="G74" i="134"/>
  <c r="G64" i="132"/>
  <c r="L64" i="132" s="1"/>
  <c r="G74" i="132"/>
  <c r="I71" i="132"/>
  <c r="G74" i="131"/>
  <c r="G74" i="128"/>
  <c r="I71" i="128"/>
  <c r="G74" i="126"/>
  <c r="G64" i="124"/>
  <c r="L64" i="124" s="1"/>
  <c r="G74" i="124"/>
  <c r="I71" i="124"/>
  <c r="G74" i="122"/>
  <c r="I71" i="119"/>
  <c r="G74" i="118"/>
  <c r="G64" i="115"/>
  <c r="L64" i="115" s="1"/>
  <c r="G74" i="115"/>
  <c r="I71" i="115"/>
  <c r="G74" i="114"/>
  <c r="G74" i="113"/>
  <c r="G64" i="112"/>
  <c r="L64" i="112" s="1"/>
  <c r="G74" i="112"/>
  <c r="V75" i="40"/>
  <c r="Y70" i="40"/>
  <c r="Y75" i="40" s="1"/>
  <c r="W75" i="40"/>
  <c r="Z70" i="40"/>
  <c r="Z75" i="40" s="1"/>
  <c r="U75" i="40"/>
  <c r="AA70" i="40"/>
  <c r="AA71" i="40"/>
  <c r="AA72" i="40"/>
  <c r="AA73" i="40"/>
  <c r="AA74" i="40"/>
  <c r="J20" i="40"/>
  <c r="F46" i="40"/>
  <c r="AA38" i="40"/>
  <c r="AA39" i="40"/>
  <c r="AA40" i="40"/>
  <c r="AA41" i="40"/>
  <c r="AA37" i="40"/>
  <c r="AA36" i="40"/>
  <c r="AA35" i="40"/>
  <c r="AA34" i="40"/>
  <c r="AA33" i="40"/>
  <c r="AA32" i="40"/>
  <c r="AA31" i="40"/>
  <c r="AA30" i="40"/>
  <c r="AA29" i="40"/>
  <c r="AA27" i="40"/>
  <c r="AA26" i="40"/>
  <c r="AA25" i="40"/>
  <c r="AA24" i="40"/>
  <c r="AA23" i="40"/>
  <c r="AA22" i="40"/>
  <c r="AA21" i="40"/>
  <c r="AA20" i="40"/>
  <c r="AA19" i="40"/>
  <c r="AA18" i="40"/>
  <c r="AA17" i="40"/>
  <c r="AA16" i="40"/>
  <c r="AA15" i="40"/>
  <c r="AA14" i="40"/>
  <c r="AA13" i="40"/>
  <c r="Y64" i="40"/>
  <c r="Y69" i="40" s="1"/>
  <c r="V69" i="40"/>
  <c r="Z64" i="40"/>
  <c r="Z69" i="40" s="1"/>
  <c r="W69" i="40"/>
  <c r="Z42" i="40"/>
  <c r="AA43" i="40"/>
  <c r="AA62" i="40"/>
  <c r="AA61" i="40"/>
  <c r="AA60" i="40"/>
  <c r="AA59" i="40"/>
  <c r="AA58" i="40"/>
  <c r="AA57" i="40"/>
  <c r="AA56" i="40"/>
  <c r="AA55" i="40"/>
  <c r="AA54" i="40"/>
  <c r="AA53" i="40"/>
  <c r="AA52" i="40"/>
  <c r="AA51" i="40"/>
  <c r="AA50" i="40"/>
  <c r="AA49" i="40"/>
  <c r="AA48" i="40"/>
  <c r="AA47" i="40"/>
  <c r="AA46" i="40"/>
  <c r="AA45" i="40"/>
  <c r="AA44" i="40"/>
  <c r="AA64" i="40"/>
  <c r="U69" i="40"/>
  <c r="AA68" i="40"/>
  <c r="AA67" i="40"/>
  <c r="AA66" i="40"/>
  <c r="AA65" i="40"/>
  <c r="AA12" i="40"/>
  <c r="AA98" i="40"/>
  <c r="C41" i="77"/>
  <c r="B42" i="77"/>
  <c r="X28" i="40"/>
  <c r="U28" i="40"/>
  <c r="AA28" i="40" s="1"/>
  <c r="G58" i="40"/>
  <c r="X42" i="40"/>
  <c r="X63" i="40"/>
  <c r="V63" i="40"/>
  <c r="W63" i="40"/>
  <c r="W42" i="40"/>
  <c r="Y42" i="40"/>
  <c r="V42" i="40"/>
  <c r="G54" i="40"/>
  <c r="D51" i="40"/>
  <c r="F51" i="40" s="1"/>
  <c r="J51" i="40"/>
  <c r="G57" i="40"/>
  <c r="L57" i="40" s="1"/>
  <c r="T42" i="40"/>
  <c r="B52" i="40" s="1"/>
  <c r="J50" i="40"/>
  <c r="D50" i="40"/>
  <c r="F50" i="40" s="1"/>
  <c r="G55" i="40"/>
  <c r="C43" i="77"/>
  <c r="C42" i="77"/>
  <c r="B41" i="77"/>
  <c r="B43" i="77"/>
  <c r="B39" i="77"/>
  <c r="D8" i="77"/>
  <c r="E10" i="75"/>
  <c r="E19" i="75"/>
  <c r="G64" i="113" l="1"/>
  <c r="L64" i="113" s="1"/>
  <c r="D12" i="34"/>
  <c r="G64" i="138"/>
  <c r="L64" i="138" s="1"/>
  <c r="G64" i="137"/>
  <c r="L64" i="137" s="1"/>
  <c r="I71" i="136"/>
  <c r="G64" i="136"/>
  <c r="L64" i="136" s="1"/>
  <c r="G74" i="127"/>
  <c r="G18" i="34"/>
  <c r="G64" i="135"/>
  <c r="L64" i="135" s="1"/>
  <c r="E35" i="141"/>
  <c r="D27" i="34"/>
  <c r="G64" i="111"/>
  <c r="L64" i="111" s="1"/>
  <c r="G64" i="134"/>
  <c r="L64" i="134" s="1"/>
  <c r="G74" i="133"/>
  <c r="G64" i="133"/>
  <c r="L64" i="133" s="1"/>
  <c r="G64" i="131"/>
  <c r="L64" i="131" s="1"/>
  <c r="G64" i="130"/>
  <c r="L64" i="130" s="1"/>
  <c r="E29" i="141"/>
  <c r="G64" i="128"/>
  <c r="L64" i="128" s="1"/>
  <c r="G64" i="127"/>
  <c r="L64" i="127" s="1"/>
  <c r="G64" i="126"/>
  <c r="L64" i="126" s="1"/>
  <c r="G64" i="125"/>
  <c r="L64" i="125" s="1"/>
  <c r="G25" i="34"/>
  <c r="D24" i="34"/>
  <c r="G74" i="123"/>
  <c r="G64" i="123"/>
  <c r="L64" i="123" s="1"/>
  <c r="G74" i="120"/>
  <c r="G74" i="110"/>
  <c r="G74" i="117"/>
  <c r="D21" i="34"/>
  <c r="G74" i="111"/>
  <c r="G74" i="139"/>
  <c r="E39" i="141"/>
  <c r="I39" i="141"/>
  <c r="G64" i="139"/>
  <c r="L64" i="139" s="1"/>
  <c r="D28" i="34"/>
  <c r="G28" i="34"/>
  <c r="D22" i="34"/>
  <c r="G22" i="34"/>
  <c r="D26" i="34"/>
  <c r="G26" i="34"/>
  <c r="G20" i="34"/>
  <c r="D20" i="34"/>
  <c r="I71" i="137"/>
  <c r="I71" i="130"/>
  <c r="E30" i="141"/>
  <c r="G64" i="129"/>
  <c r="L64" i="129" s="1"/>
  <c r="I71" i="129"/>
  <c r="G15" i="34"/>
  <c r="D15" i="34"/>
  <c r="D13" i="34"/>
  <c r="G13" i="34"/>
  <c r="I71" i="125"/>
  <c r="G64" i="122"/>
  <c r="L64" i="122" s="1"/>
  <c r="G64" i="121"/>
  <c r="L64" i="121" s="1"/>
  <c r="I71" i="121"/>
  <c r="G64" i="120"/>
  <c r="L64" i="120" s="1"/>
  <c r="E20" i="141"/>
  <c r="I20" i="141"/>
  <c r="G64" i="119"/>
  <c r="L64" i="119" s="1"/>
  <c r="G64" i="118"/>
  <c r="L64" i="118" s="1"/>
  <c r="G64" i="117"/>
  <c r="L64" i="117" s="1"/>
  <c r="G64" i="116"/>
  <c r="L64" i="116" s="1"/>
  <c r="I71" i="116"/>
  <c r="G64" i="114"/>
  <c r="L64" i="114" s="1"/>
  <c r="G64" i="110"/>
  <c r="L64" i="110" s="1"/>
  <c r="C40" i="140"/>
  <c r="H9" i="140"/>
  <c r="L54" i="40"/>
  <c r="C9" i="142"/>
  <c r="D9" i="142" s="1"/>
  <c r="D40" i="142" s="1"/>
  <c r="L55" i="40"/>
  <c r="D9" i="141"/>
  <c r="U42" i="40"/>
  <c r="B40" i="142"/>
  <c r="G9" i="142"/>
  <c r="C40" i="143"/>
  <c r="H9" i="143"/>
  <c r="B40" i="140"/>
  <c r="D9" i="140"/>
  <c r="D40" i="140" s="1"/>
  <c r="G9" i="140"/>
  <c r="D9" i="143"/>
  <c r="D40" i="143" s="1"/>
  <c r="F52" i="40"/>
  <c r="F61" i="40" s="1"/>
  <c r="B65" i="40"/>
  <c r="B71" i="40" s="1"/>
  <c r="L58" i="40"/>
  <c r="B42" i="109"/>
  <c r="B43" i="109" s="1"/>
  <c r="B42" i="75"/>
  <c r="AA75" i="40"/>
  <c r="G46" i="40"/>
  <c r="L46" i="40" s="1"/>
  <c r="AA42" i="40"/>
  <c r="AA69" i="40"/>
  <c r="AA63" i="40"/>
  <c r="G50" i="40"/>
  <c r="J52" i="40"/>
  <c r="D52" i="40"/>
  <c r="D61" i="40" s="1"/>
  <c r="G51" i="40"/>
  <c r="E28" i="75"/>
  <c r="E35" i="75"/>
  <c r="E24" i="75"/>
  <c r="E33" i="75"/>
  <c r="E25" i="75"/>
  <c r="E20" i="75"/>
  <c r="E9" i="75"/>
  <c r="D41" i="77"/>
  <c r="D39" i="77"/>
  <c r="D42" i="77"/>
  <c r="L50" i="40" l="1"/>
  <c r="B9" i="141"/>
  <c r="D40" i="141"/>
  <c r="J9" i="141"/>
  <c r="C40" i="142"/>
  <c r="H9" i="142"/>
  <c r="L51" i="40"/>
  <c r="C9" i="141"/>
  <c r="I71" i="40"/>
  <c r="B9" i="34"/>
  <c r="G52" i="40"/>
  <c r="E34" i="75"/>
  <c r="E27" i="75"/>
  <c r="E37" i="75"/>
  <c r="G74" i="40" l="1"/>
  <c r="C9" i="34"/>
  <c r="H9" i="34" s="1"/>
  <c r="L52" i="40"/>
  <c r="C40" i="34"/>
  <c r="B40" i="34"/>
  <c r="G9" i="34"/>
  <c r="B40" i="141"/>
  <c r="I9" i="141"/>
  <c r="E9" i="141"/>
  <c r="E40" i="141" s="1"/>
  <c r="H69" i="40"/>
  <c r="G61" i="40"/>
  <c r="G64" i="40" s="1"/>
  <c r="B39" i="75"/>
  <c r="B43" i="75" s="1"/>
  <c r="E39" i="75"/>
  <c r="D9" i="34" l="1"/>
  <c r="D40" i="34" s="1"/>
  <c r="L61" i="40"/>
  <c r="H74" i="40"/>
  <c r="J71" i="40"/>
  <c r="L64" i="40"/>
</calcChain>
</file>

<file path=xl/comments1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NEW-PC</author>
    <author>Usuario</author>
    <author>TESORERÍA4-PC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2" shapeId="0">
      <text>
        <r>
          <rPr>
            <b/>
            <sz val="9"/>
            <color indexed="81"/>
            <rFont val="Tahoma"/>
            <charset val="1"/>
          </rPr>
          <t>TESORERÍA4-PC:</t>
        </r>
        <r>
          <rPr>
            <sz val="9"/>
            <color indexed="81"/>
            <rFont val="Tahoma"/>
            <charset val="1"/>
          </rPr>
          <t xml:space="preserve">
REPOCICION DE FONDO CAJA 2 (28.00)</t>
        </r>
      </text>
    </comment>
  </commentList>
</comments>
</file>

<file path=xl/comments14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>
  <authors>
    <author>NEW-PC</author>
    <author>Usuario</author>
    <author>TESORERÍA4-PC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2" shapeId="0">
      <text>
        <r>
          <rPr>
            <b/>
            <sz val="9"/>
            <color indexed="81"/>
            <rFont val="Tahoma"/>
            <charset val="1"/>
          </rPr>
          <t>TESORERÍA4-PC:</t>
        </r>
        <r>
          <rPr>
            <sz val="9"/>
            <color indexed="81"/>
            <rFont val="Tahoma"/>
            <charset val="1"/>
          </rPr>
          <t xml:space="preserve">
REPOCICION DE FONDO</t>
        </r>
      </text>
    </comment>
  </commentList>
</comments>
</file>

<file path=xl/comments18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0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1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2.xml><?xml version="1.0" encoding="utf-8"?>
<comments xmlns="http://schemas.openxmlformats.org/spreadsheetml/2006/main">
  <authors>
    <author>NEW-PC</author>
    <author>Usuario</author>
    <author>TESORERÍA4-PC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2" shapeId="0">
      <text>
        <r>
          <rPr>
            <b/>
            <sz val="9"/>
            <color indexed="81"/>
            <rFont val="Tahoma"/>
            <charset val="1"/>
          </rPr>
          <t>TESORERÍA4-PC:</t>
        </r>
        <r>
          <rPr>
            <sz val="9"/>
            <color indexed="81"/>
            <rFont val="Tahoma"/>
            <charset val="1"/>
          </rPr>
          <t xml:space="preserve">
faltante de 5 $ caja 2 mañana operador milany torres // sobrante por repocicion de fondo</t>
        </r>
      </text>
    </comment>
  </commentList>
</comments>
</file>

<file path=xl/comments23.xml><?xml version="1.0" encoding="utf-8"?>
<comments xmlns="http://schemas.openxmlformats.org/spreadsheetml/2006/main">
  <authors>
    <author>TESORERÍA4-PC</author>
    <author>NEW-PC</author>
    <author>Usuario</author>
  </authors>
  <commentList>
    <comment ref="J12" authorId="0" shapeId="0">
      <text>
        <r>
          <rPr>
            <b/>
            <sz val="9"/>
            <color indexed="81"/>
            <rFont val="Tahoma"/>
            <charset val="1"/>
          </rPr>
          <t>TESORERÍA4-PC:</t>
        </r>
        <r>
          <rPr>
            <sz val="9"/>
            <color indexed="81"/>
            <rFont val="Tahoma"/>
            <charset val="1"/>
          </rPr>
          <t xml:space="preserve">
DEPOCITADOS EL DIA 22/09</t>
        </r>
      </text>
    </comment>
    <comment ref="B13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4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5.xml><?xml version="1.0" encoding="utf-8"?>
<comments xmlns="http://schemas.openxmlformats.org/spreadsheetml/2006/main">
  <authors>
    <author>NEW-PC</author>
    <author>Usuario</author>
    <author>TESORERÍA4-PC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83" authorId="2" shapeId="0">
      <text>
        <r>
          <rPr>
            <b/>
            <sz val="9"/>
            <color indexed="81"/>
            <rFont val="Tahoma"/>
            <charset val="1"/>
          </rPr>
          <t>TESORERÍA4-PC:</t>
        </r>
        <r>
          <rPr>
            <sz val="9"/>
            <color indexed="81"/>
            <rFont val="Tahoma"/>
            <charset val="1"/>
          </rPr>
          <t xml:space="preserve">
28.27 </t>
        </r>
      </text>
    </comment>
  </commentList>
</comments>
</file>

<file path=xl/comments26.xml><?xml version="1.0" encoding="utf-8"?>
<comments xmlns="http://schemas.openxmlformats.org/spreadsheetml/2006/main">
  <authors>
    <author>NEW-PC</author>
    <author>Usuario</author>
    <author>TESORERÍA4-PC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2" shapeId="0">
      <text>
        <r>
          <rPr>
            <b/>
            <sz val="9"/>
            <color indexed="81"/>
            <rFont val="Tahoma"/>
            <charset val="1"/>
          </rPr>
          <t>TESORERÍA4-PC:</t>
        </r>
        <r>
          <rPr>
            <sz val="9"/>
            <color indexed="81"/>
            <rFont val="Tahoma"/>
            <charset val="1"/>
          </rPr>
          <t xml:space="preserve">
repocicion de fondo 19.70 caja 3 tarde</t>
        </r>
      </text>
    </comment>
  </commentList>
</comments>
</file>

<file path=xl/comments27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8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9.xml><?xml version="1.0" encoding="utf-8"?>
<comments xmlns="http://schemas.openxmlformats.org/spreadsheetml/2006/main">
  <authors>
    <author>NEW-PC</author>
    <author>Usuario</author>
    <author>TESORERÍA4-PC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2" shapeId="0">
      <text>
        <r>
          <rPr>
            <b/>
            <sz val="9"/>
            <color indexed="81"/>
            <rFont val="Tahoma"/>
            <family val="2"/>
          </rPr>
          <t xml:space="preserve">TESORERÍA4-PC: FALTANTE DEL ES EL SOBRANTE DE LA CAJA 9 DEL DIA 28/07 BS.1.000.000
</t>
        </r>
      </text>
    </comment>
  </commentList>
</comments>
</file>

<file path=xl/comments3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0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1.xml><?xml version="1.0" encoding="utf-8"?>
<comments xmlns="http://schemas.openxmlformats.org/spreadsheetml/2006/main">
  <authors>
    <author>NEW-PC</author>
    <author>Usuario</author>
    <author>TESORERÍA4-PC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2" shapeId="0">
      <text>
        <r>
          <rPr>
            <b/>
            <sz val="9"/>
            <color indexed="81"/>
            <rFont val="Tahoma"/>
            <charset val="1"/>
          </rPr>
          <t>TESORERÍA4-PC:</t>
        </r>
        <r>
          <rPr>
            <sz val="9"/>
            <color indexed="81"/>
            <rFont val="Tahoma"/>
            <charset val="1"/>
          </rPr>
          <t xml:space="preserve">
repocicion de fondo</t>
        </r>
      </text>
    </comment>
  </commentList>
</comments>
</file>

<file path=xl/comments4.xml><?xml version="1.0" encoding="utf-8"?>
<comments xmlns="http://schemas.openxmlformats.org/spreadsheetml/2006/main">
  <authors>
    <author>TESORERÍA4-PC</author>
    <author>NEW-PC</author>
    <author>Usuario</author>
  </authors>
  <commentList>
    <comment ref="J12" authorId="0" shapeId="0">
      <text>
        <r>
          <rPr>
            <b/>
            <sz val="9"/>
            <color indexed="81"/>
            <rFont val="Tahoma"/>
            <family val="2"/>
          </rPr>
          <t>TESORERÍA4-PC:</t>
        </r>
        <r>
          <rPr>
            <sz val="9"/>
            <color indexed="81"/>
            <rFont val="Tahoma"/>
            <family val="2"/>
          </rPr>
          <t xml:space="preserve">
37.90 NO CARGADOS</t>
        </r>
      </text>
    </comment>
    <comment ref="B13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TESORERÍA4-PC</author>
    <author>NEW-PC</author>
    <author>Usuario</author>
  </authors>
  <commentList>
    <comment ref="J12" authorId="0" shapeId="0">
      <text>
        <r>
          <rPr>
            <b/>
            <sz val="9"/>
            <color indexed="81"/>
            <rFont val="Tahoma"/>
            <family val="2"/>
          </rPr>
          <t>TESORERÍA4-PC:</t>
        </r>
        <r>
          <rPr>
            <sz val="9"/>
            <color indexed="81"/>
            <rFont val="Tahoma"/>
            <family val="2"/>
          </rPr>
          <t xml:space="preserve">
NO CARGADOS
</t>
        </r>
      </text>
    </comment>
    <comment ref="B13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1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2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1" authorId="0" shapeId="0">
      <text>
        <r>
          <rPr>
            <b/>
            <sz val="9"/>
            <color indexed="81"/>
            <rFont val="Tahoma"/>
            <charset val="1"/>
          </rPr>
          <t>TESORERÍA4-PC:</t>
        </r>
        <r>
          <rPr>
            <sz val="9"/>
            <color indexed="81"/>
            <rFont val="Tahoma"/>
            <charset val="1"/>
          </rPr>
          <t xml:space="preserve">
sobrante por repocicion de fondos</t>
        </r>
      </text>
    </comment>
  </commentList>
</comments>
</file>

<file path=xl/comments6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NEW-PC</author>
    <author>Usuario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>
      <text>
        <r>
          <rPr>
            <b/>
            <sz val="9"/>
            <color indexed="81"/>
            <rFont val="Tahoma"/>
            <family val="2"/>
          </rPr>
          <t>ESTE MONTO DEBE COINCIDIR CON EL MONTO TOTAL A LIQUIDAR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<sst xmlns="http://schemas.openxmlformats.org/spreadsheetml/2006/main" count="7290" uniqueCount="252">
  <si>
    <t>EFECTIVO</t>
  </si>
  <si>
    <t>DEB. BANESCO</t>
  </si>
  <si>
    <t>CRE. BANESCO</t>
  </si>
  <si>
    <t>DESCUENTO</t>
  </si>
  <si>
    <t>DESCUENTO ISLR</t>
  </si>
  <si>
    <t xml:space="preserve">TOTAL VENTA </t>
  </si>
  <si>
    <t>VENTAS A CREDITO</t>
  </si>
  <si>
    <t>DEB. TESORO</t>
  </si>
  <si>
    <t>CRED. TESORO</t>
  </si>
  <si>
    <t>COMISION BANCARIA</t>
  </si>
  <si>
    <t>DEB.PLAZA</t>
  </si>
  <si>
    <t>CRED. PLAZA</t>
  </si>
  <si>
    <t>FG-00000</t>
  </si>
  <si>
    <t>RESUMEN BANESCO</t>
  </si>
  <si>
    <t xml:space="preserve">CONCILIACION </t>
  </si>
  <si>
    <t>DIFERENCIA</t>
  </si>
  <si>
    <t>CUENTA</t>
  </si>
  <si>
    <t>MONTO BRUTO</t>
  </si>
  <si>
    <t>TOTAL VENTA - GASTOS</t>
  </si>
  <si>
    <t>TOTAL VENTA SEGÚN  Z</t>
  </si>
  <si>
    <t>RESUMEN DE  VENTA</t>
  </si>
  <si>
    <t>RESUMEN VENTAS</t>
  </si>
  <si>
    <t>FECHA:</t>
  </si>
  <si>
    <t>RESPONSABLE:</t>
  </si>
  <si>
    <t>% DESC.</t>
  </si>
  <si>
    <t>FECHA ESTIMADA  DE LIQUIDACION</t>
  </si>
  <si>
    <t>MONTO NETO A LIQUIDAR</t>
  </si>
  <si>
    <t>VENTAS DISPONIBLES</t>
  </si>
  <si>
    <t>DEB. PROVINCIAL</t>
  </si>
  <si>
    <t xml:space="preserve">FECHA </t>
  </si>
  <si>
    <t>VENTA A CREDITO</t>
  </si>
  <si>
    <t>CUENTAS POR COBRAR</t>
  </si>
  <si>
    <t>RESUMEN VENTAS A CREDITO</t>
  </si>
  <si>
    <t>FECHA DE LIQUIDACION</t>
  </si>
  <si>
    <t>RESUMEN VENTAS MENSUALES</t>
  </si>
  <si>
    <t>VENTAS Z</t>
  </si>
  <si>
    <t>VENTAS REPORTE</t>
  </si>
  <si>
    <t>FALTANTE O SOBRANTE</t>
  </si>
  <si>
    <t>TOTALES</t>
  </si>
  <si>
    <t>DATOS</t>
  </si>
  <si>
    <t>MAX</t>
  </si>
  <si>
    <t>MINIMO</t>
  </si>
  <si>
    <t>PROMEDIO</t>
  </si>
  <si>
    <t>TOTAL</t>
  </si>
  <si>
    <t>TOTAL VENTAS</t>
  </si>
  <si>
    <t>DE LAS VENTAS A CREDITO</t>
  </si>
  <si>
    <t>SOBRE EL TOTAL DE VENTAS</t>
  </si>
  <si>
    <t>IMPACTO EN LA VTA.</t>
  </si>
  <si>
    <t>&gt;0</t>
  </si>
  <si>
    <t>REPRESENTATIVIDAD</t>
  </si>
  <si>
    <t>ISLR/ IVA</t>
  </si>
  <si>
    <t>EXQUISITESES</t>
  </si>
  <si>
    <t>CRED. VENEZUELA</t>
  </si>
  <si>
    <t>DEBITO</t>
  </si>
  <si>
    <t>CREDITO</t>
  </si>
  <si>
    <t>CAJA PRINCIPAL</t>
  </si>
  <si>
    <t>LIQUIDACION</t>
  </si>
  <si>
    <t>DIFERENCIA SOBRANTE/FALTANTE</t>
  </si>
  <si>
    <t>DIFERENCIA SISTEMA/Z</t>
  </si>
  <si>
    <t>VISA  ELECTR</t>
  </si>
  <si>
    <t>RECARGAS TELEFONICAS</t>
  </si>
  <si>
    <t>DEV EN CUENTA</t>
  </si>
  <si>
    <t>BIOPAGO</t>
  </si>
  <si>
    <t>TERMINAL</t>
  </si>
  <si>
    <t>I.S.L.R 5%</t>
  </si>
  <si>
    <t>FECHA LIQ.</t>
  </si>
  <si>
    <t>LOTE</t>
  </si>
  <si>
    <t>BANCO</t>
  </si>
  <si>
    <t>MONEDERO</t>
  </si>
  <si>
    <t>PROVINCIAL</t>
  </si>
  <si>
    <t>BANESCO</t>
  </si>
  <si>
    <t>PLAZA</t>
  </si>
  <si>
    <t>AHORRO</t>
  </si>
  <si>
    <t>CAJA</t>
  </si>
  <si>
    <t>LIQUIDO</t>
  </si>
  <si>
    <t>CORRIENTE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</si>
  <si>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</si>
  <si>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</si>
  <si>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</si>
  <si>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</si>
  <si>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</si>
  <si>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</si>
  <si>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</si>
  <si>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</si>
  <si>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</si>
  <si>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</si>
  <si>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</si>
  <si>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</si>
  <si>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</si>
  <si>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</si>
  <si>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</si>
  <si>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</si>
  <si>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</si>
  <si>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</si>
  <si>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</si>
  <si>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</si>
  <si>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</si>
  <si>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</si>
  <si>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</si>
  <si>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</si>
  <si>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</si>
  <si>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</si>
  <si>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</si>
  <si>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</si>
  <si>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</si>
  <si>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</si>
  <si>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N°</t>
  </si>
  <si>
    <t>TOTAL PROVINCIAL</t>
  </si>
  <si>
    <t>TASA 3 $</t>
  </si>
  <si>
    <t>TOTAL BANESCO</t>
  </si>
  <si>
    <t>TOTAL PLAZA</t>
  </si>
  <si>
    <t>TOTAL VENEZUELA</t>
  </si>
  <si>
    <t>VENEZUELA</t>
  </si>
  <si>
    <t>D</t>
  </si>
  <si>
    <t>N</t>
  </si>
  <si>
    <t>% DESC</t>
  </si>
  <si>
    <t>TOTAL DESC</t>
  </si>
  <si>
    <t>SODEXO</t>
  </si>
  <si>
    <t>SODEXO /ELECTRON</t>
  </si>
  <si>
    <t>CRED. PROVINCIAL</t>
  </si>
  <si>
    <t>DIFERENCIA CON BOBEDA</t>
  </si>
  <si>
    <t>DIFERENCIA CON LIQUIDACION</t>
  </si>
  <si>
    <t>COM. DEBITO</t>
  </si>
  <si>
    <t>COM. SODEXO/ ELECTRON</t>
  </si>
  <si>
    <t>COM. CREDITO</t>
  </si>
  <si>
    <t>TOTAL DEBITO</t>
  </si>
  <si>
    <t>TOTAL SODEXO/ ELECTRON</t>
  </si>
  <si>
    <t>TOTAL CREDITO</t>
  </si>
  <si>
    <t>TOTAL TESORO</t>
  </si>
  <si>
    <t>AUTOMERCADO EXPRESS</t>
  </si>
  <si>
    <t>EXQUISITECES</t>
  </si>
  <si>
    <t>BOCA</t>
  </si>
  <si>
    <t>CARRIZAL</t>
  </si>
  <si>
    <t>FARMASTOP</t>
  </si>
  <si>
    <t xml:space="preserve">CREDITO </t>
  </si>
  <si>
    <t>EMPRESA</t>
  </si>
  <si>
    <t>LIQUIDACIONES PROVINCIAL x PV</t>
  </si>
  <si>
    <t>DIFERENCIA DEBITO</t>
  </si>
  <si>
    <t xml:space="preserve"> LIQUIDACIONES PROVINCIAL x BANCO</t>
  </si>
  <si>
    <t>DIFERENCIA CREDITO</t>
  </si>
  <si>
    <t>LIQUIDACIONES VENEZUELA x BIOPAGO</t>
  </si>
  <si>
    <t>DIFERENCIA BIOPAGO</t>
  </si>
  <si>
    <t xml:space="preserve"> LIQUIDACIONES VENEZUELA x BANCO</t>
  </si>
  <si>
    <t>ROMA</t>
  </si>
  <si>
    <t>MI PAN FAVORITO</t>
  </si>
  <si>
    <t>CIGARILLOS</t>
  </si>
  <si>
    <t>CRE. PROVINCIAL</t>
  </si>
  <si>
    <t>CRE.PROVINCIAL</t>
  </si>
  <si>
    <t>RESUMEN PROVINCIAL</t>
  </si>
  <si>
    <t>RESUMEN VENEZUELA</t>
  </si>
  <si>
    <t>DEB. VENEZUELA (BIOPAGO)</t>
  </si>
  <si>
    <t>CRE. VENEZUELA</t>
  </si>
  <si>
    <t>DEB. VENEZUELA (BIOPAGO</t>
  </si>
  <si>
    <t>RESUMEN PLAZA</t>
  </si>
  <si>
    <t>DEB. PLAZA</t>
  </si>
  <si>
    <t>CRE. PLAZA</t>
  </si>
  <si>
    <t>RESUMEN TESORO</t>
  </si>
  <si>
    <t>CRE. TESORO</t>
  </si>
  <si>
    <t>EUROS</t>
  </si>
  <si>
    <t>ZELLE</t>
  </si>
  <si>
    <t>PAY PAL</t>
  </si>
  <si>
    <t>$</t>
  </si>
  <si>
    <t>Bs.s x DÓLAR</t>
  </si>
  <si>
    <t>BS. X PAY PAL</t>
  </si>
  <si>
    <t>LEIBYS CAPOTE</t>
  </si>
  <si>
    <t>LEIBYS  CAPOTE</t>
  </si>
  <si>
    <t>leibys capote</t>
  </si>
  <si>
    <t xml:space="preserve"> </t>
  </si>
  <si>
    <t>Distribuidora de Alimentos evora C.A</t>
  </si>
  <si>
    <t xml:space="preserve">PAGO MOVIL </t>
  </si>
  <si>
    <t>DEB.BANCRECER</t>
  </si>
  <si>
    <t>CRED.BANCRECER</t>
  </si>
  <si>
    <t>PAGO MOVIL</t>
  </si>
  <si>
    <t>DEB. BANCRECER</t>
  </si>
  <si>
    <t>TOTAL PAGO MOVIL</t>
  </si>
  <si>
    <t>TOTAL BANCRECER</t>
  </si>
  <si>
    <t>pago movil</t>
  </si>
  <si>
    <t>CRED. Bancrecer</t>
  </si>
  <si>
    <t>CRED. BANCRECER</t>
  </si>
  <si>
    <t xml:space="preserve">CRED. BANCRECER </t>
  </si>
  <si>
    <t>PAGO MOVIL B/CRECER</t>
  </si>
  <si>
    <t xml:space="preserve">TOTAL PAGO MOVIL </t>
  </si>
  <si>
    <t xml:space="preserve">CRED.BANCAMIGA </t>
  </si>
  <si>
    <t>PAGO MOVIL EXPRES</t>
  </si>
  <si>
    <t xml:space="preserve">DEB.BANCRECER </t>
  </si>
  <si>
    <t xml:space="preserve">BANCRECER MODELO </t>
  </si>
  <si>
    <t>BANCRECER EXPRESS</t>
  </si>
  <si>
    <t>PROVINCIAL EXPRESS</t>
  </si>
  <si>
    <t xml:space="preserve">LAGUNETICA </t>
  </si>
  <si>
    <t>BANCRECER MODELO</t>
  </si>
  <si>
    <t>BANCRECER EXP´RES</t>
  </si>
  <si>
    <t>LAGUNETICA</t>
  </si>
  <si>
    <t>BANCRECER EXPRES</t>
  </si>
  <si>
    <t>lagunetica</t>
  </si>
  <si>
    <t>bancrecer modelo</t>
  </si>
  <si>
    <t>CRED. CRECER</t>
  </si>
  <si>
    <t xml:space="preserve">lagunetica </t>
  </si>
  <si>
    <t>Bancrecer modelo</t>
  </si>
  <si>
    <t>Bancrecer express</t>
  </si>
  <si>
    <t>PAGO MOVIL XPRESS</t>
  </si>
  <si>
    <t>bancrecer MODELO</t>
  </si>
  <si>
    <t>bancrecer Express</t>
  </si>
  <si>
    <t>DEB. Bancrecer</t>
  </si>
  <si>
    <t>bancrecer express</t>
  </si>
  <si>
    <t xml:space="preserve">DEB. BANCAMIGA </t>
  </si>
  <si>
    <t>CAJA 1</t>
  </si>
  <si>
    <t>CAJA 2</t>
  </si>
  <si>
    <t>CAJA 3</t>
  </si>
  <si>
    <t>BANCAMIGA MODELO</t>
  </si>
  <si>
    <t xml:space="preserve">BANCRECER EXPRESS </t>
  </si>
  <si>
    <t>VENEZUELA MODELO</t>
  </si>
  <si>
    <t>BANCRECER modelo</t>
  </si>
  <si>
    <t>BANCRECER Express</t>
  </si>
  <si>
    <t>326//56</t>
  </si>
  <si>
    <t>327//57</t>
  </si>
  <si>
    <t>406//71</t>
  </si>
  <si>
    <t>311//407</t>
  </si>
  <si>
    <t>328//58</t>
  </si>
  <si>
    <t>313//42</t>
  </si>
  <si>
    <t>329//59</t>
  </si>
  <si>
    <t>312//409</t>
  </si>
  <si>
    <t>315//43</t>
  </si>
  <si>
    <t>331//60</t>
  </si>
  <si>
    <t>411//72</t>
  </si>
  <si>
    <t>413//73</t>
  </si>
  <si>
    <t>PAGO MOVIL EXPRESS</t>
  </si>
  <si>
    <t>319//44</t>
  </si>
  <si>
    <t>321//414</t>
  </si>
  <si>
    <t>320//415</t>
  </si>
  <si>
    <t>416//417</t>
  </si>
  <si>
    <t>418//75</t>
  </si>
  <si>
    <t>328//46</t>
  </si>
  <si>
    <t>420//76</t>
  </si>
  <si>
    <t>329//47</t>
  </si>
  <si>
    <t>423//77</t>
  </si>
  <si>
    <t>428//429</t>
  </si>
  <si>
    <t>48//425</t>
  </si>
  <si>
    <t>335//427</t>
  </si>
  <si>
    <t>350//426</t>
  </si>
  <si>
    <t>430//431</t>
  </si>
  <si>
    <t>341//432</t>
  </si>
  <si>
    <t>356//433</t>
  </si>
  <si>
    <t>434//435</t>
  </si>
  <si>
    <t>345//439</t>
  </si>
  <si>
    <t>442//443</t>
  </si>
  <si>
    <t>LAGUNERTICA</t>
  </si>
  <si>
    <t>PROVINCIAL express</t>
  </si>
  <si>
    <t>356//451</t>
  </si>
  <si>
    <t>354//448</t>
  </si>
  <si>
    <t>371//64</t>
  </si>
  <si>
    <t>452//453</t>
  </si>
  <si>
    <t>KEYLA RANGEL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</si>
</sst>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S&quot;\ * #,##0_ ;_ &quot;Bs.S&quot;\ * \-#,##0_ ;_ &quot;Bs.S&quot;\ * &quot;-&quot;_ ;_ @_ "/>
    <numFmt numFmtId="166" formatCode="&quot;Bs. BR&quot;\ #,##0.00;[Red]&quot;Bs. BR&quot;\ \-#,##0.00"/>
    <numFmt numFmtId="167" formatCode="_ &quot;Bs. .M&quot;\ * #,##0.00_ ;_ &quot;Bs. .M&quot;\ * \-#,##0.00_ ;_ &quot;Bs. .M&quot;\ * &quot;-&quot;??_ ;_ @_ "/>
    <numFmt numFmtId="168" formatCode="_ &quot;Bs. l&quot;\ * #,##0.00_ ;_ &quot;Bs. l&quot;\ * \-#,##0.00_ ;_ &quot;Bs. l&quot;\ * &quot;-&quot;??_ ;_ @_ "/>
    <numFmt numFmtId="169" formatCode="0_ ;\-0\ "/>
    <numFmt numFmtId="170" formatCode="&quot;Bs.S&quot;\ #,##0.00"/>
    <numFmt numFmtId="171" formatCode="_ [$Bs.S-200A]\ * #,##0.00_ ;_ [$Bs.S-200A]\ * \-#,##0.00_ ;_ [$Bs.S-200A]\ * &quot;-&quot;??_ ;_ @_ "/>
  </numFmts>
  <fonts count="22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color rgb="FF9C0006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theme="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8" fillId="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05">
    <xf numFmtId="0" fontId="0" fillId="0" borderId="0" xfId="0"/>
    <xf numFmtId="167" fontId="0" fillId="0" borderId="1" xfId="0" applyNumberFormat="1" applyBorder="1"/>
    <xf numFmtId="0" fontId="0" fillId="3" borderId="0" xfId="0" applyFill="1"/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7" fillId="4" borderId="3" xfId="0" applyNumberFormat="1" applyFont="1" applyFill="1" applyBorder="1" applyAlignment="1" applyProtection="1">
      <alignment horizontal="center" vertical="center"/>
      <protection locked="0"/>
    </xf>
    <xf numFmtId="167" fontId="7" fillId="4" borderId="4" xfId="0" applyNumberFormat="1" applyFont="1" applyFill="1" applyBorder="1" applyAlignment="1" applyProtection="1">
      <alignment vertical="center"/>
      <protection locked="0"/>
    </xf>
    <xf numFmtId="167" fontId="7" fillId="4" borderId="4" xfId="0" applyNumberFormat="1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7" fontId="9" fillId="0" borderId="1" xfId="0" applyNumberFormat="1" applyFont="1" applyBorder="1" applyProtection="1">
      <protection locked="0"/>
    </xf>
    <xf numFmtId="9" fontId="9" fillId="0" borderId="1" xfId="8" applyFont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10" fontId="9" fillId="0" borderId="1" xfId="0" applyNumberFormat="1" applyFont="1" applyBorder="1" applyProtection="1"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167" fontId="9" fillId="0" borderId="10" xfId="0" applyNumberFormat="1" applyFont="1" applyBorder="1" applyProtection="1">
      <protection locked="0"/>
    </xf>
    <xf numFmtId="0" fontId="7" fillId="4" borderId="12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 applyProtection="1">
      <protection locked="0"/>
    </xf>
    <xf numFmtId="0" fontId="0" fillId="0" borderId="13" xfId="0" applyNumberFormat="1" applyFont="1" applyBorder="1" applyProtection="1">
      <protection locked="0"/>
    </xf>
    <xf numFmtId="0" fontId="0" fillId="0" borderId="10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7" fillId="0" borderId="15" xfId="0" applyFont="1" applyFill="1" applyBorder="1" applyAlignment="1">
      <alignment horizontal="center" vertical="center" wrapText="1"/>
    </xf>
    <xf numFmtId="167" fontId="0" fillId="0" borderId="15" xfId="0" applyNumberFormat="1" applyFill="1" applyBorder="1"/>
    <xf numFmtId="167" fontId="0" fillId="0" borderId="15" xfId="0" quotePrefix="1" applyNumberFormat="1" applyFill="1" applyBorder="1"/>
    <xf numFmtId="167" fontId="0" fillId="0" borderId="1" xfId="0" applyNumberFormat="1" applyBorder="1" applyProtection="1"/>
    <xf numFmtId="167" fontId="0" fillId="5" borderId="1" xfId="0" applyNumberFormat="1" applyFill="1" applyBorder="1" applyProtection="1"/>
    <xf numFmtId="0" fontId="0" fillId="0" borderId="0" xfId="0" applyProtection="1"/>
    <xf numFmtId="0" fontId="7" fillId="4" borderId="1" xfId="0" applyFont="1" applyFill="1" applyBorder="1"/>
    <xf numFmtId="0" fontId="9" fillId="0" borderId="0" xfId="0" applyFont="1"/>
    <xf numFmtId="0" fontId="0" fillId="0" borderId="16" xfId="0" applyBorder="1"/>
    <xf numFmtId="167" fontId="0" fillId="0" borderId="17" xfId="0" applyNumberFormat="1" applyBorder="1"/>
    <xf numFmtId="0" fontId="0" fillId="0" borderId="18" xfId="0" applyBorder="1"/>
    <xf numFmtId="10" fontId="5" fillId="0" borderId="19" xfId="8" applyNumberFormat="1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6" fillId="0" borderId="0" xfId="0" applyFont="1" applyProtection="1"/>
    <xf numFmtId="167" fontId="7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Protection="1"/>
    <xf numFmtId="0" fontId="10" fillId="0" borderId="0" xfId="0" applyFont="1" applyBorder="1" applyAlignment="1" applyProtection="1"/>
    <xf numFmtId="0" fontId="7" fillId="4" borderId="1" xfId="0" applyFont="1" applyFill="1" applyBorder="1" applyAlignment="1" applyProtection="1">
      <alignment horizontal="center" vertical="center" wrapText="1"/>
    </xf>
    <xf numFmtId="14" fontId="0" fillId="0" borderId="1" xfId="0" applyNumberFormat="1" applyBorder="1" applyProtection="1"/>
    <xf numFmtId="0" fontId="0" fillId="5" borderId="1" xfId="0" applyFill="1" applyBorder="1" applyProtection="1"/>
    <xf numFmtId="0" fontId="7" fillId="4" borderId="1" xfId="0" applyFont="1" applyFill="1" applyBorder="1" applyProtection="1"/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0" fontId="7" fillId="4" borderId="8" xfId="0" applyFont="1" applyFill="1" applyBorder="1" applyAlignment="1" applyProtection="1">
      <alignment horizontal="center" vertical="center" wrapText="1"/>
      <protection locked="0"/>
    </xf>
    <xf numFmtId="0" fontId="7" fillId="4" borderId="22" xfId="0" applyFont="1" applyFill="1" applyBorder="1" applyAlignment="1" applyProtection="1">
      <alignment horizontal="center" vertical="center"/>
      <protection locked="0"/>
    </xf>
    <xf numFmtId="0" fontId="7" fillId="4" borderId="8" xfId="0" applyFont="1" applyFill="1" applyBorder="1" applyAlignment="1" applyProtection="1">
      <alignment horizontal="center" vertical="center"/>
    </xf>
    <xf numFmtId="0" fontId="0" fillId="5" borderId="1" xfId="0" applyFill="1" applyBorder="1" applyProtection="1"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0" fontId="7" fillId="4" borderId="1" xfId="0" applyFont="1" applyFill="1" applyBorder="1" applyProtection="1">
      <protection locked="0"/>
    </xf>
    <xf numFmtId="164" fontId="9" fillId="0" borderId="1" xfId="0" applyNumberFormat="1" applyFont="1" applyBorder="1" applyProtection="1">
      <protection locked="0"/>
    </xf>
    <xf numFmtId="164" fontId="9" fillId="0" borderId="1" xfId="0" applyNumberFormat="1" applyFont="1" applyBorder="1" applyProtection="1"/>
    <xf numFmtId="164" fontId="7" fillId="4" borderId="10" xfId="0" applyNumberFormat="1" applyFont="1" applyFill="1" applyBorder="1" applyProtection="1"/>
    <xf numFmtId="164" fontId="0" fillId="0" borderId="0" xfId="0" applyNumberFormat="1" applyProtection="1">
      <protection locked="0"/>
    </xf>
    <xf numFmtId="164" fontId="0" fillId="0" borderId="22" xfId="0" applyNumberFormat="1" applyBorder="1" applyProtection="1">
      <protection locked="0"/>
    </xf>
    <xf numFmtId="164" fontId="9" fillId="0" borderId="10" xfId="0" applyNumberFormat="1" applyFont="1" applyBorder="1" applyProtection="1">
      <protection locked="0"/>
    </xf>
    <xf numFmtId="164" fontId="0" fillId="0" borderId="11" xfId="0" applyNumberFormat="1" applyFont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164" fontId="9" fillId="0" borderId="0" xfId="0" applyNumberFormat="1" applyFont="1" applyProtection="1"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164" fontId="9" fillId="0" borderId="1" xfId="0" applyNumberFormat="1" applyFont="1" applyFill="1" applyBorder="1" applyProtection="1">
      <protection locked="0"/>
    </xf>
    <xf numFmtId="9" fontId="9" fillId="0" borderId="1" xfId="8" applyFont="1" applyFill="1" applyBorder="1" applyAlignment="1" applyProtection="1">
      <alignment horizontal="center"/>
      <protection locked="0"/>
    </xf>
    <xf numFmtId="0" fontId="11" fillId="0" borderId="0" xfId="0" applyFont="1" applyFill="1" applyProtection="1">
      <protection locked="0"/>
    </xf>
    <xf numFmtId="0" fontId="11" fillId="0" borderId="0" xfId="0" applyFont="1" applyFill="1" applyAlignment="1" applyProtection="1">
      <alignment horizontal="center"/>
      <protection locked="0"/>
    </xf>
    <xf numFmtId="164" fontId="12" fillId="2" borderId="14" xfId="1" applyNumberFormat="1" applyFont="1" applyBorder="1" applyProtection="1">
      <protection locked="0"/>
    </xf>
    <xf numFmtId="0" fontId="0" fillId="0" borderId="0" xfId="0" applyFill="1" applyProtection="1">
      <protection locked="0"/>
    </xf>
    <xf numFmtId="14" fontId="0" fillId="6" borderId="2" xfId="0" applyNumberFormat="1" applyFill="1" applyBorder="1" applyProtection="1">
      <protection locked="0"/>
    </xf>
    <xf numFmtId="0" fontId="0" fillId="7" borderId="0" xfId="0" applyFill="1" applyProtection="1">
      <protection locked="0"/>
    </xf>
    <xf numFmtId="43" fontId="5" fillId="7" borderId="0" xfId="2" applyFont="1" applyFill="1" applyProtection="1">
      <protection locked="0"/>
    </xf>
    <xf numFmtId="166" fontId="5" fillId="7" borderId="1" xfId="2" applyNumberFormat="1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4" fontId="0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 applyProtection="1">
      <alignment horizontal="center"/>
      <protection locked="0"/>
    </xf>
    <xf numFmtId="43" fontId="5" fillId="0" borderId="1" xfId="2" applyFont="1" applyFill="1" applyBorder="1" applyProtection="1">
      <protection locked="0"/>
    </xf>
    <xf numFmtId="43" fontId="5" fillId="7" borderId="1" xfId="2" applyFont="1" applyFill="1" applyBorder="1" applyProtection="1">
      <protection locked="0"/>
    </xf>
    <xf numFmtId="4" fontId="0" fillId="0" borderId="1" xfId="0" applyNumberFormat="1" applyBorder="1" applyProtection="1"/>
    <xf numFmtId="10" fontId="0" fillId="0" borderId="1" xfId="0" applyNumberFormat="1" applyBorder="1" applyProtection="1">
      <protection locked="0"/>
    </xf>
    <xf numFmtId="43" fontId="5" fillId="0" borderId="1" xfId="2" applyFont="1" applyBorder="1" applyProtection="1">
      <protection locked="0"/>
    </xf>
    <xf numFmtId="0" fontId="0" fillId="3" borderId="0" xfId="0" applyFill="1" applyProtection="1">
      <protection locked="0"/>
    </xf>
    <xf numFmtId="0" fontId="0" fillId="0" borderId="0" xfId="0" applyProtection="1"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4" fontId="0" fillId="0" borderId="1" xfId="0" applyNumberFormat="1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3" fontId="5" fillId="0" borderId="0" xfId="2" applyFont="1" applyFill="1" applyBorder="1" applyAlignment="1" applyProtection="1">
      <alignment horizontal="center"/>
      <protection locked="0"/>
    </xf>
    <xf numFmtId="0" fontId="9" fillId="10" borderId="7" xfId="0" applyFont="1" applyFill="1" applyBorder="1" applyAlignment="1" applyProtection="1">
      <alignment horizontal="left" vertical="center" wrapText="1"/>
      <protection locked="0"/>
    </xf>
    <xf numFmtId="164" fontId="9" fillId="10" borderId="1" xfId="0" applyNumberFormat="1" applyFont="1" applyFill="1" applyBorder="1" applyProtection="1">
      <protection locked="0"/>
    </xf>
    <xf numFmtId="167" fontId="9" fillId="10" borderId="1" xfId="0" applyNumberFormat="1" applyFont="1" applyFill="1" applyBorder="1" applyProtection="1">
      <protection locked="0"/>
    </xf>
    <xf numFmtId="9" fontId="9" fillId="10" borderId="1" xfId="8" applyFont="1" applyFill="1" applyBorder="1" applyAlignment="1" applyProtection="1">
      <alignment horizontal="center"/>
      <protection locked="0"/>
    </xf>
    <xf numFmtId="164" fontId="9" fillId="10" borderId="1" xfId="0" applyNumberFormat="1" applyFont="1" applyFill="1" applyBorder="1" applyProtection="1"/>
    <xf numFmtId="0" fontId="0" fillId="10" borderId="8" xfId="0" applyFill="1" applyBorder="1" applyProtection="1">
      <protection locked="0"/>
    </xf>
    <xf numFmtId="43" fontId="5" fillId="10" borderId="1" xfId="2" applyFont="1" applyFill="1" applyBorder="1" applyProtection="1">
      <protection locked="0"/>
    </xf>
    <xf numFmtId="167" fontId="9" fillId="0" borderId="1" xfId="0" applyNumberFormat="1" applyFont="1" applyFill="1" applyBorder="1" applyProtection="1">
      <protection locked="0"/>
    </xf>
    <xf numFmtId="164" fontId="9" fillId="0" borderId="1" xfId="0" applyNumberFormat="1" applyFont="1" applyFill="1" applyBorder="1" applyProtection="1"/>
    <xf numFmtId="0" fontId="0" fillId="0" borderId="8" xfId="0" applyFill="1" applyBorder="1" applyProtection="1">
      <protection locked="0"/>
    </xf>
    <xf numFmtId="4" fontId="0" fillId="9" borderId="1" xfId="0" applyNumberFormat="1" applyFill="1" applyBorder="1" applyProtection="1">
      <protection locked="0"/>
    </xf>
    <xf numFmtId="0" fontId="5" fillId="0" borderId="1" xfId="2" applyNumberFormat="1" applyFont="1" applyFill="1" applyBorder="1" applyProtection="1">
      <protection locked="0"/>
    </xf>
    <xf numFmtId="0" fontId="7" fillId="0" borderId="15" xfId="0" applyFont="1" applyFill="1" applyBorder="1" applyProtection="1">
      <protection locked="0"/>
    </xf>
    <xf numFmtId="166" fontId="5" fillId="0" borderId="15" xfId="2" applyNumberFormat="1" applyFont="1" applyFill="1" applyBorder="1" applyProtection="1">
      <protection locked="0"/>
    </xf>
    <xf numFmtId="43" fontId="5" fillId="0" borderId="15" xfId="2" applyFont="1" applyFill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9" borderId="23" xfId="0" applyFill="1" applyBorder="1" applyAlignment="1" applyProtection="1">
      <protection locked="0"/>
    </xf>
    <xf numFmtId="0" fontId="0" fillId="9" borderId="26" xfId="0" applyFill="1" applyBorder="1" applyAlignment="1" applyProtection="1">
      <protection locked="0"/>
    </xf>
    <xf numFmtId="43" fontId="0" fillId="9" borderId="1" xfId="2" applyFont="1" applyFill="1" applyBorder="1" applyAlignment="1" applyProtection="1">
      <protection locked="0"/>
    </xf>
    <xf numFmtId="0" fontId="0" fillId="8" borderId="1" xfId="0" applyFill="1" applyBorder="1" applyProtection="1">
      <protection locked="0"/>
    </xf>
    <xf numFmtId="10" fontId="0" fillId="8" borderId="1" xfId="8" applyNumberFormat="1" applyFont="1" applyFill="1" applyBorder="1" applyProtection="1">
      <protection locked="0"/>
    </xf>
    <xf numFmtId="4" fontId="0" fillId="8" borderId="1" xfId="0" applyNumberFormat="1" applyFill="1" applyBorder="1" applyProtection="1">
      <protection locked="0"/>
    </xf>
    <xf numFmtId="0" fontId="9" fillId="11" borderId="7" xfId="0" applyFont="1" applyFill="1" applyBorder="1" applyAlignment="1" applyProtection="1">
      <alignment horizontal="left" vertical="center" wrapText="1"/>
      <protection locked="0"/>
    </xf>
    <xf numFmtId="10" fontId="9" fillId="11" borderId="1" xfId="0" applyNumberFormat="1" applyFont="1" applyFill="1" applyBorder="1" applyProtection="1">
      <protection locked="0"/>
    </xf>
    <xf numFmtId="164" fontId="9" fillId="11" borderId="1" xfId="0" applyNumberFormat="1" applyFont="1" applyFill="1" applyBorder="1" applyProtection="1"/>
    <xf numFmtId="0" fontId="7" fillId="4" borderId="1" xfId="0" applyFont="1" applyFill="1" applyBorder="1" applyAlignment="1" applyProtection="1">
      <alignment horizontal="center" wrapText="1"/>
      <protection locked="0"/>
    </xf>
    <xf numFmtId="0" fontId="7" fillId="4" borderId="15" xfId="0" applyFont="1" applyFill="1" applyBorder="1" applyAlignment="1" applyProtection="1">
      <alignment horizontal="center" vertical="center" wrapText="1"/>
      <protection locked="0"/>
    </xf>
    <xf numFmtId="9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0" fontId="16" fillId="0" borderId="1" xfId="0" applyFont="1" applyBorder="1" applyAlignment="1" applyProtection="1">
      <alignment horizontal="center"/>
      <protection locked="0"/>
    </xf>
    <xf numFmtId="4" fontId="16" fillId="9" borderId="24" xfId="0" applyNumberFormat="1" applyFont="1" applyFill="1" applyBorder="1" applyAlignment="1" applyProtection="1">
      <alignment horizontal="center"/>
      <protection locked="0"/>
    </xf>
    <xf numFmtId="0" fontId="16" fillId="9" borderId="12" xfId="0" applyFont="1" applyFill="1" applyBorder="1" applyAlignment="1" applyProtection="1">
      <alignment horizontal="center"/>
      <protection locked="0"/>
    </xf>
    <xf numFmtId="0" fontId="16" fillId="9" borderId="0" xfId="0" applyFont="1" applyFill="1" applyBorder="1" applyAlignment="1" applyProtection="1">
      <alignment horizontal="center"/>
      <protection locked="0"/>
    </xf>
    <xf numFmtId="0" fontId="16" fillId="8" borderId="1" xfId="0" applyFont="1" applyFill="1" applyBorder="1" applyAlignment="1" applyProtection="1">
      <alignment horizontal="center"/>
      <protection locked="0"/>
    </xf>
    <xf numFmtId="10" fontId="16" fillId="8" borderId="1" xfId="0" applyNumberFormat="1" applyFont="1" applyFill="1" applyBorder="1" applyProtection="1">
      <protection locked="0"/>
    </xf>
    <xf numFmtId="0" fontId="16" fillId="8" borderId="1" xfId="0" applyFont="1" applyFill="1" applyBorder="1" applyProtection="1">
      <protection locked="0"/>
    </xf>
    <xf numFmtId="0" fontId="16" fillId="8" borderId="1" xfId="0" applyFont="1" applyFill="1" applyBorder="1" applyAlignment="1" applyProtection="1">
      <protection locked="0"/>
    </xf>
    <xf numFmtId="43" fontId="5" fillId="0" borderId="0" xfId="2" applyFont="1" applyFill="1" applyBorder="1" applyProtection="1">
      <protection locked="0"/>
    </xf>
    <xf numFmtId="4" fontId="0" fillId="0" borderId="0" xfId="0" applyNumberFormat="1" applyFill="1" applyBorder="1" applyProtection="1">
      <protection locked="0"/>
    </xf>
    <xf numFmtId="0" fontId="0" fillId="0" borderId="25" xfId="0" applyBorder="1" applyProtection="1">
      <protection locked="0"/>
    </xf>
    <xf numFmtId="165" fontId="0" fillId="5" borderId="1" xfId="0" applyNumberFormat="1" applyFill="1" applyBorder="1" applyProtection="1">
      <protection locked="0"/>
    </xf>
    <xf numFmtId="170" fontId="7" fillId="4" borderId="1" xfId="0" applyNumberFormat="1" applyFont="1" applyFill="1" applyBorder="1"/>
    <xf numFmtId="170" fontId="0" fillId="0" borderId="1" xfId="0" applyNumberFormat="1" applyBorder="1"/>
    <xf numFmtId="43" fontId="0" fillId="0" borderId="1" xfId="0" applyNumberFormat="1" applyBorder="1" applyProtection="1">
      <protection locked="0"/>
    </xf>
    <xf numFmtId="43" fontId="0" fillId="0" borderId="1" xfId="2" applyFont="1" applyBorder="1" applyProtection="1">
      <protection locked="0"/>
    </xf>
    <xf numFmtId="0" fontId="0" fillId="0" borderId="29" xfId="0" applyBorder="1" applyAlignment="1" applyProtection="1">
      <protection locked="0"/>
    </xf>
    <xf numFmtId="4" fontId="0" fillId="0" borderId="29" xfId="0" applyNumberFormat="1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 applyAlignment="1" applyProtection="1">
      <alignment horizontal="center"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9" fillId="0" borderId="30" xfId="0" applyFont="1" applyBorder="1" applyAlignment="1" applyProtection="1">
      <alignment horizontal="left" vertical="center"/>
      <protection locked="0"/>
    </xf>
    <xf numFmtId="164" fontId="9" fillId="0" borderId="24" xfId="0" applyNumberFormat="1" applyFont="1" applyBorder="1" applyProtection="1">
      <protection locked="0"/>
    </xf>
    <xf numFmtId="10" fontId="9" fillId="0" borderId="24" xfId="0" applyNumberFormat="1" applyFont="1" applyBorder="1" applyProtection="1">
      <protection locked="0"/>
    </xf>
    <xf numFmtId="164" fontId="9" fillId="0" borderId="24" xfId="0" applyNumberFormat="1" applyFont="1" applyBorder="1" applyProtection="1"/>
    <xf numFmtId="0" fontId="13" fillId="12" borderId="5" xfId="0" applyFont="1" applyFill="1" applyBorder="1" applyAlignment="1" applyProtection="1">
      <alignment horizontal="center"/>
      <protection locked="0"/>
    </xf>
    <xf numFmtId="4" fontId="13" fillId="12" borderId="5" xfId="0" applyNumberFormat="1" applyFont="1" applyFill="1" applyBorder="1" applyAlignment="1" applyProtection="1">
      <alignment horizontal="center"/>
      <protection locked="0"/>
    </xf>
    <xf numFmtId="4" fontId="13" fillId="12" borderId="5" xfId="0" applyNumberFormat="1" applyFont="1" applyFill="1" applyBorder="1" applyAlignment="1" applyProtection="1">
      <alignment horizontal="center" wrapText="1"/>
      <protection locked="0"/>
    </xf>
    <xf numFmtId="0" fontId="13" fillId="12" borderId="5" xfId="0" applyFont="1" applyFill="1" applyBorder="1" applyAlignment="1" applyProtection="1">
      <alignment horizontal="center" wrapText="1"/>
      <protection locked="0"/>
    </xf>
    <xf numFmtId="4" fontId="13" fillId="12" borderId="6" xfId="0" applyNumberFormat="1" applyFont="1" applyFill="1" applyBorder="1" applyAlignment="1" applyProtection="1">
      <alignment horizontal="center"/>
      <protection locked="0"/>
    </xf>
    <xf numFmtId="169" fontId="16" fillId="0" borderId="1" xfId="0" applyNumberFormat="1" applyFont="1" applyFill="1" applyBorder="1" applyAlignment="1" applyProtection="1">
      <alignment horizontal="center"/>
      <protection locked="0"/>
    </xf>
    <xf numFmtId="169" fontId="14" fillId="0" borderId="1" xfId="0" applyNumberFormat="1" applyFont="1" applyFill="1" applyBorder="1" applyAlignment="1" applyProtection="1">
      <alignment horizontal="center"/>
      <protection locked="0"/>
    </xf>
    <xf numFmtId="43" fontId="15" fillId="0" borderId="1" xfId="2" applyFont="1" applyFill="1" applyBorder="1" applyAlignment="1" applyProtection="1">
      <alignment horizontal="center"/>
      <protection locked="0"/>
    </xf>
    <xf numFmtId="4" fontId="14" fillId="0" borderId="1" xfId="0" applyNumberFormat="1" applyFont="1" applyFill="1" applyBorder="1" applyAlignment="1" applyProtection="1">
      <alignment horizontal="center"/>
      <protection locked="0"/>
    </xf>
    <xf numFmtId="4" fontId="14" fillId="0" borderId="8" xfId="0" applyNumberFormat="1" applyFont="1" applyBorder="1" applyAlignment="1" applyProtection="1">
      <alignment horizontal="center"/>
      <protection locked="0"/>
    </xf>
    <xf numFmtId="4" fontId="15" fillId="0" borderId="1" xfId="0" applyNumberFormat="1" applyFont="1" applyFill="1" applyBorder="1" applyAlignment="1" applyProtection="1">
      <alignment horizontal="center"/>
      <protection locked="0"/>
    </xf>
    <xf numFmtId="169" fontId="14" fillId="3" borderId="1" xfId="0" applyNumberFormat="1" applyFont="1" applyFill="1" applyBorder="1" applyAlignment="1" applyProtection="1">
      <alignment horizontal="center"/>
      <protection locked="0"/>
    </xf>
    <xf numFmtId="43" fontId="15" fillId="3" borderId="1" xfId="2" applyFont="1" applyFill="1" applyBorder="1" applyAlignment="1" applyProtection="1">
      <alignment horizontal="center"/>
      <protection locked="0"/>
    </xf>
    <xf numFmtId="4" fontId="14" fillId="3" borderId="1" xfId="0" applyNumberFormat="1" applyFont="1" applyFill="1" applyBorder="1" applyAlignment="1" applyProtection="1">
      <alignment horizontal="center"/>
      <protection locked="0"/>
    </xf>
    <xf numFmtId="4" fontId="15" fillId="3" borderId="1" xfId="0" applyNumberFormat="1" applyFont="1" applyFill="1" applyBorder="1" applyAlignment="1" applyProtection="1">
      <alignment horizontal="center"/>
      <protection locked="0"/>
    </xf>
    <xf numFmtId="43" fontId="14" fillId="3" borderId="1" xfId="2" applyFont="1" applyFill="1" applyBorder="1" applyAlignment="1" applyProtection="1">
      <alignment horizontal="center"/>
      <protection locked="0"/>
    </xf>
    <xf numFmtId="14" fontId="14" fillId="0" borderId="8" xfId="0" applyNumberFormat="1" applyFont="1" applyBorder="1" applyAlignment="1" applyProtection="1">
      <alignment horizontal="center"/>
      <protection locked="0"/>
    </xf>
    <xf numFmtId="4" fontId="14" fillId="0" borderId="8" xfId="0" applyNumberFormat="1" applyFont="1" applyFill="1" applyBorder="1" applyAlignment="1" applyProtection="1">
      <alignment horizontal="center"/>
      <protection locked="0"/>
    </xf>
    <xf numFmtId="43" fontId="14" fillId="0" borderId="1" xfId="2" applyFont="1" applyFill="1" applyBorder="1" applyAlignment="1" applyProtection="1">
      <alignment horizontal="center"/>
      <protection locked="0"/>
    </xf>
    <xf numFmtId="4" fontId="14" fillId="9" borderId="1" xfId="0" applyNumberFormat="1" applyFont="1" applyFill="1" applyBorder="1" applyAlignment="1" applyProtection="1">
      <alignment horizontal="center"/>
      <protection locked="0"/>
    </xf>
    <xf numFmtId="169" fontId="16" fillId="3" borderId="1" xfId="0" applyNumberFormat="1" applyFont="1" applyFill="1" applyBorder="1" applyAlignment="1" applyProtection="1">
      <alignment horizontal="center"/>
      <protection locked="0"/>
    </xf>
    <xf numFmtId="169" fontId="14" fillId="0" borderId="0" xfId="0" applyNumberFormat="1" applyFont="1" applyFill="1" applyBorder="1" applyAlignment="1" applyProtection="1">
      <alignment horizontal="center"/>
      <protection locked="0"/>
    </xf>
    <xf numFmtId="4" fontId="7" fillId="4" borderId="12" xfId="0" applyNumberFormat="1" applyFont="1" applyFill="1" applyBorder="1" applyAlignment="1" applyProtection="1">
      <alignment horizontal="center"/>
      <protection locked="0"/>
    </xf>
    <xf numFmtId="164" fontId="9" fillId="0" borderId="14" xfId="0" applyNumberFormat="1" applyFont="1" applyBorder="1" applyAlignment="1" applyProtection="1">
      <alignment horizontal="center" vertical="center"/>
      <protection locked="0"/>
    </xf>
    <xf numFmtId="164" fontId="9" fillId="11" borderId="0" xfId="0" applyNumberFormat="1" applyFont="1" applyFill="1" applyProtection="1"/>
    <xf numFmtId="9" fontId="9" fillId="11" borderId="1" xfId="8" applyFont="1" applyFill="1" applyBorder="1" applyAlignment="1" applyProtection="1">
      <alignment horizontal="center"/>
    </xf>
    <xf numFmtId="14" fontId="9" fillId="0" borderId="8" xfId="0" applyNumberFormat="1" applyFont="1" applyBorder="1" applyProtection="1"/>
    <xf numFmtId="43" fontId="5" fillId="3" borderId="0" xfId="2" applyFont="1" applyFill="1" applyProtection="1"/>
    <xf numFmtId="43" fontId="5" fillId="0" borderId="1" xfId="2" applyFont="1" applyBorder="1" applyProtection="1"/>
    <xf numFmtId="43" fontId="5" fillId="3" borderId="1" xfId="2" applyFont="1" applyFill="1" applyBorder="1" applyProtection="1"/>
    <xf numFmtId="9" fontId="9" fillId="0" borderId="1" xfId="8" applyFont="1" applyBorder="1" applyAlignment="1" applyProtection="1">
      <alignment horizontal="center"/>
    </xf>
    <xf numFmtId="9" fontId="9" fillId="0" borderId="1" xfId="8" applyFont="1" applyFill="1" applyBorder="1" applyAlignment="1" applyProtection="1">
      <alignment horizontal="center"/>
    </xf>
    <xf numFmtId="164" fontId="9" fillId="0" borderId="24" xfId="0" applyNumberFormat="1" applyFont="1" applyFill="1" applyBorder="1" applyProtection="1"/>
    <xf numFmtId="9" fontId="9" fillId="0" borderId="24" xfId="8" applyFont="1" applyFill="1" applyBorder="1" applyAlignment="1" applyProtection="1">
      <alignment horizontal="center"/>
    </xf>
    <xf numFmtId="14" fontId="9" fillId="0" borderId="31" xfId="0" applyNumberFormat="1" applyFont="1" applyBorder="1" applyProtection="1"/>
    <xf numFmtId="167" fontId="9" fillId="0" borderId="10" xfId="0" applyNumberFormat="1" applyFont="1" applyBorder="1" applyProtection="1"/>
    <xf numFmtId="9" fontId="9" fillId="0" borderId="10" xfId="8" applyFont="1" applyBorder="1" applyAlignment="1" applyProtection="1">
      <alignment horizontal="center"/>
    </xf>
    <xf numFmtId="0" fontId="0" fillId="0" borderId="11" xfId="0" applyBorder="1" applyProtection="1"/>
    <xf numFmtId="4" fontId="0" fillId="10" borderId="1" xfId="0" applyNumberFormat="1" applyFill="1" applyBorder="1" applyProtection="1"/>
    <xf numFmtId="43" fontId="5" fillId="7" borderId="1" xfId="2" applyFont="1" applyFill="1" applyBorder="1" applyProtection="1"/>
    <xf numFmtId="43" fontId="5" fillId="10" borderId="1" xfId="2" applyFont="1" applyFill="1" applyBorder="1" applyProtection="1"/>
    <xf numFmtId="14" fontId="9" fillId="0" borderId="23" xfId="0" applyNumberFormat="1" applyFont="1" applyBorder="1" applyProtection="1"/>
    <xf numFmtId="4" fontId="14" fillId="0" borderId="1" xfId="0" applyNumberFormat="1" applyFont="1" applyBorder="1" applyAlignment="1" applyProtection="1">
      <alignment horizontal="center"/>
    </xf>
    <xf numFmtId="4" fontId="14" fillId="9" borderId="1" xfId="0" applyNumberFormat="1" applyFont="1" applyFill="1" applyBorder="1" applyAlignment="1" applyProtection="1">
      <alignment horizontal="center"/>
    </xf>
    <xf numFmtId="4" fontId="16" fillId="9" borderId="1" xfId="0" applyNumberFormat="1" applyFont="1" applyFill="1" applyBorder="1" applyProtection="1"/>
    <xf numFmtId="4" fontId="16" fillId="9" borderId="24" xfId="0" applyNumberFormat="1" applyFont="1" applyFill="1" applyBorder="1" applyAlignment="1" applyProtection="1">
      <alignment horizontal="center"/>
    </xf>
    <xf numFmtId="4" fontId="16" fillId="9" borderId="1" xfId="0" applyNumberFormat="1" applyFont="1" applyFill="1" applyBorder="1" applyAlignment="1" applyProtection="1">
      <alignment horizontal="center"/>
    </xf>
    <xf numFmtId="0" fontId="0" fillId="0" borderId="1" xfId="0" applyBorder="1" applyProtection="1"/>
    <xf numFmtId="43" fontId="0" fillId="9" borderId="1" xfId="2" applyFont="1" applyFill="1" applyBorder="1" applyAlignment="1" applyProtection="1"/>
    <xf numFmtId="0" fontId="0" fillId="8" borderId="1" xfId="0" applyFill="1" applyBorder="1" applyProtection="1"/>
    <xf numFmtId="4" fontId="0" fillId="8" borderId="1" xfId="0" applyNumberFormat="1" applyFill="1" applyBorder="1" applyProtection="1"/>
    <xf numFmtId="4" fontId="0" fillId="3" borderId="1" xfId="0" applyNumberFormat="1" applyFill="1" applyBorder="1" applyProtection="1"/>
    <xf numFmtId="171" fontId="0" fillId="0" borderId="1" xfId="0" applyNumberFormat="1" applyBorder="1" applyProtection="1"/>
    <xf numFmtId="171" fontId="7" fillId="4" borderId="1" xfId="0" applyNumberFormat="1" applyFont="1" applyFill="1" applyBorder="1" applyProtection="1"/>
    <xf numFmtId="0" fontId="7" fillId="4" borderId="0" xfId="0" applyFont="1" applyFill="1" applyBorder="1" applyAlignment="1" applyProtection="1">
      <alignment horizontal="center" vertical="center"/>
      <protection locked="0"/>
    </xf>
    <xf numFmtId="0" fontId="7" fillId="4" borderId="26" xfId="0" applyFont="1" applyFill="1" applyBorder="1" applyAlignment="1" applyProtection="1">
      <alignment horizontal="center" vertical="center" wrapText="1"/>
      <protection locked="0"/>
    </xf>
    <xf numFmtId="171" fontId="0" fillId="0" borderId="23" xfId="0" applyNumberFormat="1" applyBorder="1" applyProtection="1"/>
    <xf numFmtId="171" fontId="0" fillId="0" borderId="7" xfId="0" applyNumberFormat="1" applyBorder="1" applyProtection="1">
      <protection locked="0"/>
    </xf>
    <xf numFmtId="171" fontId="0" fillId="0" borderId="8" xfId="0" applyNumberFormat="1" applyBorder="1" applyProtection="1">
      <protection locked="0"/>
    </xf>
    <xf numFmtId="171" fontId="0" fillId="0" borderId="22" xfId="0" applyNumberFormat="1" applyBorder="1" applyProtection="1">
      <protection locked="0"/>
    </xf>
    <xf numFmtId="0" fontId="7" fillId="4" borderId="15" xfId="0" applyFont="1" applyFill="1" applyBorder="1" applyAlignment="1">
      <alignment horizontal="center" vertical="center" wrapText="1"/>
    </xf>
    <xf numFmtId="2" fontId="0" fillId="0" borderId="1" xfId="2" applyNumberFormat="1" applyFont="1" applyBorder="1" applyProtection="1"/>
    <xf numFmtId="2" fontId="0" fillId="0" borderId="1" xfId="0" applyNumberFormat="1" applyBorder="1" applyProtection="1"/>
    <xf numFmtId="0" fontId="0" fillId="0" borderId="0" xfId="0" applyNumberFormat="1" applyAlignment="1" applyProtection="1">
      <alignment horizontal="center"/>
      <protection locked="0"/>
    </xf>
    <xf numFmtId="43" fontId="0" fillId="8" borderId="1" xfId="2" applyFont="1" applyFill="1" applyBorder="1" applyProtection="1">
      <protection locked="0"/>
    </xf>
    <xf numFmtId="43" fontId="0" fillId="0" borderId="0" xfId="0" applyNumberFormat="1" applyProtection="1">
      <protection locked="0"/>
    </xf>
    <xf numFmtId="43" fontId="0" fillId="7" borderId="1" xfId="2" applyFont="1" applyFill="1" applyBorder="1" applyProtection="1"/>
    <xf numFmtId="0" fontId="9" fillId="0" borderId="7" xfId="0" applyNumberFormat="1" applyFont="1" applyBorder="1" applyAlignment="1" applyProtection="1">
      <alignment horizontal="left" vertical="center" wrapText="1"/>
      <protection locked="0"/>
    </xf>
    <xf numFmtId="43" fontId="0" fillId="6" borderId="0" xfId="0" applyNumberFormat="1" applyFill="1" applyProtection="1">
      <protection locked="0"/>
    </xf>
    <xf numFmtId="43" fontId="0" fillId="0" borderId="1" xfId="2" applyFont="1" applyBorder="1" applyProtection="1"/>
    <xf numFmtId="43" fontId="0" fillId="8" borderId="1" xfId="2" applyFont="1" applyFill="1" applyBorder="1" applyProtection="1"/>
    <xf numFmtId="43" fontId="0" fillId="6" borderId="0" xfId="2" applyFont="1" applyFill="1" applyProtection="1">
      <protection locked="0"/>
    </xf>
    <xf numFmtId="43" fontId="0" fillId="3" borderId="1" xfId="2" applyFont="1" applyFill="1" applyBorder="1" applyProtection="1"/>
    <xf numFmtId="0" fontId="0" fillId="3" borderId="1" xfId="0" applyFill="1" applyBorder="1" applyProtection="1"/>
    <xf numFmtId="43" fontId="0" fillId="8" borderId="0" xfId="0" applyNumberFormat="1" applyFill="1" applyProtection="1">
      <protection locked="0"/>
    </xf>
    <xf numFmtId="43" fontId="0" fillId="3" borderId="1" xfId="2" applyFont="1" applyFill="1" applyBorder="1" applyProtection="1">
      <protection locked="0"/>
    </xf>
    <xf numFmtId="4" fontId="14" fillId="7" borderId="1" xfId="0" applyNumberFormat="1" applyFont="1" applyFill="1" applyBorder="1" applyAlignment="1" applyProtection="1">
      <alignment horizontal="center"/>
    </xf>
    <xf numFmtId="43" fontId="0" fillId="13" borderId="1" xfId="2" applyFont="1" applyFill="1" applyBorder="1" applyProtection="1"/>
    <xf numFmtId="43" fontId="0" fillId="0" borderId="0" xfId="2" applyFont="1" applyProtection="1">
      <protection locked="0"/>
    </xf>
    <xf numFmtId="43" fontId="0" fillId="7" borderId="1" xfId="2" applyFont="1" applyFill="1" applyBorder="1" applyProtection="1">
      <protection locked="0"/>
    </xf>
    <xf numFmtId="4" fontId="0" fillId="0" borderId="23" xfId="0" applyNumberFormat="1" applyBorder="1" applyProtection="1"/>
    <xf numFmtId="0" fontId="0" fillId="3" borderId="23" xfId="0" applyFill="1" applyBorder="1" applyAlignment="1" applyProtection="1">
      <alignment horizontal="center" wrapText="1"/>
      <protection locked="0"/>
    </xf>
    <xf numFmtId="0" fontId="0" fillId="3" borderId="1" xfId="0" applyFill="1" applyBorder="1" applyProtection="1">
      <protection locked="0"/>
    </xf>
    <xf numFmtId="0" fontId="0" fillId="3" borderId="23" xfId="0" applyFill="1" applyBorder="1" applyProtection="1">
      <protection locked="0"/>
    </xf>
    <xf numFmtId="43" fontId="0" fillId="3" borderId="23" xfId="0" applyNumberFormat="1" applyFill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6" fontId="0" fillId="0" borderId="1" xfId="0" applyNumberFormat="1" applyBorder="1" applyAlignment="1" applyProtection="1">
      <alignment horizontal="center"/>
      <protection locked="0"/>
    </xf>
    <xf numFmtId="0" fontId="0" fillId="3" borderId="23" xfId="0" applyFill="1" applyBorder="1" applyAlignment="1" applyProtection="1">
      <alignment wrapText="1"/>
      <protection locked="0"/>
    </xf>
    <xf numFmtId="0" fontId="0" fillId="0" borderId="0" xfId="0" applyNumberFormat="1" applyProtection="1">
      <protection locked="0"/>
    </xf>
    <xf numFmtId="43" fontId="11" fillId="8" borderId="1" xfId="2" applyFont="1" applyFill="1" applyBorder="1" applyProtection="1"/>
    <xf numFmtId="43" fontId="0" fillId="3" borderId="0" xfId="0" applyNumberFormat="1" applyFill="1" applyProtection="1">
      <protection locked="0"/>
    </xf>
    <xf numFmtId="43" fontId="0" fillId="14" borderId="1" xfId="2" applyFont="1" applyFill="1" applyBorder="1" applyProtection="1"/>
    <xf numFmtId="43" fontId="0" fillId="6" borderId="1" xfId="2" applyFont="1" applyFill="1" applyBorder="1" applyProtection="1">
      <protection locked="0"/>
    </xf>
    <xf numFmtId="43" fontId="0" fillId="15" borderId="1" xfId="2" applyFont="1" applyFill="1" applyBorder="1" applyProtection="1"/>
    <xf numFmtId="43" fontId="0" fillId="11" borderId="1" xfId="2" applyFont="1" applyFill="1" applyBorder="1" applyProtection="1"/>
    <xf numFmtId="43" fontId="0" fillId="16" borderId="1" xfId="2" applyFont="1" applyFill="1" applyBorder="1" applyProtection="1"/>
    <xf numFmtId="164" fontId="21" fillId="2" borderId="14" xfId="1" applyNumberFormat="1" applyFont="1" applyBorder="1" applyProtection="1">
      <protection locked="0"/>
    </xf>
    <xf numFmtId="0" fontId="0" fillId="6" borderId="1" xfId="0" applyFill="1" applyBorder="1" applyProtection="1">
      <protection locked="0"/>
    </xf>
    <xf numFmtId="0" fontId="0" fillId="6" borderId="0" xfId="0" applyFill="1" applyProtection="1">
      <protection locked="0"/>
    </xf>
    <xf numFmtId="0" fontId="0" fillId="3" borderId="24" xfId="0" applyFill="1" applyBorder="1" applyAlignment="1" applyProtection="1">
      <alignment horizontal="center"/>
    </xf>
    <xf numFmtId="0" fontId="0" fillId="3" borderId="15" xfId="0" applyFill="1" applyBorder="1" applyAlignment="1" applyProtection="1">
      <alignment horizontal="center"/>
    </xf>
    <xf numFmtId="0" fontId="0" fillId="3" borderId="12" xfId="0" applyFill="1" applyBorder="1" applyAlignment="1" applyProtection="1">
      <alignment horizontal="center"/>
    </xf>
    <xf numFmtId="0" fontId="0" fillId="3" borderId="23" xfId="0" applyFill="1" applyBorder="1" applyAlignment="1" applyProtection="1">
      <alignment horizontal="center"/>
    </xf>
    <xf numFmtId="0" fontId="0" fillId="3" borderId="26" xfId="0" applyFill="1" applyBorder="1" applyAlignment="1" applyProtection="1">
      <alignment horizontal="center"/>
    </xf>
    <xf numFmtId="0" fontId="0" fillId="3" borderId="22" xfId="0" applyFill="1" applyBorder="1" applyAlignment="1" applyProtection="1">
      <alignment horizontal="center"/>
    </xf>
    <xf numFmtId="0" fontId="17" fillId="3" borderId="23" xfId="0" applyFont="1" applyFill="1" applyBorder="1" applyAlignment="1" applyProtection="1">
      <alignment horizontal="center"/>
    </xf>
    <xf numFmtId="0" fontId="17" fillId="3" borderId="26" xfId="0" applyFont="1" applyFill="1" applyBorder="1" applyAlignment="1" applyProtection="1">
      <alignment horizontal="center"/>
    </xf>
    <xf numFmtId="0" fontId="17" fillId="3" borderId="22" xfId="0" applyFont="1" applyFill="1" applyBorder="1" applyAlignment="1" applyProtection="1">
      <alignment horizontal="center"/>
    </xf>
    <xf numFmtId="0" fontId="3" fillId="3" borderId="23" xfId="0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10" fillId="0" borderId="25" xfId="0" applyFont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7" fillId="4" borderId="27" xfId="0" applyFont="1" applyFill="1" applyBorder="1" applyAlignment="1" applyProtection="1">
      <alignment horizontal="center" vertical="center"/>
      <protection locked="0"/>
    </xf>
    <xf numFmtId="0" fontId="7" fillId="4" borderId="28" xfId="0" applyFont="1" applyFill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/>
      <protection locked="0"/>
    </xf>
    <xf numFmtId="0" fontId="17" fillId="3" borderId="23" xfId="0" applyFont="1" applyFill="1" applyBorder="1" applyAlignment="1" applyProtection="1">
      <alignment horizontal="center"/>
      <protection locked="0"/>
    </xf>
    <xf numFmtId="0" fontId="17" fillId="3" borderId="26" xfId="0" applyFont="1" applyFill="1" applyBorder="1" applyAlignment="1" applyProtection="1">
      <alignment horizontal="center"/>
      <protection locked="0"/>
    </xf>
    <xf numFmtId="0" fontId="17" fillId="3" borderId="22" xfId="0" applyFont="1" applyFill="1" applyBorder="1" applyAlignment="1" applyProtection="1">
      <alignment horizontal="center"/>
      <protection locked="0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0" fontId="3" fillId="3" borderId="26" xfId="0" applyFont="1" applyFill="1" applyBorder="1" applyAlignment="1" applyProtection="1">
      <alignment horizontal="center" vertical="center"/>
      <protection locked="0"/>
    </xf>
    <xf numFmtId="0" fontId="3" fillId="3" borderId="22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17" fillId="3" borderId="23" xfId="0" applyFont="1" applyFill="1" applyBorder="1" applyAlignment="1">
      <alignment horizontal="center"/>
    </xf>
    <xf numFmtId="0" fontId="17" fillId="3" borderId="26" xfId="0" applyFont="1" applyFill="1" applyBorder="1" applyAlignment="1">
      <alignment horizontal="center"/>
    </xf>
    <xf numFmtId="0" fontId="17" fillId="3" borderId="2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4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9" borderId="1" xfId="0" applyFont="1" applyFill="1" applyBorder="1" applyAlignment="1" applyProtection="1">
      <alignment horizontal="center"/>
      <protection locked="0"/>
    </xf>
    <xf numFmtId="0" fontId="16" fillId="9" borderId="24" xfId="0" applyFont="1" applyFill="1" applyBorder="1" applyAlignment="1" applyProtection="1">
      <alignment horizontal="center"/>
      <protection locked="0"/>
    </xf>
    <xf numFmtId="0" fontId="0" fillId="9" borderId="24" xfId="0" applyFill="1" applyBorder="1" applyAlignment="1" applyProtection="1">
      <alignment horizontal="center"/>
      <protection locked="0"/>
    </xf>
    <xf numFmtId="0" fontId="0" fillId="9" borderId="12" xfId="0" applyFill="1" applyBorder="1" applyAlignment="1" applyProtection="1">
      <alignment horizontal="center"/>
      <protection locked="0"/>
    </xf>
    <xf numFmtId="0" fontId="16" fillId="9" borderId="24" xfId="0" applyFont="1" applyFill="1" applyBorder="1" applyAlignment="1" applyProtection="1">
      <alignment horizontal="center" vertical="center"/>
      <protection locked="0"/>
    </xf>
    <xf numFmtId="0" fontId="16" fillId="9" borderId="12" xfId="0" applyFont="1" applyFill="1" applyBorder="1" applyAlignment="1" applyProtection="1">
      <alignment horizontal="center" vertical="center"/>
      <protection locked="0"/>
    </xf>
    <xf numFmtId="0" fontId="16" fillId="8" borderId="23" xfId="0" applyFont="1" applyFill="1" applyBorder="1" applyAlignment="1" applyProtection="1">
      <alignment horizontal="center"/>
      <protection locked="0"/>
    </xf>
    <xf numFmtId="0" fontId="16" fillId="8" borderId="26" xfId="0" applyFont="1" applyFill="1" applyBorder="1" applyAlignment="1" applyProtection="1">
      <alignment horizontal="center"/>
      <protection locked="0"/>
    </xf>
    <xf numFmtId="0" fontId="16" fillId="8" borderId="22" xfId="0" applyFont="1" applyFill="1" applyBorder="1" applyAlignment="1" applyProtection="1">
      <alignment horizontal="center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169" fontId="14" fillId="9" borderId="23" xfId="0" applyNumberFormat="1" applyFont="1" applyFill="1" applyBorder="1" applyAlignment="1" applyProtection="1">
      <alignment horizontal="center"/>
      <protection locked="0"/>
    </xf>
    <xf numFmtId="169" fontId="14" fillId="9" borderId="26" xfId="0" applyNumberFormat="1" applyFont="1" applyFill="1" applyBorder="1" applyAlignment="1" applyProtection="1">
      <alignment horizontal="center"/>
      <protection locked="0"/>
    </xf>
    <xf numFmtId="169" fontId="14" fillId="9" borderId="22" xfId="0" applyNumberFormat="1" applyFont="1" applyFill="1" applyBorder="1" applyAlignment="1" applyProtection="1">
      <alignment horizontal="center"/>
      <protection locked="0"/>
    </xf>
    <xf numFmtId="0" fontId="17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7" fillId="4" borderId="23" xfId="0" applyFont="1" applyFill="1" applyBorder="1" applyAlignment="1" applyProtection="1">
      <alignment horizontal="left" vertical="center" wrapText="1"/>
      <protection locked="0"/>
    </xf>
    <xf numFmtId="0" fontId="7" fillId="4" borderId="22" xfId="0" applyFont="1" applyFill="1" applyBorder="1" applyAlignment="1" applyProtection="1">
      <alignment horizontal="left" vertical="center" wrapText="1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23" xfId="0" applyFill="1" applyBorder="1" applyAlignment="1" applyProtection="1">
      <alignment horizontal="center"/>
      <protection locked="0"/>
    </xf>
    <xf numFmtId="0" fontId="0" fillId="5" borderId="26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</cellXfs>
  <cellStyles count="9">
    <cellStyle name="Incorrecto" xfId="1" builtinId="27"/>
    <cellStyle name="Millares" xfId="2" builtinId="3"/>
    <cellStyle name="Millares 2" xfId="3"/>
    <cellStyle name="Millares 3" xfId="4"/>
    <cellStyle name="Millares 4" xfId="5"/>
    <cellStyle name="Millares 5" xfId="6"/>
    <cellStyle name="Moneda 2" xfId="7"/>
    <cellStyle name="Normal" xfId="0" builtinId="0"/>
    <cellStyle name="Porcentaje" xfId="8" builtinId="5"/>
  </cellStyles>
  <dxfs count="9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</dxfs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VE"/>
              <a:t>COMPORTAMIENTO DE LAS VENTAS SEGUN REPORTE Z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val>
            <c:numRef>
              <c:f>'RESUMEN GENERAL DE VENTAS'!$B$8:$B$38</c:f>
              <c:numCache>
                <c:formatCode>_ [$Bs.S-200A]\ * #,##0.00_ ;_ [$Bs.S-200A]\ * \-#,##0.00_ ;_ [$Bs.S-200A]\ * "-"??_ ;_ @_ </c:formatCode>
                <c:ptCount val="31"/>
                <c:pt idx="0">
                  <c:v>7359.68</c:v>
                </c:pt>
                <c:pt idx="1">
                  <c:v>8135.42</c:v>
                </c:pt>
                <c:pt idx="2">
                  <c:v>8764.75</c:v>
                </c:pt>
                <c:pt idx="3">
                  <c:v>8316.92</c:v>
                </c:pt>
                <c:pt idx="4">
                  <c:v>10995.26</c:v>
                </c:pt>
                <c:pt idx="5">
                  <c:v>15891.26</c:v>
                </c:pt>
                <c:pt idx="6">
                  <c:v>12619.79</c:v>
                </c:pt>
                <c:pt idx="7">
                  <c:v>7348.6</c:v>
                </c:pt>
                <c:pt idx="8">
                  <c:v>8109.69</c:v>
                </c:pt>
                <c:pt idx="9">
                  <c:v>11944.38</c:v>
                </c:pt>
                <c:pt idx="10">
                  <c:v>7019.63</c:v>
                </c:pt>
                <c:pt idx="11">
                  <c:v>8030.73</c:v>
                </c:pt>
                <c:pt idx="12">
                  <c:v>8297.9599999999991</c:v>
                </c:pt>
                <c:pt idx="13">
                  <c:v>6678.25</c:v>
                </c:pt>
                <c:pt idx="14">
                  <c:v>9740.08</c:v>
                </c:pt>
                <c:pt idx="15">
                  <c:v>13841.61</c:v>
                </c:pt>
                <c:pt idx="16">
                  <c:v>9931.43</c:v>
                </c:pt>
                <c:pt idx="17">
                  <c:v>8156.31</c:v>
                </c:pt>
                <c:pt idx="18">
                  <c:v>7826.12</c:v>
                </c:pt>
                <c:pt idx="19">
                  <c:v>6072.76</c:v>
                </c:pt>
                <c:pt idx="20">
                  <c:v>8128.39</c:v>
                </c:pt>
                <c:pt idx="21">
                  <c:v>11129.06</c:v>
                </c:pt>
                <c:pt idx="22">
                  <c:v>15328.76</c:v>
                </c:pt>
                <c:pt idx="23">
                  <c:v>14662.34</c:v>
                </c:pt>
                <c:pt idx="24">
                  <c:v>7316.2</c:v>
                </c:pt>
                <c:pt idx="25">
                  <c:v>5430.98</c:v>
                </c:pt>
                <c:pt idx="26">
                  <c:v>6645.24</c:v>
                </c:pt>
                <c:pt idx="27">
                  <c:v>7807.63</c:v>
                </c:pt>
                <c:pt idx="28">
                  <c:v>9828.2000000000007</c:v>
                </c:pt>
                <c:pt idx="29">
                  <c:v>15956.99</c:v>
                </c:pt>
                <c:pt idx="30">
                  <c:v>12600.07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86-49CC-9239-BCFEEEFE5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8695424"/>
        <c:axId val="118696960"/>
        <c:axId val="0"/>
      </c:bar3DChart>
      <c:catAx>
        <c:axId val="118695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18696960"/>
        <c:crosses val="autoZero"/>
        <c:auto val="1"/>
        <c:lblAlgn val="ctr"/>
        <c:lblOffset val="100"/>
        <c:noMultiLvlLbl val="0"/>
      </c:catAx>
      <c:valAx>
        <c:axId val="118696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_ [$Bs.S-200A]\ * #,##0.00_ ;_ [$Bs.S-200A]\ * \-#,##0.00_ ;_ [$Bs.S-200A]\ * &quot;-&quot;??_ ;_ @_ 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18695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675827825186773"/>
          <c:y val="0.20833333333333401"/>
          <c:w val="0.74764544484295481"/>
          <c:h val="0.6842672790901137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none"/>
          </c:marker>
          <c:trendline>
            <c:spPr>
              <a:ln w="19050" cap="rnd">
                <a:solidFill>
                  <a:schemeClr val="tx1">
                    <a:lumMod val="50000"/>
                    <a:lumOff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val>
            <c:numRef>
              <c:f>'RESUMEN GENERAL DE VENTAS'!$B$8:$B$38</c:f>
              <c:numCache>
                <c:formatCode>_ [$Bs.S-200A]\ * #,##0.00_ ;_ [$Bs.S-200A]\ * \-#,##0.00_ ;_ [$Bs.S-200A]\ * "-"??_ ;_ @_ </c:formatCode>
                <c:ptCount val="31"/>
                <c:pt idx="0">
                  <c:v>7359.68</c:v>
                </c:pt>
                <c:pt idx="1">
                  <c:v>8135.42</c:v>
                </c:pt>
                <c:pt idx="2">
                  <c:v>8764.75</c:v>
                </c:pt>
                <c:pt idx="3">
                  <c:v>8316.92</c:v>
                </c:pt>
                <c:pt idx="4">
                  <c:v>10995.26</c:v>
                </c:pt>
                <c:pt idx="5">
                  <c:v>15891.26</c:v>
                </c:pt>
                <c:pt idx="6">
                  <c:v>12619.79</c:v>
                </c:pt>
                <c:pt idx="7">
                  <c:v>7348.6</c:v>
                </c:pt>
                <c:pt idx="8">
                  <c:v>8109.69</c:v>
                </c:pt>
                <c:pt idx="9">
                  <c:v>11944.38</c:v>
                </c:pt>
                <c:pt idx="10">
                  <c:v>7019.63</c:v>
                </c:pt>
                <c:pt idx="11">
                  <c:v>8030.73</c:v>
                </c:pt>
                <c:pt idx="12">
                  <c:v>8297.9599999999991</c:v>
                </c:pt>
                <c:pt idx="13">
                  <c:v>6678.25</c:v>
                </c:pt>
                <c:pt idx="14">
                  <c:v>9740.08</c:v>
                </c:pt>
                <c:pt idx="15">
                  <c:v>13841.61</c:v>
                </c:pt>
                <c:pt idx="16">
                  <c:v>9931.43</c:v>
                </c:pt>
                <c:pt idx="17">
                  <c:v>8156.31</c:v>
                </c:pt>
                <c:pt idx="18">
                  <c:v>7826.12</c:v>
                </c:pt>
                <c:pt idx="19">
                  <c:v>6072.76</c:v>
                </c:pt>
                <c:pt idx="20">
                  <c:v>8128.39</c:v>
                </c:pt>
                <c:pt idx="21">
                  <c:v>11129.06</c:v>
                </c:pt>
                <c:pt idx="22">
                  <c:v>15328.76</c:v>
                </c:pt>
                <c:pt idx="23">
                  <c:v>14662.34</c:v>
                </c:pt>
                <c:pt idx="24">
                  <c:v>7316.2</c:v>
                </c:pt>
                <c:pt idx="25">
                  <c:v>5430.98</c:v>
                </c:pt>
                <c:pt idx="26">
                  <c:v>6645.24</c:v>
                </c:pt>
                <c:pt idx="27">
                  <c:v>7807.63</c:v>
                </c:pt>
                <c:pt idx="28">
                  <c:v>9828.2000000000007</c:v>
                </c:pt>
                <c:pt idx="29">
                  <c:v>15956.99</c:v>
                </c:pt>
                <c:pt idx="30">
                  <c:v>12600.07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0D-4C75-BA84-62247F89E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743040"/>
        <c:axId val="118744960"/>
      </c:lineChart>
      <c:catAx>
        <c:axId val="11874304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DIA</a:t>
                </a:r>
              </a:p>
            </c:rich>
          </c:tx>
          <c:layout>
            <c:manualLayout>
              <c:xMode val="edge"/>
              <c:yMode val="edge"/>
              <c:x val="0.95141854211988786"/>
              <c:y val="0.92500791059654119"/>
            </c:manualLayout>
          </c:layout>
          <c:overlay val="0"/>
          <c:spPr>
            <a:noFill/>
            <a:ln w="25400">
              <a:noFill/>
            </a:ln>
          </c:spPr>
        </c:title>
        <c:majorTickMark val="out"/>
        <c:minorTickMark val="none"/>
        <c:tickLblPos val="nextTo"/>
        <c:crossAx val="118744960"/>
        <c:crosses val="autoZero"/>
        <c:auto val="1"/>
        <c:lblAlgn val="ctr"/>
        <c:lblOffset val="100"/>
        <c:noMultiLvlLbl val="0"/>
      </c:catAx>
      <c:valAx>
        <c:axId val="118744960"/>
        <c:scaling>
          <c:orientation val="minMax"/>
        </c:scaling>
        <c:delete val="1"/>
        <c:axPos val="l"/>
        <c:numFmt formatCode="_ [$Bs.S-200A]\ * #,##0.00_ ;_ [$Bs.S-200A]\ * \-#,##0.00_ ;_ [$Bs.S-200A]\ * &quot;-&quot;??_ ;_ @_ " sourceLinked="1"/>
        <c:majorTickMark val="out"/>
        <c:minorTickMark val="none"/>
        <c:tickLblPos val="nextTo"/>
        <c:crossAx val="118743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VE"/>
              <a:t>COMPORTAMIENTO DE LAS TRANSACCIONES DEL MES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433-464F-8128-1E2407FEE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1828352"/>
        <c:axId val="151829888"/>
        <c:axId val="0"/>
      </c:bar3DChart>
      <c:catAx>
        <c:axId val="15182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51829888"/>
        <c:crosses val="autoZero"/>
        <c:auto val="1"/>
        <c:lblAlgn val="ctr"/>
        <c:lblOffset val="100"/>
        <c:noMultiLvlLbl val="0"/>
      </c:catAx>
      <c:valAx>
        <c:axId val="151829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TRANSACCIONES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51828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62223719928122"/>
          <c:y val="0.20833333333333401"/>
          <c:w val="0.85578156505245151"/>
          <c:h val="0.6842672790901137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none"/>
          </c:marker>
          <c:trendline>
            <c:spPr>
              <a:ln w="19050" cap="rnd">
                <a:solidFill>
                  <a:schemeClr val="tx1">
                    <a:lumMod val="50000"/>
                    <a:lumOff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71B-45DF-98E4-723391FA8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501568"/>
        <c:axId val="119503488"/>
      </c:lineChart>
      <c:catAx>
        <c:axId val="11950156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 algn="l"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DIA</a:t>
                </a:r>
              </a:p>
            </c:rich>
          </c:tx>
          <c:layout>
            <c:manualLayout>
              <c:xMode val="edge"/>
              <c:yMode val="edge"/>
              <c:x val="0.95141861594863897"/>
              <c:y val="0.92500791059654119"/>
            </c:manualLayout>
          </c:layout>
          <c:overlay val="0"/>
          <c:spPr>
            <a:noFill/>
            <a:ln w="25400">
              <a:noFill/>
            </a:ln>
          </c:spPr>
        </c:title>
        <c:majorTickMark val="out"/>
        <c:minorTickMark val="none"/>
        <c:tickLblPos val="nextTo"/>
        <c:crossAx val="119503488"/>
        <c:crosses val="autoZero"/>
        <c:auto val="1"/>
        <c:lblAlgn val="ctr"/>
        <c:lblOffset val="100"/>
        <c:noMultiLvlLbl val="0"/>
      </c:catAx>
      <c:valAx>
        <c:axId val="1195034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9501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VE"/>
              <a:t>COMPORTAMIENTO DE LAS TRANSACCIONES DEL MES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C0504D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957-4EFA-81FC-2785D5191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9532160"/>
        <c:axId val="119558528"/>
        <c:axId val="0"/>
      </c:bar3DChart>
      <c:catAx>
        <c:axId val="119532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19558528"/>
        <c:crosses val="autoZero"/>
        <c:auto val="1"/>
        <c:lblAlgn val="ctr"/>
        <c:lblOffset val="100"/>
        <c:noMultiLvlLbl val="0"/>
      </c:catAx>
      <c:valAx>
        <c:axId val="11955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VE"/>
                  <a:t>TRANSACCIONES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19532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973381827733484E-2"/>
          <c:y val="5.2264808362369339E-2"/>
          <c:w val="0.96138544530823833"/>
          <c:h val="0.89895470383275267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571968"/>
        <c:axId val="119573504"/>
      </c:barChart>
      <c:catAx>
        <c:axId val="119571968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19573504"/>
        <c:crosses val="autoZero"/>
        <c:auto val="1"/>
        <c:lblAlgn val="ctr"/>
        <c:lblOffset val="100"/>
        <c:tickMarkSkip val="1"/>
        <c:noMultiLvlLbl val="0"/>
      </c:catAx>
      <c:valAx>
        <c:axId val="119573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VE"/>
          </a:p>
        </c:txPr>
        <c:crossAx val="1195719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V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323850</xdr:colOff>
      <xdr:row>2</xdr:row>
      <xdr:rowOff>161925</xdr:rowOff>
    </xdr:to>
    <xdr:pic>
      <xdr:nvPicPr>
        <xdr:cNvPr id="50392218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6</xdr:row>
      <xdr:rowOff>66675</xdr:rowOff>
    </xdr:from>
    <xdr:to>
      <xdr:col>12</xdr:col>
      <xdr:colOff>495300</xdr:colOff>
      <xdr:row>20</xdr:row>
      <xdr:rowOff>95250</xdr:rowOff>
    </xdr:to>
    <xdr:grpSp>
      <xdr:nvGrpSpPr>
        <xdr:cNvPr id="50392219" name="Grupo 8"/>
        <xdr:cNvGrpSpPr>
          <a:grpSpLocks/>
        </xdr:cNvGrpSpPr>
      </xdr:nvGrpSpPr>
      <xdr:grpSpPr bwMode="auto">
        <a:xfrm>
          <a:off x="5429250" y="1266825"/>
          <a:ext cx="7877175" cy="2847975"/>
          <a:chOff x="8058149" y="1266825"/>
          <a:chExt cx="5524501" cy="2852737"/>
        </a:xfrm>
      </xdr:grpSpPr>
      <xdr:graphicFrame macro="">
        <xdr:nvGraphicFramePr>
          <xdr:cNvPr id="50392227" name="Gráfico 2"/>
          <xdr:cNvGraphicFramePr>
            <a:graphicFrameLocks/>
          </xdr:cNvGraphicFramePr>
        </xdr:nvGraphicFramePr>
        <xdr:xfrm>
          <a:off x="8058149" y="1376362"/>
          <a:ext cx="5457825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0392228" name="Gráfico 5"/>
          <xdr:cNvGraphicFramePr>
            <a:graphicFrameLocks/>
          </xdr:cNvGraphicFramePr>
        </xdr:nvGraphicFramePr>
        <xdr:xfrm>
          <a:off x="8124825" y="1266825"/>
          <a:ext cx="5457825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5</xdr:col>
      <xdr:colOff>0</xdr:colOff>
      <xdr:row>23</xdr:row>
      <xdr:rowOff>38100</xdr:rowOff>
    </xdr:from>
    <xdr:to>
      <xdr:col>13</xdr:col>
      <xdr:colOff>57150</xdr:colOff>
      <xdr:row>37</xdr:row>
      <xdr:rowOff>180975</xdr:rowOff>
    </xdr:to>
    <xdr:grpSp>
      <xdr:nvGrpSpPr>
        <xdr:cNvPr id="50392220" name="Grupo 15"/>
        <xdr:cNvGrpSpPr>
          <a:grpSpLocks/>
        </xdr:cNvGrpSpPr>
      </xdr:nvGrpSpPr>
      <xdr:grpSpPr bwMode="auto">
        <a:xfrm>
          <a:off x="6429375" y="4629150"/>
          <a:ext cx="7200900" cy="2809875"/>
          <a:chOff x="8410575" y="4629150"/>
          <a:chExt cx="6153151" cy="2814637"/>
        </a:xfrm>
      </xdr:grpSpPr>
      <xdr:graphicFrame macro="">
        <xdr:nvGraphicFramePr>
          <xdr:cNvPr id="50392225" name="Gráfico 13"/>
          <xdr:cNvGraphicFramePr>
            <a:graphicFrameLocks/>
          </xdr:cNvGraphicFramePr>
        </xdr:nvGraphicFramePr>
        <xdr:xfrm>
          <a:off x="8410575" y="4700587"/>
          <a:ext cx="6107118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50392226" name="Gráfico 14"/>
          <xdr:cNvGraphicFramePr>
            <a:graphicFrameLocks/>
          </xdr:cNvGraphicFramePr>
        </xdr:nvGraphicFramePr>
        <xdr:xfrm>
          <a:off x="8456608" y="4629150"/>
          <a:ext cx="6107118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323850</xdr:colOff>
      <xdr:row>2</xdr:row>
      <xdr:rowOff>161925</xdr:rowOff>
    </xdr:to>
    <xdr:pic>
      <xdr:nvPicPr>
        <xdr:cNvPr id="50392221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23</xdr:row>
      <xdr:rowOff>38100</xdr:rowOff>
    </xdr:from>
    <xdr:to>
      <xdr:col>13</xdr:col>
      <xdr:colOff>57150</xdr:colOff>
      <xdr:row>37</xdr:row>
      <xdr:rowOff>180975</xdr:rowOff>
    </xdr:to>
    <xdr:grpSp>
      <xdr:nvGrpSpPr>
        <xdr:cNvPr id="50392222" name="Grupo 15"/>
        <xdr:cNvGrpSpPr>
          <a:grpSpLocks/>
        </xdr:cNvGrpSpPr>
      </xdr:nvGrpSpPr>
      <xdr:grpSpPr bwMode="auto">
        <a:xfrm>
          <a:off x="6429375" y="4629150"/>
          <a:ext cx="7200900" cy="2809875"/>
          <a:chOff x="8410575" y="4629150"/>
          <a:chExt cx="6153151" cy="2814637"/>
        </a:xfrm>
      </xdr:grpSpPr>
      <xdr:graphicFrame macro="">
        <xdr:nvGraphicFramePr>
          <xdr:cNvPr id="50392224" name="Gráfico 13"/>
          <xdr:cNvGraphicFramePr>
            <a:graphicFrameLocks/>
          </xdr:cNvGraphicFramePr>
        </xdr:nvGraphicFramePr>
        <xdr:xfrm>
          <a:off x="8410575" y="4700587"/>
          <a:ext cx="6107118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</xdr:grpSp>
    <xdr:clientData/>
  </xdr:twoCellAnchor>
  <xdr:twoCellAnchor>
    <xdr:from>
      <xdr:col>5</xdr:col>
      <xdr:colOff>47625</xdr:colOff>
      <xdr:row>23</xdr:row>
      <xdr:rowOff>38100</xdr:rowOff>
    </xdr:from>
    <xdr:to>
      <xdr:col>13</xdr:col>
      <xdr:colOff>57150</xdr:colOff>
      <xdr:row>37</xdr:row>
      <xdr:rowOff>104775</xdr:rowOff>
    </xdr:to>
    <xdr:graphicFrame macro="">
      <xdr:nvGraphicFramePr>
        <xdr:cNvPr id="5039222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50399246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50405390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1038225</xdr:colOff>
      <xdr:row>2</xdr:row>
      <xdr:rowOff>161925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382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3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4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5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6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7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8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9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0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2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13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14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15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16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17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18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19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0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22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23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24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Relationship Id="rId4" Type="http://schemas.openxmlformats.org/officeDocument/2006/relationships/comments" Target="../comments25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26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Relationship Id="rId4" Type="http://schemas.openxmlformats.org/officeDocument/2006/relationships/comments" Target="../comments27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Relationship Id="rId4" Type="http://schemas.openxmlformats.org/officeDocument/2006/relationships/comments" Target="../comments28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Relationship Id="rId4" Type="http://schemas.openxmlformats.org/officeDocument/2006/relationships/comments" Target="../comments29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Relationship Id="rId4" Type="http://schemas.openxmlformats.org/officeDocument/2006/relationships/comments" Target="../comments30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Relationship Id="rId4" Type="http://schemas.openxmlformats.org/officeDocument/2006/relationships/comments" Target="../comments3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GridLines="0" topLeftCell="A26" workbookViewId="0">
      <selection activeCell="A38" sqref="A8:A38"/>
    </sheetView>
  </sheetViews>
  <sheetFormatPr baseColWidth="10" defaultRowHeight="15" x14ac:dyDescent="0.25"/>
  <cols>
    <col min="1" max="1" width="10.7109375" style="31" customWidth="1"/>
    <col min="2" max="3" width="22.7109375" style="31" customWidth="1"/>
    <col min="4" max="4" width="19.140625" style="31" customWidth="1"/>
    <col min="5" max="5" width="21.140625" style="31" customWidth="1"/>
    <col min="6" max="6" width="16.42578125" style="31" customWidth="1"/>
    <col min="7" max="7" width="22.140625" style="31" customWidth="1"/>
    <col min="8" max="16384" width="11.42578125" style="31"/>
  </cols>
  <sheetData>
    <row r="1" spans="1:9" s="43" customFormat="1" ht="16.5" customHeight="1" x14ac:dyDescent="0.25">
      <c r="A1" s="246"/>
      <c r="B1" s="249"/>
      <c r="C1" s="250"/>
      <c r="D1" s="250"/>
      <c r="E1" s="250"/>
      <c r="F1" s="250"/>
      <c r="G1" s="251"/>
    </row>
    <row r="2" spans="1:9" s="43" customFormat="1" ht="16.5" customHeight="1" x14ac:dyDescent="0.35">
      <c r="A2" s="247"/>
      <c r="B2" s="252" t="s">
        <v>12</v>
      </c>
      <c r="C2" s="253"/>
      <c r="D2" s="253"/>
      <c r="E2" s="253"/>
      <c r="F2" s="253"/>
      <c r="G2" s="254"/>
    </row>
    <row r="3" spans="1:9" s="43" customFormat="1" ht="16.5" customHeight="1" x14ac:dyDescent="0.25">
      <c r="A3" s="248"/>
      <c r="B3" s="255" t="s">
        <v>34</v>
      </c>
      <c r="C3" s="256"/>
      <c r="D3" s="256"/>
      <c r="E3" s="256"/>
      <c r="F3" s="256"/>
      <c r="G3" s="257"/>
    </row>
    <row r="4" spans="1:9" x14ac:dyDescent="0.25">
      <c r="A4" s="258" t="s">
        <v>51</v>
      </c>
      <c r="B4" s="258"/>
      <c r="C4" s="258"/>
      <c r="D4" s="258"/>
      <c r="E4" s="258"/>
      <c r="F4" s="258"/>
      <c r="G4" s="258"/>
      <c r="H4" s="44"/>
      <c r="I4" s="44"/>
    </row>
    <row r="7" spans="1:9" ht="27" customHeight="1" x14ac:dyDescent="0.25">
      <c r="A7" s="45" t="s">
        <v>29</v>
      </c>
      <c r="B7" s="45" t="s">
        <v>35</v>
      </c>
      <c r="C7" s="45" t="s">
        <v>36</v>
      </c>
      <c r="D7" s="45" t="s">
        <v>37</v>
      </c>
    </row>
    <row r="8" spans="1:9" x14ac:dyDescent="0.25">
      <c r="A8" s="46">
        <f>'DIA 1'!B$6</f>
        <v>44501</v>
      </c>
      <c r="B8" s="199">
        <f>'DIA 1'!B68</f>
        <v>7359.68</v>
      </c>
      <c r="C8" s="199">
        <f>'DIA 1'!B69</f>
        <v>7359.68</v>
      </c>
      <c r="D8" s="199">
        <f>C8-B8</f>
        <v>0</v>
      </c>
    </row>
    <row r="9" spans="1:9" x14ac:dyDescent="0.25">
      <c r="A9" s="46">
        <f>'DIA 2'!B$6</f>
        <v>44502</v>
      </c>
      <c r="B9" s="199">
        <f>'DIA 2'!B$68</f>
        <v>8135.42</v>
      </c>
      <c r="C9" s="199">
        <f>'DIA 2'!B$69</f>
        <v>8135.42</v>
      </c>
      <c r="D9" s="199">
        <f t="shared" ref="D9:D38" si="0">C9-B9</f>
        <v>0</v>
      </c>
    </row>
    <row r="10" spans="1:9" x14ac:dyDescent="0.25">
      <c r="A10" s="46">
        <f>'DIA 3'!B$6</f>
        <v>44503</v>
      </c>
      <c r="B10" s="199">
        <f>'DIA 3'!B$68</f>
        <v>8764.75</v>
      </c>
      <c r="C10" s="199">
        <f>'DIA 3'!B$69</f>
        <v>8764.75</v>
      </c>
      <c r="D10" s="199">
        <f t="shared" si="0"/>
        <v>0</v>
      </c>
    </row>
    <row r="11" spans="1:9" x14ac:dyDescent="0.25">
      <c r="A11" s="46">
        <f>'DIA 4'!B$6</f>
        <v>44504</v>
      </c>
      <c r="B11" s="199">
        <f>'DIA 4'!B$68</f>
        <v>8316.92</v>
      </c>
      <c r="C11" s="199">
        <f>'DIA 4'!B$69</f>
        <v>8316.92</v>
      </c>
      <c r="D11" s="199">
        <f t="shared" si="0"/>
        <v>0</v>
      </c>
    </row>
    <row r="12" spans="1:9" x14ac:dyDescent="0.25">
      <c r="A12" s="46">
        <f>'DIA 5'!B$6</f>
        <v>44505</v>
      </c>
      <c r="B12" s="199">
        <f>'DIA 5'!B$68</f>
        <v>10995.26</v>
      </c>
      <c r="C12" s="199">
        <f>'DIA 5'!B$69</f>
        <v>10995.26</v>
      </c>
      <c r="D12" s="199">
        <f t="shared" si="0"/>
        <v>0</v>
      </c>
    </row>
    <row r="13" spans="1:9" x14ac:dyDescent="0.25">
      <c r="A13" s="46">
        <f>'DIA 6'!B$6</f>
        <v>44506</v>
      </c>
      <c r="B13" s="199">
        <f>'DIA 6'!B$68</f>
        <v>15891.26</v>
      </c>
      <c r="C13" s="199">
        <f>'DIA 6'!B$69</f>
        <v>15891.26</v>
      </c>
      <c r="D13" s="199">
        <f t="shared" si="0"/>
        <v>0</v>
      </c>
    </row>
    <row r="14" spans="1:9" x14ac:dyDescent="0.25">
      <c r="A14" s="46">
        <f>'DIA 7'!B$6</f>
        <v>44507</v>
      </c>
      <c r="B14" s="199">
        <f>'DIA 7'!B$68</f>
        <v>12619.79</v>
      </c>
      <c r="C14" s="199">
        <f>'DIA 7'!B$69</f>
        <v>12619.79</v>
      </c>
      <c r="D14" s="199">
        <f t="shared" si="0"/>
        <v>0</v>
      </c>
    </row>
    <row r="15" spans="1:9" x14ac:dyDescent="0.25">
      <c r="A15" s="46">
        <f>'DIA 8'!B$6</f>
        <v>44508</v>
      </c>
      <c r="B15" s="199">
        <f>'DIA 8'!B$68</f>
        <v>7348.6</v>
      </c>
      <c r="C15" s="199">
        <f>'DIA 8'!B$69</f>
        <v>7348.6</v>
      </c>
      <c r="D15" s="199">
        <f t="shared" si="0"/>
        <v>0</v>
      </c>
    </row>
    <row r="16" spans="1:9" x14ac:dyDescent="0.25">
      <c r="A16" s="46">
        <f>'DIA 9'!B$6</f>
        <v>44509</v>
      </c>
      <c r="B16" s="199">
        <f>'DIA 9'!B$68</f>
        <v>8109.69</v>
      </c>
      <c r="C16" s="199">
        <f>'DIA 9'!B$69</f>
        <v>8109.69</v>
      </c>
      <c r="D16" s="199">
        <f t="shared" si="0"/>
        <v>0</v>
      </c>
    </row>
    <row r="17" spans="1:4" x14ac:dyDescent="0.25">
      <c r="A17" s="46">
        <f>'DIA 10'!B$6</f>
        <v>44479</v>
      </c>
      <c r="B17" s="199">
        <f>'DIA 10'!B$68</f>
        <v>11944.38</v>
      </c>
      <c r="C17" s="199">
        <f>'DIA 10'!B$69</f>
        <v>11944.38</v>
      </c>
      <c r="D17" s="199">
        <f t="shared" si="0"/>
        <v>0</v>
      </c>
    </row>
    <row r="18" spans="1:4" x14ac:dyDescent="0.25">
      <c r="A18" s="46">
        <f>'DIA 11'!B$6</f>
        <v>44480</v>
      </c>
      <c r="B18" s="199">
        <f>'DIA 11'!B$68</f>
        <v>7019.63</v>
      </c>
      <c r="C18" s="199">
        <f>'DIA 11'!B$69</f>
        <v>7019.63</v>
      </c>
      <c r="D18" s="199">
        <f t="shared" si="0"/>
        <v>0</v>
      </c>
    </row>
    <row r="19" spans="1:4" x14ac:dyDescent="0.25">
      <c r="A19" s="46">
        <f>'DIA 12'!B$6</f>
        <v>44481</v>
      </c>
      <c r="B19" s="199">
        <f>'DIA 12'!B$68</f>
        <v>8030.73</v>
      </c>
      <c r="C19" s="199">
        <f>'DIA 12'!B$69</f>
        <v>8030.73</v>
      </c>
      <c r="D19" s="199">
        <f t="shared" si="0"/>
        <v>0</v>
      </c>
    </row>
    <row r="20" spans="1:4" x14ac:dyDescent="0.25">
      <c r="A20" s="46">
        <f>'DIA 13'!B$6</f>
        <v>44482</v>
      </c>
      <c r="B20" s="199">
        <f>'DIA 13'!B$68</f>
        <v>8297.9599999999991</v>
      </c>
      <c r="C20" s="199">
        <f>'DIA 13'!B$69</f>
        <v>8297.9599999999991</v>
      </c>
      <c r="D20" s="199">
        <f t="shared" si="0"/>
        <v>0</v>
      </c>
    </row>
    <row r="21" spans="1:4" x14ac:dyDescent="0.25">
      <c r="A21" s="46">
        <f>'DIA 14'!B$6</f>
        <v>44483</v>
      </c>
      <c r="B21" s="199">
        <f>'DIA 14'!B$68</f>
        <v>6678.25</v>
      </c>
      <c r="C21" s="199">
        <f>'DIA 14'!B$69</f>
        <v>6678.25</v>
      </c>
      <c r="D21" s="199">
        <f t="shared" si="0"/>
        <v>0</v>
      </c>
    </row>
    <row r="22" spans="1:4" x14ac:dyDescent="0.25">
      <c r="A22" s="46">
        <f>'DIA 15'!B$6</f>
        <v>44484</v>
      </c>
      <c r="B22" s="199">
        <f>'DIA 15'!B$68</f>
        <v>9740.08</v>
      </c>
      <c r="C22" s="199">
        <f>'DIA 15'!B$69</f>
        <v>9740.08</v>
      </c>
      <c r="D22" s="199">
        <f t="shared" si="0"/>
        <v>0</v>
      </c>
    </row>
    <row r="23" spans="1:4" x14ac:dyDescent="0.25">
      <c r="A23" s="46">
        <f>'DIA 16'!B$6</f>
        <v>44485</v>
      </c>
      <c r="B23" s="199">
        <f>'DIA 16'!B$68</f>
        <v>13841.61</v>
      </c>
      <c r="C23" s="199">
        <f>'DIA 16'!B$69</f>
        <v>13841.61</v>
      </c>
      <c r="D23" s="199">
        <f t="shared" si="0"/>
        <v>0</v>
      </c>
    </row>
    <row r="24" spans="1:4" x14ac:dyDescent="0.25">
      <c r="A24" s="46">
        <f>'DIA 17'!B$6</f>
        <v>44486</v>
      </c>
      <c r="B24" s="199">
        <f>'DIA 17'!B$68</f>
        <v>9931.43</v>
      </c>
      <c r="C24" s="199">
        <f>'DIA 17'!B$69</f>
        <v>9931.43</v>
      </c>
      <c r="D24" s="199">
        <f t="shared" si="0"/>
        <v>0</v>
      </c>
    </row>
    <row r="25" spans="1:4" x14ac:dyDescent="0.25">
      <c r="A25" s="46">
        <f>'DIA 18'!B$6</f>
        <v>44122</v>
      </c>
      <c r="B25" s="199">
        <f>'DIA 18'!B$68</f>
        <v>8156.31</v>
      </c>
      <c r="C25" s="199">
        <f>'DIA 18'!B$69</f>
        <v>8156.31</v>
      </c>
      <c r="D25" s="199">
        <f t="shared" si="0"/>
        <v>0</v>
      </c>
    </row>
    <row r="26" spans="1:4" x14ac:dyDescent="0.25">
      <c r="A26" s="46">
        <f>'DIA 19'!B$6</f>
        <v>44488</v>
      </c>
      <c r="B26" s="199">
        <f>'DIA 19'!B$68</f>
        <v>7826.12</v>
      </c>
      <c r="C26" s="199">
        <f>'DIA 19'!B$69</f>
        <v>7826.12</v>
      </c>
      <c r="D26" s="199">
        <f t="shared" si="0"/>
        <v>0</v>
      </c>
    </row>
    <row r="27" spans="1:4" x14ac:dyDescent="0.25">
      <c r="A27" s="46">
        <f>'DIA 20'!B$6</f>
        <v>44459</v>
      </c>
      <c r="B27" s="199">
        <f>'DIA 20'!B$68</f>
        <v>6072.76</v>
      </c>
      <c r="C27" s="199">
        <f>'DIA 20'!B$69</f>
        <v>6072.76</v>
      </c>
      <c r="D27" s="199">
        <f t="shared" si="0"/>
        <v>0</v>
      </c>
    </row>
    <row r="28" spans="1:4" x14ac:dyDescent="0.25">
      <c r="A28" s="46">
        <f>'DIA 21'!B$6</f>
        <v>44490</v>
      </c>
      <c r="B28" s="199">
        <f>'DIA 21'!B$68</f>
        <v>8128.39</v>
      </c>
      <c r="C28" s="199">
        <f>'DIA 21'!B$69</f>
        <v>8128.39</v>
      </c>
      <c r="D28" s="199">
        <f t="shared" si="0"/>
        <v>0</v>
      </c>
    </row>
    <row r="29" spans="1:4" x14ac:dyDescent="0.25">
      <c r="A29" s="46">
        <f>'DIA 22'!B$6</f>
        <v>44491</v>
      </c>
      <c r="B29" s="199">
        <f>'DIA 22'!B$68</f>
        <v>11129.06</v>
      </c>
      <c r="C29" s="199">
        <f>'DIA 22'!B$69</f>
        <v>11129.06</v>
      </c>
      <c r="D29" s="199">
        <f t="shared" si="0"/>
        <v>0</v>
      </c>
    </row>
    <row r="30" spans="1:4" x14ac:dyDescent="0.25">
      <c r="A30" s="46">
        <f>'DIA 23'!B$6</f>
        <v>44492</v>
      </c>
      <c r="B30" s="199">
        <f>'DIA 23'!B$68</f>
        <v>15328.76</v>
      </c>
      <c r="C30" s="199">
        <f>'DIA 23'!B$69</f>
        <v>15328.876</v>
      </c>
      <c r="D30" s="199">
        <f t="shared" si="0"/>
        <v>0.11599999999998545</v>
      </c>
    </row>
    <row r="31" spans="1:4" x14ac:dyDescent="0.25">
      <c r="A31" s="46">
        <f>'DIA 24'!B$6</f>
        <v>44493</v>
      </c>
      <c r="B31" s="199">
        <f>'DIA 24'!B$68</f>
        <v>14662.34</v>
      </c>
      <c r="C31" s="199">
        <f>'DIA 24'!B$69</f>
        <v>14662.34</v>
      </c>
      <c r="D31" s="199">
        <f t="shared" si="0"/>
        <v>0</v>
      </c>
    </row>
    <row r="32" spans="1:4" x14ac:dyDescent="0.25">
      <c r="A32" s="46">
        <f>'DIA 25'!B$6</f>
        <v>44494</v>
      </c>
      <c r="B32" s="199">
        <f>'DIA 25'!B$68</f>
        <v>7316.2</v>
      </c>
      <c r="C32" s="199">
        <f>'DIA 25'!B$69</f>
        <v>7316.2</v>
      </c>
      <c r="D32" s="199">
        <f t="shared" si="0"/>
        <v>0</v>
      </c>
    </row>
    <row r="33" spans="1:6" x14ac:dyDescent="0.25">
      <c r="A33" s="46">
        <f>'DIA 26'!B$6</f>
        <v>44495</v>
      </c>
      <c r="B33" s="199">
        <f>'DIA 26'!B$68</f>
        <v>5430.98</v>
      </c>
      <c r="C33" s="199">
        <f>'DIA 26'!B$69</f>
        <v>5430.98</v>
      </c>
      <c r="D33" s="199">
        <f t="shared" si="0"/>
        <v>0</v>
      </c>
    </row>
    <row r="34" spans="1:6" x14ac:dyDescent="0.25">
      <c r="A34" s="46">
        <f>'DIA 27'!B$6</f>
        <v>44496</v>
      </c>
      <c r="B34" s="199">
        <f>'DIA 27'!B$68</f>
        <v>6645.24</v>
      </c>
      <c r="C34" s="199">
        <f>'DIA 27'!B$69</f>
        <v>6645.24</v>
      </c>
      <c r="D34" s="199">
        <f t="shared" si="0"/>
        <v>0</v>
      </c>
    </row>
    <row r="35" spans="1:6" x14ac:dyDescent="0.25">
      <c r="A35" s="46">
        <f>'DIA 28'!B$6</f>
        <v>44132</v>
      </c>
      <c r="B35" s="199">
        <f>'DIA 28'!B$68</f>
        <v>7807.63</v>
      </c>
      <c r="C35" s="199">
        <f>'DIA 28'!B$69</f>
        <v>7807.63</v>
      </c>
      <c r="D35" s="199">
        <f t="shared" si="0"/>
        <v>0</v>
      </c>
    </row>
    <row r="36" spans="1:6" x14ac:dyDescent="0.25">
      <c r="A36" s="46">
        <f>'DIA 29'!B$6</f>
        <v>44133</v>
      </c>
      <c r="B36" s="199">
        <f>'DIA 29'!B$68</f>
        <v>9828.2000000000007</v>
      </c>
      <c r="C36" s="199">
        <f>'DIA 29'!B$69</f>
        <v>9828.2000000000007</v>
      </c>
      <c r="D36" s="199">
        <f t="shared" si="0"/>
        <v>0</v>
      </c>
    </row>
    <row r="37" spans="1:6" x14ac:dyDescent="0.25">
      <c r="A37" s="46">
        <f>'DIA 30'!B$6</f>
        <v>44499</v>
      </c>
      <c r="B37" s="199">
        <f>'DIA 30'!B$68</f>
        <v>15956.99</v>
      </c>
      <c r="C37" s="199">
        <f>'DIA 30'!B$69</f>
        <v>15956.99</v>
      </c>
      <c r="D37" s="199">
        <f t="shared" si="0"/>
        <v>0</v>
      </c>
    </row>
    <row r="38" spans="1:6" x14ac:dyDescent="0.25">
      <c r="A38" s="46">
        <f>'DIA 31'!B$6</f>
        <v>44500</v>
      </c>
      <c r="B38" s="199">
        <f>'DIA 31'!B$68</f>
        <v>12600.07</v>
      </c>
      <c r="C38" s="199">
        <f>'DIA 31'!B$69</f>
        <v>12600.07</v>
      </c>
      <c r="D38" s="199">
        <f t="shared" si="0"/>
        <v>0</v>
      </c>
    </row>
    <row r="39" spans="1:6" x14ac:dyDescent="0.25">
      <c r="A39" s="47" t="s">
        <v>38</v>
      </c>
      <c r="B39" s="30">
        <f>SUM(B8:B38)</f>
        <v>299914.49000000005</v>
      </c>
      <c r="C39" s="30">
        <f>SUM(C8:C38)</f>
        <v>299914.60600000003</v>
      </c>
      <c r="D39" s="29">
        <f>SUM(D8:D38)</f>
        <v>0.11599999999998545</v>
      </c>
    </row>
    <row r="40" spans="1:6" x14ac:dyDescent="0.25">
      <c r="A40" s="31" t="s">
        <v>39</v>
      </c>
    </row>
    <row r="41" spans="1:6" x14ac:dyDescent="0.25">
      <c r="A41" s="48" t="s">
        <v>40</v>
      </c>
      <c r="B41" s="200">
        <f>MAX(B8:B38)</f>
        <v>15956.99</v>
      </c>
      <c r="C41" s="200">
        <f>MAX(C8:C38)</f>
        <v>15956.99</v>
      </c>
      <c r="D41" s="200">
        <f>MAX(D8:D38)</f>
        <v>0.11599999999998545</v>
      </c>
    </row>
    <row r="42" spans="1:6" x14ac:dyDescent="0.25">
      <c r="A42" s="48" t="s">
        <v>41</v>
      </c>
      <c r="B42" s="200">
        <f>DMIN(B7:B38,B7,B44:B45)</f>
        <v>5430.98</v>
      </c>
      <c r="C42" s="200">
        <f>DMIN(C7:C38,C7,C44:C45)</f>
        <v>5430.98</v>
      </c>
      <c r="D42" s="200">
        <f>MIN(D8:D38)</f>
        <v>0</v>
      </c>
    </row>
    <row r="43" spans="1:6" x14ac:dyDescent="0.25">
      <c r="A43" s="48" t="s">
        <v>42</v>
      </c>
      <c r="B43" s="200">
        <f>AVERAGE(B8:B38)</f>
        <v>9674.6609677419365</v>
      </c>
      <c r="C43" s="200">
        <f>AVERAGE(C8:C38)</f>
        <v>9674.6647096774195</v>
      </c>
      <c r="D43" s="200"/>
    </row>
    <row r="44" spans="1:6" x14ac:dyDescent="0.25">
      <c r="B44" s="41" t="str">
        <f>B7</f>
        <v>VENTAS Z</v>
      </c>
      <c r="C44" s="41" t="str">
        <f>C7</f>
        <v>VENTAS REPORTE</v>
      </c>
      <c r="D44" s="31" t="s">
        <v>47</v>
      </c>
    </row>
    <row r="45" spans="1:6" x14ac:dyDescent="0.25">
      <c r="B45" s="41" t="s">
        <v>48</v>
      </c>
      <c r="C45" s="41" t="s">
        <v>48</v>
      </c>
    </row>
    <row r="46" spans="1:6" x14ac:dyDescent="0.25">
      <c r="E46" s="41" t="s">
        <v>48</v>
      </c>
      <c r="F46" s="41" t="s">
        <v>48</v>
      </c>
    </row>
  </sheetData>
  <mergeCells count="5">
    <mergeCell ref="A1:A3"/>
    <mergeCell ref="B1:G1"/>
    <mergeCell ref="B2:G2"/>
    <mergeCell ref="B3:G3"/>
    <mergeCell ref="A4:G4"/>
  </mergeCells>
  <conditionalFormatting sqref="D8:D39">
    <cfRule type="expression" dxfId="97" priority="4">
      <formula>0</formula>
    </cfRule>
    <cfRule type="cellIs" dxfId="96" priority="5" operator="lessThan">
      <formula>0</formula>
    </cfRule>
    <cfRule type="cellIs" dxfId="95" priority="6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28" zoomScale="90" zoomScaleNormal="90" workbookViewId="0">
      <selection activeCell="K46" sqref="K46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425781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59"/>
      <c r="B1" s="296"/>
      <c r="C1" s="296"/>
      <c r="D1" s="296"/>
      <c r="E1" s="296"/>
      <c r="F1" s="296"/>
      <c r="G1" s="296"/>
      <c r="H1" s="296"/>
      <c r="M1" s="76"/>
      <c r="N1" s="71"/>
    </row>
    <row r="2" spans="1:28" s="84" customFormat="1" ht="16.5" customHeight="1" x14ac:dyDescent="0.35">
      <c r="A2" s="259"/>
      <c r="B2" s="296" t="s">
        <v>12</v>
      </c>
      <c r="C2" s="296"/>
      <c r="D2" s="296"/>
      <c r="E2" s="296"/>
      <c r="F2" s="296"/>
      <c r="G2" s="296"/>
      <c r="H2" s="296"/>
      <c r="M2" s="76"/>
      <c r="N2" s="71"/>
    </row>
    <row r="3" spans="1:28" s="84" customFormat="1" ht="21.75" customHeight="1" x14ac:dyDescent="0.25">
      <c r="A3" s="259"/>
      <c r="B3" s="297" t="s">
        <v>21</v>
      </c>
      <c r="C3" s="297"/>
      <c r="D3" s="297"/>
      <c r="E3" s="297"/>
      <c r="F3" s="297"/>
      <c r="G3" s="297"/>
      <c r="H3" s="297"/>
      <c r="M3" s="76"/>
      <c r="N3" s="71"/>
    </row>
    <row r="4" spans="1:28" x14ac:dyDescent="0.25">
      <c r="B4" s="298" t="s">
        <v>191</v>
      </c>
      <c r="C4" s="298"/>
      <c r="D4" s="298"/>
      <c r="E4" s="298"/>
      <c r="F4" s="298"/>
      <c r="G4" s="298"/>
      <c r="H4" s="298"/>
    </row>
    <row r="6" spans="1:28" x14ac:dyDescent="0.25">
      <c r="A6" s="7" t="s">
        <v>22</v>
      </c>
      <c r="B6" s="72">
        <v>44502</v>
      </c>
      <c r="D6" s="85" t="s">
        <v>23</v>
      </c>
      <c r="E6" s="8" t="s">
        <v>165</v>
      </c>
      <c r="F6" s="9"/>
      <c r="G6" s="9"/>
    </row>
    <row r="8" spans="1:28" x14ac:dyDescent="0.25">
      <c r="A8" s="7" t="s">
        <v>77</v>
      </c>
      <c r="B8" s="108">
        <v>4.38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224.25</v>
      </c>
      <c r="C12" s="15"/>
      <c r="D12" s="56"/>
      <c r="E12" s="16"/>
      <c r="F12" s="56"/>
      <c r="G12" s="56"/>
      <c r="H12" s="17"/>
      <c r="I12" s="83">
        <v>224.25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>
        <v>158</v>
      </c>
      <c r="Q12" s="153">
        <v>7</v>
      </c>
      <c r="R12" s="154">
        <v>1064.77</v>
      </c>
      <c r="S12" s="155"/>
      <c r="T12" s="155"/>
      <c r="U12" s="189">
        <f>((T12/U$10)*U$9)</f>
        <v>0</v>
      </c>
      <c r="V12" s="189">
        <f>R12*V$10</f>
        <v>7.9857749999999994</v>
      </c>
      <c r="W12" s="189">
        <f>+S12*V$10</f>
        <v>0</v>
      </c>
      <c r="X12" s="189">
        <f>+T12*X$10</f>
        <v>0</v>
      </c>
      <c r="Y12" s="189">
        <f>R12-V12</f>
        <v>1056.7842249999999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751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751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>
        <v>157</v>
      </c>
      <c r="Q13" s="153">
        <v>7</v>
      </c>
      <c r="R13" s="154">
        <v>24.92</v>
      </c>
      <c r="S13" s="155"/>
      <c r="T13" s="157"/>
      <c r="U13" s="189">
        <f t="shared" ref="U13:U41" si="2">((T13/U$10)*U$9)</f>
        <v>0</v>
      </c>
      <c r="V13" s="189">
        <f t="shared" ref="V13:V41" si="3">R13*V$10</f>
        <v>0.18690000000000001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24.7331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3289.38</v>
      </c>
      <c r="C14" s="15"/>
      <c r="D14" s="56"/>
      <c r="E14" s="16"/>
      <c r="F14" s="56"/>
      <c r="G14" s="56"/>
      <c r="H14" s="17"/>
      <c r="I14" s="83"/>
      <c r="J14" s="81">
        <f t="shared" si="0"/>
        <v>3289.38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751</v>
      </c>
      <c r="C19" s="95"/>
      <c r="D19" s="94"/>
      <c r="E19" s="96"/>
      <c r="F19" s="94"/>
      <c r="G19" s="94"/>
      <c r="H19" s="98"/>
      <c r="I19" s="99"/>
      <c r="J19" s="185">
        <f>B19-I19</f>
        <v>751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3289.38</v>
      </c>
      <c r="C20" s="95"/>
      <c r="D20" s="94"/>
      <c r="E20" s="96"/>
      <c r="F20" s="94"/>
      <c r="G20" s="94"/>
      <c r="H20" s="98"/>
      <c r="I20" s="99"/>
      <c r="J20" s="185">
        <f t="shared" si="0"/>
        <v>3289.38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>
        <v>48</v>
      </c>
      <c r="C29" s="100"/>
      <c r="D29" s="66"/>
      <c r="E29" s="67"/>
      <c r="F29" s="66"/>
      <c r="G29" s="66"/>
      <c r="H29" s="102"/>
      <c r="I29" s="79">
        <v>48</v>
      </c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210.24</v>
      </c>
      <c r="C30" s="100"/>
      <c r="D30" s="66"/>
      <c r="E30" s="67"/>
      <c r="F30" s="66"/>
      <c r="G30" s="66"/>
      <c r="H30" s="102"/>
      <c r="I30" s="79"/>
      <c r="J30" s="81">
        <f t="shared" si="0"/>
        <v>210.24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48</v>
      </c>
      <c r="C35" s="95"/>
      <c r="D35" s="94"/>
      <c r="E35" s="96"/>
      <c r="F35" s="94"/>
      <c r="G35" s="94"/>
      <c r="H35" s="98"/>
      <c r="I35" s="99"/>
      <c r="J35" s="185">
        <f t="shared" si="0"/>
        <v>48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210.24</v>
      </c>
      <c r="C36" s="95"/>
      <c r="D36" s="94"/>
      <c r="E36" s="96"/>
      <c r="F36" s="94"/>
      <c r="G36" s="94"/>
      <c r="H36" s="98"/>
      <c r="I36" s="99"/>
      <c r="J36" s="185">
        <f t="shared" si="0"/>
        <v>210.24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3" t="s">
        <v>107</v>
      </c>
      <c r="O42" s="294"/>
      <c r="P42" s="294"/>
      <c r="Q42" s="295"/>
      <c r="R42" s="190">
        <f t="shared" ref="R42:AA42" si="8">SUM(R12:R41)</f>
        <v>1089.69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8.1726749999999999</v>
      </c>
      <c r="W42" s="190">
        <f t="shared" si="8"/>
        <v>0</v>
      </c>
      <c r="X42" s="190">
        <f t="shared" si="8"/>
        <v>0</v>
      </c>
      <c r="Y42" s="190">
        <f t="shared" si="8"/>
        <v>1081.5173249999998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1089.69</v>
      </c>
      <c r="C46" s="116">
        <v>7.4999999999999997E-3</v>
      </c>
      <c r="D46" s="117">
        <f>B46*C46</f>
        <v>8.1726749999999999</v>
      </c>
      <c r="E46" s="172">
        <v>0</v>
      </c>
      <c r="F46" s="117">
        <f t="shared" ref="F46:F50" si="15">D46*E46</f>
        <v>0</v>
      </c>
      <c r="G46" s="117">
        <f t="shared" ref="G46:G51" si="16">B46-D46-F46</f>
        <v>1081.517325</v>
      </c>
      <c r="H46" s="173">
        <f>B$6+1</f>
        <v>44503</v>
      </c>
      <c r="I46" s="174"/>
      <c r="J46" s="81">
        <f t="shared" si="0"/>
        <v>1089.69</v>
      </c>
      <c r="K46" s="80">
        <v>1081.52</v>
      </c>
      <c r="L46" s="186">
        <f t="shared" ref="L46:L64" si="17">+G46-K46</f>
        <v>-2.6749999999537977E-3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44503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44503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170</v>
      </c>
      <c r="B49" s="117">
        <f>R75</f>
        <v>2985.1800000000003</v>
      </c>
      <c r="C49" s="116">
        <v>7.4999999999999997E-3</v>
      </c>
      <c r="D49" s="117">
        <f t="shared" si="18"/>
        <v>22.388850000000001</v>
      </c>
      <c r="E49" s="172">
        <v>0</v>
      </c>
      <c r="F49" s="117">
        <f t="shared" si="15"/>
        <v>0</v>
      </c>
      <c r="G49" s="117">
        <f t="shared" si="16"/>
        <v>2962.7911500000005</v>
      </c>
      <c r="H49" s="173">
        <f t="shared" si="19"/>
        <v>44503</v>
      </c>
      <c r="I49" s="176"/>
      <c r="J49" s="81">
        <f t="shared" si="0"/>
        <v>2985.1800000000003</v>
      </c>
      <c r="K49" s="80"/>
      <c r="L49" s="186">
        <f t="shared" si="17"/>
        <v>2962.7911500000005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94.97</v>
      </c>
      <c r="C50" s="116">
        <v>7.4999999999999997E-3</v>
      </c>
      <c r="D50" s="117">
        <f t="shared" si="18"/>
        <v>0.71227499999999999</v>
      </c>
      <c r="E50" s="172">
        <v>0</v>
      </c>
      <c r="F50" s="117">
        <f t="shared" si="15"/>
        <v>0</v>
      </c>
      <c r="G50" s="117">
        <f t="shared" si="16"/>
        <v>94.257724999999994</v>
      </c>
      <c r="H50" s="173">
        <f t="shared" si="19"/>
        <v>44503</v>
      </c>
      <c r="I50" s="175"/>
      <c r="J50" s="81">
        <f t="shared" si="0"/>
        <v>94.97</v>
      </c>
      <c r="K50" s="80">
        <v>94.26</v>
      </c>
      <c r="L50" s="186">
        <f t="shared" si="17"/>
        <v>-2.2750000000115733E-3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256.14999999999998</v>
      </c>
      <c r="C51" s="116">
        <v>1.4999999999999999E-2</v>
      </c>
      <c r="D51" s="117">
        <f>+B51*C51</f>
        <v>3.8422499999999995</v>
      </c>
      <c r="E51" s="172">
        <v>0</v>
      </c>
      <c r="F51" s="117">
        <f>D51*E51</f>
        <v>0</v>
      </c>
      <c r="G51" s="117">
        <f t="shared" si="16"/>
        <v>252.30774999999997</v>
      </c>
      <c r="H51" s="173">
        <f t="shared" si="19"/>
        <v>44503</v>
      </c>
      <c r="I51" s="175"/>
      <c r="J51" s="81">
        <f t="shared" si="0"/>
        <v>256.14999999999998</v>
      </c>
      <c r="K51" s="80">
        <v>252.31</v>
      </c>
      <c r="L51" s="186">
        <f t="shared" si="17"/>
        <v>-2.2500000000320597E-3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44503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44503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44503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44503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179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44503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44505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44507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44532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35.116050000000001</v>
      </c>
      <c r="E61" s="177"/>
      <c r="F61" s="57">
        <f>SUM(F46:F58)</f>
        <v>0</v>
      </c>
      <c r="G61" s="57">
        <f>SUM(G46:G58)</f>
        <v>4390.8739500000011</v>
      </c>
      <c r="H61" s="173">
        <f t="shared" si="19"/>
        <v>44503</v>
      </c>
      <c r="I61" s="175"/>
      <c r="J61" s="81">
        <f t="shared" si="0"/>
        <v>0</v>
      </c>
      <c r="K61" s="80"/>
      <c r="L61" s="186">
        <f t="shared" si="17"/>
        <v>4390.8739500000011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44503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2" t="s">
        <v>109</v>
      </c>
      <c r="O63" s="282"/>
      <c r="P63" s="282"/>
      <c r="Q63" s="28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8781.7479000000021</v>
      </c>
      <c r="H64" s="184"/>
      <c r="I64" s="175"/>
      <c r="J64" s="81">
        <f t="shared" si="0"/>
        <v>0</v>
      </c>
      <c r="K64" s="80"/>
      <c r="L64" s="186">
        <f t="shared" si="17"/>
        <v>8781.7479000000021</v>
      </c>
      <c r="M64" s="130"/>
      <c r="N64" s="87">
        <v>1</v>
      </c>
      <c r="O64" s="122"/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8149.86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9" t="s">
        <v>20</v>
      </c>
      <c r="B67" s="300"/>
      <c r="F67" s="301" t="s">
        <v>136</v>
      </c>
      <c r="G67" s="301"/>
      <c r="H67" s="301"/>
      <c r="I67" s="302" t="s">
        <v>138</v>
      </c>
      <c r="J67" s="303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8135.42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8135.42</v>
      </c>
      <c r="C69" s="59"/>
      <c r="F69" s="87" t="s">
        <v>129</v>
      </c>
      <c r="G69" s="22"/>
      <c r="H69" s="89">
        <f>+G52</f>
        <v>0</v>
      </c>
      <c r="I69" s="136"/>
      <c r="J69" s="136">
        <f>K52</f>
        <v>0</v>
      </c>
      <c r="N69" s="282" t="s">
        <v>110</v>
      </c>
      <c r="O69" s="282"/>
      <c r="P69" s="283"/>
      <c r="Q69" s="28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B68-B67</f>
        <v>8135.42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189</v>
      </c>
      <c r="P70" s="87">
        <v>351</v>
      </c>
      <c r="Q70" s="87">
        <v>2003</v>
      </c>
      <c r="R70" s="137">
        <v>448.87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3.3665249999999998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445.50347499999998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243">
        <f>(B65-B69)-B72</f>
        <v>14.4399999999996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189</v>
      </c>
      <c r="P71" s="87">
        <v>352</v>
      </c>
      <c r="Q71" s="87">
        <v>2003</v>
      </c>
      <c r="R71" s="137">
        <v>592.49</v>
      </c>
      <c r="S71" s="87"/>
      <c r="T71" s="137"/>
      <c r="U71" s="189">
        <f t="shared" si="34"/>
        <v>0</v>
      </c>
      <c r="V71" s="189">
        <f t="shared" si="35"/>
        <v>4.4436749999999998</v>
      </c>
      <c r="W71" s="189">
        <f t="shared" si="36"/>
        <v>0</v>
      </c>
      <c r="X71" s="189">
        <f t="shared" si="37"/>
        <v>0</v>
      </c>
      <c r="Y71" s="189">
        <f t="shared" si="38"/>
        <v>588.04632500000002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189</v>
      </c>
      <c r="P72" s="87">
        <v>445</v>
      </c>
      <c r="Q72" s="87">
        <v>2002</v>
      </c>
      <c r="R72" s="137">
        <v>523.34</v>
      </c>
      <c r="S72" s="87"/>
      <c r="T72" s="87"/>
      <c r="U72" s="189">
        <f t="shared" si="34"/>
        <v>0</v>
      </c>
      <c r="V72" s="189">
        <f t="shared" si="35"/>
        <v>3.9250500000000001</v>
      </c>
      <c r="W72" s="189">
        <f t="shared" si="36"/>
        <v>0</v>
      </c>
      <c r="X72" s="189">
        <f t="shared" si="37"/>
        <v>0</v>
      </c>
      <c r="Y72" s="189">
        <f t="shared" si="38"/>
        <v>519.41494999999998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186</v>
      </c>
      <c r="P73" s="87">
        <v>369</v>
      </c>
      <c r="Q73" s="87">
        <v>2002</v>
      </c>
      <c r="R73" s="137">
        <v>1420.48</v>
      </c>
      <c r="S73" s="87"/>
      <c r="T73" s="87"/>
      <c r="U73" s="189">
        <f t="shared" si="34"/>
        <v>0</v>
      </c>
      <c r="V73" s="189">
        <f t="shared" si="35"/>
        <v>10.653599999999999</v>
      </c>
      <c r="W73" s="189">
        <f t="shared" si="36"/>
        <v>0</v>
      </c>
      <c r="X73" s="189">
        <f t="shared" si="37"/>
        <v>0</v>
      </c>
      <c r="Y73" s="189">
        <f t="shared" si="38"/>
        <v>1409.8263999999999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186</v>
      </c>
      <c r="P74" s="87"/>
      <c r="Q74" s="87"/>
      <c r="R74" s="13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2" t="s">
        <v>128</v>
      </c>
      <c r="O75" s="282"/>
      <c r="P75" s="283"/>
      <c r="Q75" s="283"/>
      <c r="R75" s="192">
        <f>SUM(R70:R74)</f>
        <v>2985.1800000000003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22.388849999999998</v>
      </c>
      <c r="W75" s="192">
        <f t="shared" si="41"/>
        <v>0</v>
      </c>
      <c r="X75" s="192">
        <f t="shared" si="41"/>
        <v>0</v>
      </c>
      <c r="Y75" s="192">
        <f t="shared" si="41"/>
        <v>2962.79115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4" t="s">
        <v>73</v>
      </c>
      <c r="O76" s="286" t="s">
        <v>67</v>
      </c>
      <c r="P76" s="282" t="s">
        <v>62</v>
      </c>
      <c r="Q76" s="282"/>
      <c r="R76" s="282"/>
      <c r="S76" s="282"/>
      <c r="T76" s="282"/>
      <c r="U76" s="288" t="s">
        <v>68</v>
      </c>
      <c r="V76" s="289"/>
      <c r="W76" s="289"/>
      <c r="X76" s="289"/>
      <c r="Y76" s="290"/>
      <c r="Z76" s="279" t="s">
        <v>54</v>
      </c>
      <c r="AA76" s="279" t="s">
        <v>64</v>
      </c>
      <c r="AB76" s="279" t="s">
        <v>124</v>
      </c>
      <c r="AC76" s="280" t="s">
        <v>127</v>
      </c>
      <c r="AD76" s="281" t="s">
        <v>65</v>
      </c>
    </row>
    <row r="77" spans="1:30" ht="60" x14ac:dyDescent="0.25">
      <c r="F77" s="291" t="s">
        <v>140</v>
      </c>
      <c r="G77" s="292"/>
      <c r="H77" s="141" t="s">
        <v>142</v>
      </c>
      <c r="N77" s="285"/>
      <c r="O77" s="287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79"/>
      <c r="AA77" s="279"/>
      <c r="AB77" s="279"/>
      <c r="AC77" s="280" t="s">
        <v>127</v>
      </c>
      <c r="AD77" s="281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1.1000000000000001</v>
      </c>
      <c r="Q78" s="137"/>
      <c r="R78" s="82">
        <v>7.4999999999999997E-3</v>
      </c>
      <c r="S78" s="194">
        <f>+(P78+Q78)*R78</f>
        <v>8.2500000000000004E-3</v>
      </c>
      <c r="T78" s="213">
        <f>+(P78+Q78)-S78</f>
        <v>1.09175</v>
      </c>
      <c r="U78" s="211">
        <v>45.85</v>
      </c>
      <c r="V78" s="112"/>
      <c r="W78" s="113">
        <v>1.4999999999999999E-2</v>
      </c>
      <c r="X78" s="196">
        <f>+(U78+V78)*W78</f>
        <v>0.68774999999999997</v>
      </c>
      <c r="Y78" s="213">
        <f>+(U78+V78)-X78</f>
        <v>45.16225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>
        <v>3.76</v>
      </c>
      <c r="Q79" s="87">
        <v>17.28</v>
      </c>
      <c r="R79" s="82">
        <v>7.4999999999999997E-3</v>
      </c>
      <c r="S79" s="194">
        <f t="shared" ref="S79:S97" si="43">+(P79+Q79)*R79</f>
        <v>0.1578</v>
      </c>
      <c r="T79" s="213">
        <f t="shared" ref="T79:T97" si="44">+(P79+Q79)-S79</f>
        <v>20.882199999999997</v>
      </c>
      <c r="U79" s="211">
        <v>17.21</v>
      </c>
      <c r="V79" s="112"/>
      <c r="W79" s="113">
        <v>1.4999999999999999E-2</v>
      </c>
      <c r="X79" s="196">
        <f t="shared" ref="X79:X97" si="45">+(U79+V79)*W79</f>
        <v>0.25814999999999999</v>
      </c>
      <c r="Y79" s="213">
        <f t="shared" ref="Y79:Y97" si="46">+(U79+V79)-X79</f>
        <v>16.95185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52.76</v>
      </c>
      <c r="Q80" s="137">
        <v>7.1</v>
      </c>
      <c r="R80" s="82">
        <v>7.4999999999999997E-3</v>
      </c>
      <c r="S80" s="194">
        <f t="shared" si="43"/>
        <v>0.44894999999999996</v>
      </c>
      <c r="T80" s="240">
        <f t="shared" si="44"/>
        <v>59.411050000000003</v>
      </c>
      <c r="U80" s="211">
        <v>83.44</v>
      </c>
      <c r="V80" s="112"/>
      <c r="W80" s="113">
        <v>1.4999999999999999E-2</v>
      </c>
      <c r="X80" s="196">
        <f t="shared" si="45"/>
        <v>1.2515999999999998</v>
      </c>
      <c r="Y80" s="240">
        <f t="shared" si="46"/>
        <v>82.188400000000001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>
        <v>9.7799999999999994</v>
      </c>
      <c r="Q81" s="137">
        <v>3.19</v>
      </c>
      <c r="R81" s="82">
        <v>7.4999999999999997E-3</v>
      </c>
      <c r="S81" s="194">
        <f t="shared" si="43"/>
        <v>9.7274999999999986E-2</v>
      </c>
      <c r="T81" s="213">
        <f t="shared" si="44"/>
        <v>12.872724999999999</v>
      </c>
      <c r="U81" s="211">
        <v>109.65</v>
      </c>
      <c r="V81" s="112"/>
      <c r="W81" s="113">
        <v>1.4999999999999999E-2</v>
      </c>
      <c r="X81" s="196">
        <f t="shared" si="45"/>
        <v>1.6447499999999999</v>
      </c>
      <c r="Y81" s="240">
        <f t="shared" si="46"/>
        <v>108.00525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112"/>
      <c r="V82" s="112"/>
      <c r="W82" s="113">
        <v>1.4999999999999999E-2</v>
      </c>
      <c r="X82" s="196">
        <f t="shared" si="45"/>
        <v>0</v>
      </c>
      <c r="Y82" s="242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42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67.399999999999991</v>
      </c>
      <c r="Q98" s="195">
        <f>SUM(Q78:Q97)</f>
        <v>27.570000000000004</v>
      </c>
      <c r="R98" s="111"/>
      <c r="S98" s="195">
        <f>SUM(S78:S97)</f>
        <v>0.71227499999999999</v>
      </c>
      <c r="T98" s="195">
        <f>SUM(T78:T97)</f>
        <v>94.257725000000008</v>
      </c>
      <c r="U98" s="114">
        <f>SUM(U78:U97)</f>
        <v>256.14999999999998</v>
      </c>
      <c r="V98" s="114">
        <f>SUM(V78:V97)</f>
        <v>0</v>
      </c>
      <c r="W98" s="112"/>
      <c r="X98" s="197">
        <f>SUM(X78:X97)</f>
        <v>3.8422499999999999</v>
      </c>
      <c r="Y98" s="197">
        <f>SUM(Y78:Y97)</f>
        <v>252.30775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Q101" s="212">
        <f>P78+U78+Q78</f>
        <v>46.95</v>
      </c>
    </row>
    <row r="102" spans="14:30" x14ac:dyDescent="0.25">
      <c r="N102" s="85"/>
      <c r="Q102" s="215">
        <f>P79+U79+Q79</f>
        <v>38.25</v>
      </c>
    </row>
    <row r="103" spans="14:30" x14ac:dyDescent="0.25">
      <c r="N103" s="85"/>
      <c r="Q103" s="215">
        <f>P80+Q80+U80</f>
        <v>143.30000000000001</v>
      </c>
    </row>
    <row r="104" spans="14:30" x14ac:dyDescent="0.25">
      <c r="N104" s="85"/>
      <c r="Q104" s="215">
        <f>P81+Q81+U81</f>
        <v>122.62</v>
      </c>
    </row>
    <row r="105" spans="14:30" x14ac:dyDescent="0.25">
      <c r="N105" s="85"/>
      <c r="Q105" s="237">
        <f>P82+Q82+U82</f>
        <v>0</v>
      </c>
    </row>
    <row r="106" spans="14:30" x14ac:dyDescent="0.25">
      <c r="N106" s="85"/>
      <c r="Q106" s="221">
        <f>P83+U83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9" priority="1" operator="greaterThan">
      <formula>0</formula>
    </cfRule>
    <cfRule type="cellIs" dxfId="5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24" zoomScale="90" zoomScaleNormal="90" workbookViewId="0">
      <selection activeCell="K51" sqref="K5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5" style="85" customWidth="1"/>
    <col min="16" max="17" width="17" style="85" customWidth="1"/>
    <col min="18" max="18" width="18.140625" style="85" customWidth="1"/>
    <col min="19" max="19" width="14.2851562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59"/>
      <c r="B1" s="296"/>
      <c r="C1" s="296"/>
      <c r="D1" s="296"/>
      <c r="E1" s="296"/>
      <c r="F1" s="296"/>
      <c r="G1" s="296"/>
      <c r="H1" s="296"/>
      <c r="M1" s="76"/>
      <c r="N1" s="71"/>
    </row>
    <row r="2" spans="1:28" s="84" customFormat="1" ht="16.5" customHeight="1" x14ac:dyDescent="0.35">
      <c r="A2" s="259"/>
      <c r="B2" s="296" t="s">
        <v>12</v>
      </c>
      <c r="C2" s="296"/>
      <c r="D2" s="296"/>
      <c r="E2" s="296"/>
      <c r="F2" s="296"/>
      <c r="G2" s="296"/>
      <c r="H2" s="296"/>
      <c r="M2" s="76"/>
      <c r="N2" s="71"/>
    </row>
    <row r="3" spans="1:28" s="84" customFormat="1" ht="21.75" customHeight="1" x14ac:dyDescent="0.25">
      <c r="A3" s="259"/>
      <c r="B3" s="297" t="s">
        <v>21</v>
      </c>
      <c r="C3" s="297"/>
      <c r="D3" s="297"/>
      <c r="E3" s="297"/>
      <c r="F3" s="297"/>
      <c r="G3" s="297"/>
      <c r="H3" s="297"/>
      <c r="M3" s="76"/>
      <c r="N3" s="71"/>
    </row>
    <row r="4" spans="1:28" x14ac:dyDescent="0.25">
      <c r="B4" s="298" t="s">
        <v>191</v>
      </c>
      <c r="C4" s="298"/>
      <c r="D4" s="298"/>
      <c r="E4" s="298"/>
      <c r="F4" s="298"/>
      <c r="G4" s="298"/>
      <c r="H4" s="298"/>
    </row>
    <row r="6" spans="1:28" x14ac:dyDescent="0.25">
      <c r="A6" s="7" t="s">
        <v>22</v>
      </c>
      <c r="B6" s="72">
        <v>44503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4.41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387.8</v>
      </c>
      <c r="C12" s="15"/>
      <c r="D12" s="56"/>
      <c r="E12" s="16"/>
      <c r="F12" s="56"/>
      <c r="G12" s="56"/>
      <c r="H12" s="17"/>
      <c r="I12" s="83">
        <v>320.05</v>
      </c>
      <c r="J12" s="81">
        <f>B12-I12</f>
        <v>67.75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>
        <v>159</v>
      </c>
      <c r="Q12" s="153">
        <v>7</v>
      </c>
      <c r="R12" s="154">
        <v>23.15</v>
      </c>
      <c r="S12" s="155"/>
      <c r="T12" s="155"/>
      <c r="U12" s="189">
        <f>((T12/U$10)*U$9)</f>
        <v>0</v>
      </c>
      <c r="V12" s="189">
        <f>R12*V$10</f>
        <v>0.17362499999999997</v>
      </c>
      <c r="W12" s="189">
        <f>+S12*V$10</f>
        <v>0</v>
      </c>
      <c r="X12" s="189">
        <f>+T12*X$10</f>
        <v>0</v>
      </c>
      <c r="Y12" s="189">
        <f>R12-V12</f>
        <v>22.976374999999997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779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779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>
        <v>160</v>
      </c>
      <c r="Q13" s="153">
        <v>7</v>
      </c>
      <c r="R13" s="154">
        <v>1041.27</v>
      </c>
      <c r="S13" s="155"/>
      <c r="T13" s="157"/>
      <c r="U13" s="189">
        <f t="shared" ref="U13:U41" si="2">((T13/U$10)*U$9)</f>
        <v>0</v>
      </c>
      <c r="V13" s="189">
        <f t="shared" ref="V13:V41" si="3">R13*V$10</f>
        <v>7.8095249999999998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1033.4604750000001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3435.3900000000003</v>
      </c>
      <c r="C14" s="15"/>
      <c r="D14" s="56"/>
      <c r="E14" s="16"/>
      <c r="F14" s="56"/>
      <c r="G14" s="56"/>
      <c r="H14" s="17"/>
      <c r="I14" s="83"/>
      <c r="J14" s="81">
        <f t="shared" si="0"/>
        <v>3435.3900000000003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779</v>
      </c>
      <c r="C19" s="95"/>
      <c r="D19" s="94"/>
      <c r="E19" s="96"/>
      <c r="F19" s="94"/>
      <c r="G19" s="94"/>
      <c r="H19" s="98"/>
      <c r="I19" s="99"/>
      <c r="J19" s="185">
        <f>B19-I19</f>
        <v>779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3435.3900000000003</v>
      </c>
      <c r="C20" s="95"/>
      <c r="D20" s="94"/>
      <c r="E20" s="96"/>
      <c r="F20" s="94"/>
      <c r="G20" s="94"/>
      <c r="H20" s="98"/>
      <c r="I20" s="99">
        <v>3443.18</v>
      </c>
      <c r="J20" s="185">
        <f t="shared" si="0"/>
        <v>-7.7899999999995089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3" t="s">
        <v>107</v>
      </c>
      <c r="O42" s="294"/>
      <c r="P42" s="294"/>
      <c r="Q42" s="295"/>
      <c r="R42" s="190">
        <f t="shared" ref="R42:AA42" si="8">SUM(R12:R41)</f>
        <v>1064.42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7.9831500000000002</v>
      </c>
      <c r="W42" s="190">
        <f t="shared" si="8"/>
        <v>0</v>
      </c>
      <c r="X42" s="190">
        <f t="shared" si="8"/>
        <v>0</v>
      </c>
      <c r="Y42" s="190">
        <f>SUM(Y12:Y41)</f>
        <v>1056.43685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1064.42</v>
      </c>
      <c r="C46" s="116">
        <v>7.4999999999999997E-3</v>
      </c>
      <c r="D46" s="117">
        <f>B46*C46</f>
        <v>7.9831500000000002</v>
      </c>
      <c r="E46" s="172">
        <v>0</v>
      </c>
      <c r="F46" s="117">
        <f t="shared" ref="F46:F50" si="15">D46*E46</f>
        <v>0</v>
      </c>
      <c r="G46" s="117">
        <f t="shared" ref="G46:G51" si="16">B46-D46-F46</f>
        <v>1056.43685</v>
      </c>
      <c r="H46" s="173">
        <f>B$6+1</f>
        <v>44504</v>
      </c>
      <c r="I46" s="174"/>
      <c r="J46" s="81">
        <f t="shared" si="0"/>
        <v>1064.42</v>
      </c>
      <c r="K46" s="80">
        <v>1056.44</v>
      </c>
      <c r="L46" s="186">
        <f t="shared" ref="L46:L64" si="17">+G46-K46</f>
        <v>-3.1500000000050932E-3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44504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44504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170</v>
      </c>
      <c r="B49" s="117">
        <f>R75</f>
        <v>3267.12</v>
      </c>
      <c r="C49" s="116">
        <v>7.4999999999999997E-3</v>
      </c>
      <c r="D49" s="117">
        <f t="shared" si="18"/>
        <v>24.503399999999999</v>
      </c>
      <c r="E49" s="172">
        <v>0</v>
      </c>
      <c r="F49" s="117">
        <f t="shared" si="15"/>
        <v>0</v>
      </c>
      <c r="G49" s="117">
        <f t="shared" si="16"/>
        <v>3242.6165999999998</v>
      </c>
      <c r="H49" s="173">
        <f t="shared" si="19"/>
        <v>44504</v>
      </c>
      <c r="I49" s="176"/>
      <c r="J49" s="81">
        <f t="shared" si="0"/>
        <v>3267.12</v>
      </c>
      <c r="K49" s="80"/>
      <c r="L49" s="186">
        <f t="shared" si="17"/>
        <v>3242.6165999999998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122.85999999999999</v>
      </c>
      <c r="C50" s="116">
        <v>7.4999999999999997E-3</v>
      </c>
      <c r="D50" s="117">
        <f t="shared" si="18"/>
        <v>0.92144999999999988</v>
      </c>
      <c r="E50" s="172">
        <v>0</v>
      </c>
      <c r="F50" s="117">
        <f t="shared" si="15"/>
        <v>0</v>
      </c>
      <c r="G50" s="117">
        <f t="shared" si="16"/>
        <v>121.93854999999999</v>
      </c>
      <c r="H50" s="173">
        <f t="shared" si="19"/>
        <v>44504</v>
      </c>
      <c r="I50" s="175"/>
      <c r="J50" s="81">
        <f t="shared" si="0"/>
        <v>122.85999999999999</v>
      </c>
      <c r="K50" s="80"/>
      <c r="L50" s="186">
        <f t="shared" si="17"/>
        <v>121.93854999999999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482.95</v>
      </c>
      <c r="C51" s="116">
        <v>1.4999999999999999E-2</v>
      </c>
      <c r="D51" s="117">
        <f>+B51*C51</f>
        <v>7.2442499999999992</v>
      </c>
      <c r="E51" s="172">
        <v>0</v>
      </c>
      <c r="F51" s="117">
        <f>D51*E51</f>
        <v>0</v>
      </c>
      <c r="G51" s="117">
        <f t="shared" si="16"/>
        <v>475.70574999999997</v>
      </c>
      <c r="H51" s="173">
        <f t="shared" si="19"/>
        <v>44504</v>
      </c>
      <c r="I51" s="175"/>
      <c r="J51" s="81">
        <f t="shared" si="0"/>
        <v>482.95</v>
      </c>
      <c r="K51" s="80"/>
      <c r="L51" s="186">
        <f t="shared" si="17"/>
        <v>475.70574999999997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44504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44504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44504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44504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182</v>
      </c>
      <c r="B56" s="117">
        <f>T75</f>
        <v>7.63</v>
      </c>
      <c r="C56" s="116">
        <v>2.5000000000000001E-2</v>
      </c>
      <c r="D56" s="117">
        <f t="shared" si="20"/>
        <v>0.19075</v>
      </c>
      <c r="E56" s="172">
        <v>0.05</v>
      </c>
      <c r="F56" s="117">
        <f t="shared" si="21"/>
        <v>0.32887931034482765</v>
      </c>
      <c r="G56" s="117">
        <f t="shared" si="22"/>
        <v>7.1103706896551717</v>
      </c>
      <c r="H56" s="173">
        <f t="shared" si="19"/>
        <v>44504</v>
      </c>
      <c r="I56" s="176">
        <v>7.63</v>
      </c>
      <c r="J56" s="81">
        <f t="shared" si="0"/>
        <v>0</v>
      </c>
      <c r="K56" s="80"/>
      <c r="L56" s="186">
        <f t="shared" si="17"/>
        <v>7.1103706896551717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44506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44508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44533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40.843000000000004</v>
      </c>
      <c r="E61" s="177"/>
      <c r="F61" s="57">
        <f>SUM(F46:F58)</f>
        <v>0.32887931034482765</v>
      </c>
      <c r="G61" s="57">
        <f>SUM(G46:G58)</f>
        <v>4903.808120689655</v>
      </c>
      <c r="H61" s="173">
        <f t="shared" si="19"/>
        <v>44504</v>
      </c>
      <c r="I61" s="175"/>
      <c r="J61" s="81">
        <f t="shared" si="0"/>
        <v>0</v>
      </c>
      <c r="K61" s="80"/>
      <c r="L61" s="186">
        <f t="shared" si="17"/>
        <v>4903.808120689655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44504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2" t="s">
        <v>109</v>
      </c>
      <c r="O63" s="282"/>
      <c r="P63" s="282"/>
      <c r="Q63" s="28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9807.6162413793099</v>
      </c>
      <c r="H64" s="184"/>
      <c r="I64" s="175"/>
      <c r="J64" s="81">
        <f t="shared" si="0"/>
        <v>0</v>
      </c>
      <c r="K64" s="80"/>
      <c r="L64" s="186">
        <f t="shared" si="17"/>
        <v>9807.6162413793099</v>
      </c>
      <c r="M64" s="130"/>
      <c r="N64" s="87">
        <v>1</v>
      </c>
      <c r="O64" s="122" t="s">
        <v>180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8768.17</v>
      </c>
      <c r="G65" s="22"/>
      <c r="L65" s="132"/>
      <c r="M65" s="131"/>
      <c r="N65" s="87">
        <v>2</v>
      </c>
      <c r="O65" s="122" t="s">
        <v>180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180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9" t="s">
        <v>20</v>
      </c>
      <c r="B67" s="300"/>
      <c r="F67" s="301" t="s">
        <v>136</v>
      </c>
      <c r="G67" s="301"/>
      <c r="H67" s="301"/>
      <c r="I67" s="302" t="s">
        <v>138</v>
      </c>
      <c r="J67" s="303"/>
      <c r="K67" s="138"/>
      <c r="N67" s="87">
        <v>4</v>
      </c>
      <c r="O67" s="122" t="s">
        <v>180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8764.75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8764.75</v>
      </c>
      <c r="C69" s="59"/>
      <c r="F69" s="87" t="s">
        <v>129</v>
      </c>
      <c r="G69" s="22"/>
      <c r="H69" s="89"/>
      <c r="I69" s="136"/>
      <c r="J69" s="136">
        <f>K52</f>
        <v>0</v>
      </c>
      <c r="N69" s="282" t="s">
        <v>181</v>
      </c>
      <c r="O69" s="282"/>
      <c r="P69" s="283"/>
      <c r="Q69" s="28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B68-B67</f>
        <v>8764.75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189</v>
      </c>
      <c r="P70" s="87">
        <v>353</v>
      </c>
      <c r="Q70" s="87">
        <v>2003</v>
      </c>
      <c r="R70" s="239">
        <v>910.98</v>
      </c>
      <c r="S70" s="87"/>
      <c r="T70" s="137"/>
      <c r="U70" s="189">
        <f t="shared" ref="U70:U74" si="34">((T70/U$10)*U$9)</f>
        <v>0</v>
      </c>
      <c r="V70" s="189">
        <f t="shared" ref="V70:V74" si="35">R70*V$10</f>
        <v>6.8323499999999999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904.14765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3.4200000000000728</v>
      </c>
      <c r="C71" s="64"/>
      <c r="F71" s="87" t="s">
        <v>131</v>
      </c>
      <c r="G71" s="137">
        <v>1056.44</v>
      </c>
      <c r="H71" s="87">
        <v>475.71</v>
      </c>
      <c r="I71" s="81">
        <f>+I69-G69-G70-G71-G72-G73</f>
        <v>-1056.44</v>
      </c>
      <c r="J71" s="81">
        <f>+J69-H69-H70-H71-H72-H73</f>
        <v>-475.71</v>
      </c>
      <c r="N71" s="87">
        <v>2</v>
      </c>
      <c r="O71" s="122" t="s">
        <v>189</v>
      </c>
      <c r="P71" s="87">
        <v>446</v>
      </c>
      <c r="Q71" s="87">
        <v>2002</v>
      </c>
      <c r="R71" s="239">
        <v>651.78</v>
      </c>
      <c r="S71" s="87"/>
      <c r="T71" s="87"/>
      <c r="U71" s="189">
        <f t="shared" si="34"/>
        <v>0</v>
      </c>
      <c r="V71" s="189">
        <f t="shared" si="35"/>
        <v>4.88835</v>
      </c>
      <c r="W71" s="189">
        <f t="shared" si="36"/>
        <v>0</v>
      </c>
      <c r="X71" s="189">
        <f t="shared" si="37"/>
        <v>0</v>
      </c>
      <c r="Y71" s="189">
        <f t="shared" si="38"/>
        <v>646.89165000000003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189</v>
      </c>
      <c r="P72" s="87">
        <v>447</v>
      </c>
      <c r="Q72" s="87">
        <v>2002</v>
      </c>
      <c r="R72" s="239">
        <v>743.19</v>
      </c>
      <c r="S72" s="87"/>
      <c r="T72" s="137"/>
      <c r="U72" s="189">
        <f t="shared" si="34"/>
        <v>0</v>
      </c>
      <c r="V72" s="189">
        <f t="shared" si="35"/>
        <v>5.573925</v>
      </c>
      <c r="W72" s="189">
        <f t="shared" si="36"/>
        <v>0</v>
      </c>
      <c r="X72" s="189">
        <f t="shared" si="37"/>
        <v>0</v>
      </c>
      <c r="Y72" s="189">
        <f t="shared" si="38"/>
        <v>737.61607500000002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186</v>
      </c>
      <c r="P73" s="87">
        <v>370</v>
      </c>
      <c r="Q73" s="87">
        <v>2002</v>
      </c>
      <c r="R73" s="239">
        <v>290.70999999999998</v>
      </c>
      <c r="S73" s="87"/>
      <c r="T73" s="87"/>
      <c r="U73" s="189">
        <f t="shared" si="34"/>
        <v>0</v>
      </c>
      <c r="V73" s="189">
        <f t="shared" si="35"/>
        <v>2.1803249999999998</v>
      </c>
      <c r="W73" s="189">
        <f t="shared" si="36"/>
        <v>0</v>
      </c>
      <c r="X73" s="189">
        <f t="shared" si="37"/>
        <v>0</v>
      </c>
      <c r="Y73" s="189">
        <f t="shared" si="38"/>
        <v>288.529675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1056.44</v>
      </c>
      <c r="H74" s="89">
        <f t="shared" ref="H74" si="40">+H69+H70+H71+H72+H73</f>
        <v>475.71</v>
      </c>
      <c r="N74" s="87">
        <v>5</v>
      </c>
      <c r="O74" s="122" t="s">
        <v>186</v>
      </c>
      <c r="P74" s="87" t="s">
        <v>249</v>
      </c>
      <c r="Q74" s="87">
        <v>2002</v>
      </c>
      <c r="R74" s="239">
        <v>670.46</v>
      </c>
      <c r="S74" s="87"/>
      <c r="T74" s="239">
        <v>7.63</v>
      </c>
      <c r="U74" s="189">
        <f t="shared" si="34"/>
        <v>0.32887931034482765</v>
      </c>
      <c r="V74" s="189">
        <f t="shared" si="35"/>
        <v>5.0284500000000003</v>
      </c>
      <c r="W74" s="189">
        <f t="shared" si="36"/>
        <v>0</v>
      </c>
      <c r="X74" s="189">
        <f t="shared" si="37"/>
        <v>0.19075</v>
      </c>
      <c r="Y74" s="189">
        <f t="shared" si="38"/>
        <v>665.43155000000002</v>
      </c>
      <c r="Z74" s="189">
        <f t="shared" si="38"/>
        <v>0</v>
      </c>
      <c r="AA74" s="189">
        <f t="shared" si="39"/>
        <v>7.1103706896551717</v>
      </c>
      <c r="AB74" s="87"/>
    </row>
    <row r="75" spans="1:30" ht="15.75" x14ac:dyDescent="0.25">
      <c r="N75" s="282" t="s">
        <v>175</v>
      </c>
      <c r="O75" s="282"/>
      <c r="P75" s="283"/>
      <c r="Q75" s="283"/>
      <c r="R75" s="192">
        <f>SUM(R70:R74)</f>
        <v>3267.12</v>
      </c>
      <c r="S75" s="192"/>
      <c r="T75" s="192">
        <f>SUM(T70:T74)</f>
        <v>7.63</v>
      </c>
      <c r="U75" s="192">
        <f>SUM(U70:U74)</f>
        <v>0.32887931034482765</v>
      </c>
      <c r="V75" s="192">
        <f t="shared" ref="V75:AA75" si="41">SUM(V70:V74)</f>
        <v>24.503399999999999</v>
      </c>
      <c r="W75" s="192">
        <f t="shared" si="41"/>
        <v>0</v>
      </c>
      <c r="X75" s="192">
        <f t="shared" si="41"/>
        <v>0.19075</v>
      </c>
      <c r="Y75" s="192">
        <f t="shared" si="41"/>
        <v>3242.6166000000003</v>
      </c>
      <c r="Z75" s="192">
        <f t="shared" si="41"/>
        <v>0</v>
      </c>
      <c r="AA75" s="193">
        <f t="shared" si="41"/>
        <v>7.1103706896551717</v>
      </c>
      <c r="AB75" s="103"/>
    </row>
    <row r="76" spans="1:30" ht="15.75" x14ac:dyDescent="0.25">
      <c r="N76" s="284" t="s">
        <v>73</v>
      </c>
      <c r="O76" s="286" t="s">
        <v>67</v>
      </c>
      <c r="P76" s="282" t="s">
        <v>62</v>
      </c>
      <c r="Q76" s="282"/>
      <c r="R76" s="282"/>
      <c r="S76" s="282"/>
      <c r="T76" s="282"/>
      <c r="U76" s="288" t="s">
        <v>68</v>
      </c>
      <c r="V76" s="289"/>
      <c r="W76" s="289"/>
      <c r="X76" s="289"/>
      <c r="Y76" s="290"/>
      <c r="Z76" s="279" t="s">
        <v>54</v>
      </c>
      <c r="AA76" s="279" t="s">
        <v>64</v>
      </c>
      <c r="AB76" s="279" t="s">
        <v>124</v>
      </c>
      <c r="AC76" s="280" t="s">
        <v>127</v>
      </c>
      <c r="AD76" s="281" t="s">
        <v>65</v>
      </c>
    </row>
    <row r="77" spans="1:30" ht="60" x14ac:dyDescent="0.25">
      <c r="F77" s="291" t="s">
        <v>140</v>
      </c>
      <c r="G77" s="292"/>
      <c r="H77" s="141" t="s">
        <v>142</v>
      </c>
      <c r="N77" s="285"/>
      <c r="O77" s="287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79"/>
      <c r="AA77" s="279"/>
      <c r="AB77" s="279"/>
      <c r="AC77" s="280" t="s">
        <v>127</v>
      </c>
      <c r="AD77" s="281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87">
        <v>13.62</v>
      </c>
      <c r="Q78" s="137">
        <v>4</v>
      </c>
      <c r="R78" s="82">
        <v>7.4999999999999997E-3</v>
      </c>
      <c r="S78" s="194">
        <f>+(P78+Q78)*R78</f>
        <v>0.13214999999999999</v>
      </c>
      <c r="T78" s="219">
        <f>+(P78+Q78)-S78</f>
        <v>17.487849999999998</v>
      </c>
      <c r="U78" s="211">
        <v>66.760000000000005</v>
      </c>
      <c r="V78" s="112"/>
      <c r="W78" s="113">
        <v>1.4999999999999999E-2</v>
      </c>
      <c r="X78" s="196">
        <f>+(U78+V78)*W78</f>
        <v>1.0014000000000001</v>
      </c>
      <c r="Y78" s="217">
        <f>+(U78+V78)-X78</f>
        <v>65.758600000000001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137">
        <v>9.3000000000000007</v>
      </c>
      <c r="Q79" s="137">
        <v>15.05</v>
      </c>
      <c r="R79" s="82">
        <v>7.4999999999999997E-3</v>
      </c>
      <c r="S79" s="194">
        <f t="shared" ref="S79:S97" si="43">+(P79+Q79)*R79</f>
        <v>0.18262500000000001</v>
      </c>
      <c r="T79" s="219">
        <f t="shared" ref="T79:T97" si="44">+(P79+Q79)-S79</f>
        <v>24.167375</v>
      </c>
      <c r="U79" s="211">
        <v>11.6</v>
      </c>
      <c r="V79" s="112"/>
      <c r="W79" s="113">
        <v>1.4999999999999999E-2</v>
      </c>
      <c r="X79" s="196">
        <f t="shared" ref="X79:X97" si="45">+(U79+V79)*W79</f>
        <v>0.17399999999999999</v>
      </c>
      <c r="Y79" s="217">
        <f t="shared" ref="Y79:Y97" si="46">+(U79+V79)-X79</f>
        <v>11.426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>
        <v>12.85</v>
      </c>
      <c r="R80" s="82">
        <v>7.4999999999999997E-3</v>
      </c>
      <c r="S80" s="194">
        <f t="shared" si="43"/>
        <v>9.6374999999999988E-2</v>
      </c>
      <c r="T80" s="219">
        <f t="shared" si="44"/>
        <v>12.753625</v>
      </c>
      <c r="U80" s="211">
        <v>28.85</v>
      </c>
      <c r="V80" s="112">
        <v>0</v>
      </c>
      <c r="W80" s="113">
        <v>1.4999999999999999E-2</v>
      </c>
      <c r="X80" s="196">
        <f t="shared" si="45"/>
        <v>0.43275000000000002</v>
      </c>
      <c r="Y80" s="217">
        <f t="shared" si="46"/>
        <v>28.417250000000003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>
        <v>29.63</v>
      </c>
      <c r="Q81" s="137">
        <v>2</v>
      </c>
      <c r="R81" s="82">
        <v>7.4999999999999997E-3</v>
      </c>
      <c r="S81" s="194">
        <f t="shared" si="43"/>
        <v>0.23722499999999999</v>
      </c>
      <c r="T81" s="219">
        <f t="shared" si="44"/>
        <v>31.392775</v>
      </c>
      <c r="U81" s="211">
        <v>106.03</v>
      </c>
      <c r="V81" s="112"/>
      <c r="W81" s="113">
        <v>1.4999999999999999E-2</v>
      </c>
      <c r="X81" s="196">
        <f t="shared" si="45"/>
        <v>1.5904499999999999</v>
      </c>
      <c r="Y81" s="217">
        <f t="shared" si="46"/>
        <v>104.43955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>
        <v>36.409999999999997</v>
      </c>
      <c r="Q82" s="137"/>
      <c r="R82" s="82">
        <v>7.4999999999999997E-3</v>
      </c>
      <c r="S82" s="194">
        <f t="shared" si="43"/>
        <v>0.27307499999999996</v>
      </c>
      <c r="T82" s="219">
        <f t="shared" si="44"/>
        <v>36.136924999999998</v>
      </c>
      <c r="U82" s="211">
        <v>269.70999999999998</v>
      </c>
      <c r="V82" s="112"/>
      <c r="W82" s="113">
        <v>1.4999999999999999E-2</v>
      </c>
      <c r="X82" s="196">
        <f t="shared" si="45"/>
        <v>4.0456499999999993</v>
      </c>
      <c r="Y82" s="217">
        <f t="shared" si="46"/>
        <v>265.66434999999996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137"/>
      <c r="Q84" s="137"/>
      <c r="R84" s="82">
        <v>7.4999999999999997E-3</v>
      </c>
      <c r="S84" s="194">
        <f t="shared" si="43"/>
        <v>0</v>
      </c>
      <c r="T84" s="219">
        <f t="shared" si="44"/>
        <v>0</v>
      </c>
      <c r="U84" s="211"/>
      <c r="V84" s="112"/>
      <c r="W84" s="113">
        <v>1.4999999999999999E-2</v>
      </c>
      <c r="X84" s="196">
        <f t="shared" si="45"/>
        <v>0</v>
      </c>
      <c r="Y84" s="217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" customHeight="1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88.96</v>
      </c>
      <c r="Q98" s="195">
        <f>SUM(Q78:Q97)</f>
        <v>33.9</v>
      </c>
      <c r="R98" s="111"/>
      <c r="S98" s="195">
        <f>SUM(S78:S97)</f>
        <v>0.92144999999999999</v>
      </c>
      <c r="T98" s="195">
        <f>SUM(T78:T97)</f>
        <v>121.93854999999999</v>
      </c>
      <c r="U98" s="114">
        <f>SUM(U78:U97)</f>
        <v>482.95</v>
      </c>
      <c r="V98" s="114">
        <f>SUM(V78:V97)</f>
        <v>0</v>
      </c>
      <c r="W98" s="112"/>
      <c r="X98" s="197">
        <f>SUM(X78:X97)</f>
        <v>7.2442499999999992</v>
      </c>
      <c r="Y98" s="197">
        <f>SUM(Y78:Y97)</f>
        <v>475.70574999999997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Q100" s="215">
        <f>P78+Q78+U78</f>
        <v>84.38</v>
      </c>
    </row>
    <row r="101" spans="14:30" x14ac:dyDescent="0.25">
      <c r="N101" s="85"/>
      <c r="Q101" s="215">
        <f>P79+Q79+U79</f>
        <v>35.950000000000003</v>
      </c>
    </row>
    <row r="102" spans="14:30" x14ac:dyDescent="0.25">
      <c r="N102" s="85"/>
      <c r="Q102" s="215">
        <f>P80+Q80+U80</f>
        <v>41.7</v>
      </c>
    </row>
    <row r="103" spans="14:30" x14ac:dyDescent="0.25">
      <c r="N103" s="85"/>
      <c r="Q103" s="215">
        <f>U81+Q81+P81</f>
        <v>137.66</v>
      </c>
    </row>
    <row r="104" spans="14:30" x14ac:dyDescent="0.25">
      <c r="N104" s="85"/>
      <c r="Q104" s="215">
        <f>P82+Q82+U82</f>
        <v>306.12</v>
      </c>
    </row>
    <row r="105" spans="14:30" x14ac:dyDescent="0.25">
      <c r="N105" s="85"/>
      <c r="Q105" s="212">
        <f>P83+Q83+U83</f>
        <v>0</v>
      </c>
    </row>
    <row r="106" spans="14:30" x14ac:dyDescent="0.25">
      <c r="N106" s="85"/>
      <c r="Q106" s="212">
        <f>P84+Q84+U84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7" priority="1" operator="greaterThan">
      <formula>0</formula>
    </cfRule>
    <cfRule type="cellIs" dxfId="5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L29" zoomScale="90" zoomScaleNormal="90" workbookViewId="0">
      <selection activeCell="K48" sqref="K48:K53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8554687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59"/>
      <c r="B1" s="296"/>
      <c r="C1" s="296"/>
      <c r="D1" s="296"/>
      <c r="E1" s="296"/>
      <c r="F1" s="296"/>
      <c r="G1" s="296"/>
      <c r="H1" s="296"/>
      <c r="M1" s="76"/>
      <c r="N1" s="71"/>
    </row>
    <row r="2" spans="1:28" s="84" customFormat="1" ht="16.5" customHeight="1" x14ac:dyDescent="0.35">
      <c r="A2" s="259"/>
      <c r="B2" s="296" t="s">
        <v>12</v>
      </c>
      <c r="C2" s="296"/>
      <c r="D2" s="296"/>
      <c r="E2" s="296"/>
      <c r="F2" s="296"/>
      <c r="G2" s="296"/>
      <c r="H2" s="296"/>
      <c r="M2" s="76"/>
      <c r="N2" s="71"/>
    </row>
    <row r="3" spans="1:28" s="84" customFormat="1" ht="21.75" customHeight="1" x14ac:dyDescent="0.25">
      <c r="A3" s="259"/>
      <c r="B3" s="297" t="s">
        <v>21</v>
      </c>
      <c r="C3" s="297"/>
      <c r="D3" s="297"/>
      <c r="E3" s="297"/>
      <c r="F3" s="297"/>
      <c r="G3" s="297"/>
      <c r="H3" s="297"/>
      <c r="M3" s="76"/>
      <c r="N3" s="71"/>
    </row>
    <row r="4" spans="1:28" x14ac:dyDescent="0.25">
      <c r="B4" s="298" t="s">
        <v>196</v>
      </c>
      <c r="C4" s="298"/>
      <c r="D4" s="298"/>
      <c r="E4" s="298"/>
      <c r="F4" s="298"/>
      <c r="G4" s="298"/>
      <c r="H4" s="298"/>
    </row>
    <row r="6" spans="1:28" x14ac:dyDescent="0.25">
      <c r="A6" s="7" t="s">
        <v>22</v>
      </c>
      <c r="B6" s="72">
        <v>44504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4.4400000000000004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164.2</v>
      </c>
      <c r="C12" s="15"/>
      <c r="D12" s="56"/>
      <c r="E12" s="16"/>
      <c r="F12" s="56"/>
      <c r="G12" s="56"/>
      <c r="H12" s="17"/>
      <c r="I12" s="83">
        <v>164.2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>
        <v>161</v>
      </c>
      <c r="Q12" s="153">
        <v>7</v>
      </c>
      <c r="R12" s="154">
        <v>5.33</v>
      </c>
      <c r="S12" s="155"/>
      <c r="T12" s="155"/>
      <c r="U12" s="189">
        <f>((T12/U$10)*U$9)</f>
        <v>0</v>
      </c>
      <c r="V12" s="189">
        <f>R12*V$10</f>
        <v>3.9974999999999997E-2</v>
      </c>
      <c r="W12" s="189">
        <f>+S12*V$10</f>
        <v>0</v>
      </c>
      <c r="X12" s="189">
        <f>+T12*X$10</f>
        <v>0</v>
      </c>
      <c r="Y12" s="189">
        <f>R12-V12</f>
        <v>5.290025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805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805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3574.2000000000003</v>
      </c>
      <c r="C14" s="15"/>
      <c r="D14" s="56"/>
      <c r="E14" s="16"/>
      <c r="F14" s="56"/>
      <c r="G14" s="56"/>
      <c r="H14" s="17"/>
      <c r="I14" s="83"/>
      <c r="J14" s="81">
        <f t="shared" si="0"/>
        <v>3574.2000000000003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805</v>
      </c>
      <c r="C19" s="95"/>
      <c r="D19" s="94"/>
      <c r="E19" s="96"/>
      <c r="F19" s="94"/>
      <c r="G19" s="94"/>
      <c r="H19" s="98"/>
      <c r="I19" s="99"/>
      <c r="J19" s="185">
        <f>B19-I19</f>
        <v>805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3574.2000000000003</v>
      </c>
      <c r="C20" s="95"/>
      <c r="D20" s="94"/>
      <c r="E20" s="96"/>
      <c r="F20" s="94"/>
      <c r="G20" s="94"/>
      <c r="H20" s="98"/>
      <c r="I20" s="99">
        <v>3558.1</v>
      </c>
      <c r="J20" s="185">
        <f t="shared" si="0"/>
        <v>16.100000000000364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>
        <v>23.54</v>
      </c>
      <c r="C29" s="100"/>
      <c r="D29" s="66"/>
      <c r="E29" s="67"/>
      <c r="F29" s="66"/>
      <c r="G29" s="66"/>
      <c r="H29" s="102"/>
      <c r="I29" s="79">
        <v>23.54</v>
      </c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104.5176</v>
      </c>
      <c r="C30" s="100"/>
      <c r="D30" s="66"/>
      <c r="E30" s="67"/>
      <c r="F30" s="66"/>
      <c r="G30" s="66"/>
      <c r="H30" s="102"/>
      <c r="I30" s="79"/>
      <c r="J30" s="81">
        <f t="shared" si="0"/>
        <v>104.5176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>
        <v>760</v>
      </c>
      <c r="B35" s="97">
        <f>+B29+B31+B33</f>
        <v>23.54</v>
      </c>
      <c r="C35" s="95"/>
      <c r="D35" s="94"/>
      <c r="E35" s="96"/>
      <c r="F35" s="94"/>
      <c r="G35" s="94"/>
      <c r="H35" s="98"/>
      <c r="I35" s="99"/>
      <c r="J35" s="185">
        <f t="shared" si="0"/>
        <v>23.54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104.5176</v>
      </c>
      <c r="C36" s="95"/>
      <c r="D36" s="94"/>
      <c r="E36" s="96"/>
      <c r="F36" s="94"/>
      <c r="G36" s="94"/>
      <c r="H36" s="98"/>
      <c r="I36" s="99"/>
      <c r="J36" s="185">
        <f t="shared" si="0"/>
        <v>104.5176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3" t="s">
        <v>107</v>
      </c>
      <c r="O42" s="294"/>
      <c r="P42" s="294"/>
      <c r="Q42" s="295"/>
      <c r="R42" s="190">
        <f t="shared" ref="R42:AA42" si="8">SUM(R12:R41)</f>
        <v>5.33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3.9974999999999997E-2</v>
      </c>
      <c r="W42" s="190">
        <f t="shared" si="8"/>
        <v>0</v>
      </c>
      <c r="X42" s="190">
        <f t="shared" si="8"/>
        <v>0</v>
      </c>
      <c r="Y42" s="190">
        <f t="shared" si="8"/>
        <v>5.290025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5.33</v>
      </c>
      <c r="C46" s="116">
        <v>7.4999999999999997E-3</v>
      </c>
      <c r="D46" s="117">
        <f>B46*C46</f>
        <v>3.9974999999999997E-2</v>
      </c>
      <c r="E46" s="172">
        <v>0</v>
      </c>
      <c r="F46" s="117">
        <f t="shared" ref="F46:F50" si="15">D46*E46</f>
        <v>0</v>
      </c>
      <c r="G46" s="117">
        <f t="shared" ref="G46:G51" si="16">B46-D46-F46</f>
        <v>5.290025</v>
      </c>
      <c r="H46" s="173">
        <f>B$6+1</f>
        <v>44505</v>
      </c>
      <c r="I46" s="174"/>
      <c r="J46" s="81">
        <f t="shared" si="0"/>
        <v>5.33</v>
      </c>
      <c r="K46" s="80"/>
      <c r="L46" s="186">
        <f>K46-G46</f>
        <v>-5.290025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44505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44505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3790.69</v>
      </c>
      <c r="C49" s="116">
        <v>7.4999999999999997E-3</v>
      </c>
      <c r="D49" s="117">
        <f t="shared" si="17"/>
        <v>28.430174999999998</v>
      </c>
      <c r="E49" s="172">
        <v>0</v>
      </c>
      <c r="F49" s="117">
        <f t="shared" si="15"/>
        <v>0</v>
      </c>
      <c r="G49" s="117">
        <f t="shared" si="16"/>
        <v>3762.2598250000001</v>
      </c>
      <c r="H49" s="173">
        <f t="shared" si="19"/>
        <v>44505</v>
      </c>
      <c r="I49" s="176"/>
      <c r="J49" s="81">
        <f t="shared" si="0"/>
        <v>3790.69</v>
      </c>
      <c r="K49" s="80"/>
      <c r="L49" s="186">
        <f t="shared" si="18"/>
        <v>3762.2598250000001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388.37</v>
      </c>
      <c r="C50" s="116">
        <v>7.4999999999999997E-3</v>
      </c>
      <c r="D50" s="117">
        <f t="shared" si="17"/>
        <v>2.9127749999999999</v>
      </c>
      <c r="E50" s="172">
        <v>0</v>
      </c>
      <c r="F50" s="117">
        <f t="shared" si="15"/>
        <v>0</v>
      </c>
      <c r="G50" s="117">
        <f t="shared" si="16"/>
        <v>385.45722499999999</v>
      </c>
      <c r="H50" s="173">
        <f t="shared" si="19"/>
        <v>44505</v>
      </c>
      <c r="I50" s="175"/>
      <c r="J50" s="81">
        <f t="shared" si="0"/>
        <v>388.37</v>
      </c>
      <c r="K50" s="80"/>
      <c r="L50" s="186">
        <f t="shared" si="18"/>
        <v>385.45722499999999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307.44000000000005</v>
      </c>
      <c r="C51" s="116">
        <v>1.4999999999999999E-2</v>
      </c>
      <c r="D51" s="117">
        <f>+B51*C51</f>
        <v>4.611600000000001</v>
      </c>
      <c r="E51" s="172">
        <v>0</v>
      </c>
      <c r="F51" s="117">
        <f>D51*E51</f>
        <v>0</v>
      </c>
      <c r="G51" s="117">
        <f t="shared" si="16"/>
        <v>302.82840000000004</v>
      </c>
      <c r="H51" s="173">
        <f t="shared" si="19"/>
        <v>44505</v>
      </c>
      <c r="I51" s="175"/>
      <c r="J51" s="81">
        <f t="shared" si="0"/>
        <v>307.44000000000005</v>
      </c>
      <c r="K51" s="80"/>
      <c r="L51" s="186">
        <f t="shared" si="18"/>
        <v>302.82840000000004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44505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44505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44505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44505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44505</v>
      </c>
      <c r="I56" s="176">
        <v>7.63</v>
      </c>
      <c r="J56" s="81">
        <f t="shared" si="0"/>
        <v>-7.63</v>
      </c>
      <c r="K56" s="80"/>
      <c r="L56" s="186">
        <f t="shared" si="18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44507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44509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44534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35.994524999999996</v>
      </c>
      <c r="E61" s="177"/>
      <c r="F61" s="57">
        <f>SUM(F46:F58)</f>
        <v>0</v>
      </c>
      <c r="G61" s="57">
        <f>SUM(G46:G58)</f>
        <v>4455.8354749999999</v>
      </c>
      <c r="H61" s="173">
        <f t="shared" si="19"/>
        <v>44505</v>
      </c>
      <c r="I61" s="175"/>
      <c r="J61" s="81">
        <f t="shared" si="0"/>
        <v>0</v>
      </c>
      <c r="K61" s="80"/>
      <c r="L61" s="186">
        <f t="shared" si="18"/>
        <v>4455.8354749999999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44505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2" t="s">
        <v>109</v>
      </c>
      <c r="O63" s="282"/>
      <c r="P63" s="282"/>
      <c r="Q63" s="28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8911.6709499999997</v>
      </c>
      <c r="H64" s="184"/>
      <c r="I64" s="175"/>
      <c r="J64" s="81">
        <f t="shared" si="0"/>
        <v>0</v>
      </c>
      <c r="K64" s="80"/>
      <c r="L64" s="186">
        <f t="shared" si="18"/>
        <v>8911.6709499999997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8334.7476000000006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9" t="s">
        <v>20</v>
      </c>
      <c r="B67" s="300"/>
      <c r="F67" s="301" t="s">
        <v>136</v>
      </c>
      <c r="G67" s="301"/>
      <c r="H67" s="301"/>
      <c r="I67" s="302" t="s">
        <v>138</v>
      </c>
      <c r="J67" s="303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8316.92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8316.92</v>
      </c>
      <c r="C69" s="59"/>
      <c r="F69" s="87" t="s">
        <v>129</v>
      </c>
      <c r="G69" s="22"/>
      <c r="H69" s="89"/>
      <c r="I69" s="136"/>
      <c r="J69" s="136">
        <f>K52</f>
        <v>0</v>
      </c>
      <c r="N69" s="282" t="s">
        <v>110</v>
      </c>
      <c r="O69" s="282"/>
      <c r="P69" s="283"/>
      <c r="Q69" s="28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B68-B67</f>
        <v>8316.92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189</v>
      </c>
      <c r="P70" s="229" t="s">
        <v>248</v>
      </c>
      <c r="Q70" s="229">
        <v>2003</v>
      </c>
      <c r="R70" s="222">
        <f>514.23+570.67</f>
        <v>1084.9000000000001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8.136750000000001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1076.7632500000002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17.82760000000053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189</v>
      </c>
      <c r="P71" s="229">
        <v>355</v>
      </c>
      <c r="Q71" s="229">
        <v>2003</v>
      </c>
      <c r="R71" s="222">
        <v>1063.33</v>
      </c>
      <c r="S71" s="87"/>
      <c r="T71" s="87"/>
      <c r="U71" s="189">
        <f t="shared" si="34"/>
        <v>0</v>
      </c>
      <c r="V71" s="189">
        <f t="shared" si="35"/>
        <v>7.9749749999999988</v>
      </c>
      <c r="W71" s="189">
        <f t="shared" si="36"/>
        <v>0</v>
      </c>
      <c r="X71" s="189">
        <f t="shared" si="37"/>
        <v>0</v>
      </c>
      <c r="Y71" s="189">
        <f t="shared" si="38"/>
        <v>1055.3550249999998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189</v>
      </c>
      <c r="P72" s="229">
        <v>449</v>
      </c>
      <c r="Q72" s="229">
        <v>2002</v>
      </c>
      <c r="R72" s="222">
        <v>671.62</v>
      </c>
      <c r="S72" s="87"/>
      <c r="T72" s="87"/>
      <c r="U72" s="189">
        <f t="shared" si="34"/>
        <v>0</v>
      </c>
      <c r="V72" s="189">
        <f t="shared" si="35"/>
        <v>5.0371499999999996</v>
      </c>
      <c r="W72" s="189">
        <f t="shared" si="36"/>
        <v>0</v>
      </c>
      <c r="X72" s="189">
        <f t="shared" si="37"/>
        <v>0</v>
      </c>
      <c r="Y72" s="189">
        <f t="shared" si="38"/>
        <v>666.58285000000001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212</v>
      </c>
      <c r="P73" s="229">
        <v>372</v>
      </c>
      <c r="Q73" s="229">
        <v>2002</v>
      </c>
      <c r="R73" s="222">
        <v>970.84</v>
      </c>
      <c r="S73" s="87"/>
      <c r="T73" s="87"/>
      <c r="U73" s="189">
        <f t="shared" si="34"/>
        <v>0</v>
      </c>
      <c r="V73" s="189">
        <f t="shared" si="35"/>
        <v>7.2812999999999999</v>
      </c>
      <c r="W73" s="189">
        <f t="shared" si="36"/>
        <v>0</v>
      </c>
      <c r="X73" s="189">
        <f t="shared" si="37"/>
        <v>0</v>
      </c>
      <c r="Y73" s="189">
        <f t="shared" si="38"/>
        <v>963.55870000000004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186</v>
      </c>
      <c r="P74" s="229"/>
      <c r="Q74" s="229"/>
      <c r="R74" s="222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2" t="s">
        <v>128</v>
      </c>
      <c r="O75" s="282"/>
      <c r="P75" s="283"/>
      <c r="Q75" s="283"/>
      <c r="R75" s="192">
        <f>SUM(R70:R74)</f>
        <v>3790.69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28.430174999999998</v>
      </c>
      <c r="W75" s="192">
        <f t="shared" si="41"/>
        <v>0</v>
      </c>
      <c r="X75" s="192">
        <f t="shared" si="41"/>
        <v>0</v>
      </c>
      <c r="Y75" s="192">
        <f t="shared" si="41"/>
        <v>3762.2598249999996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4" t="s">
        <v>73</v>
      </c>
      <c r="O76" s="286" t="s">
        <v>67</v>
      </c>
      <c r="P76" s="282" t="s">
        <v>62</v>
      </c>
      <c r="Q76" s="282"/>
      <c r="R76" s="282"/>
      <c r="S76" s="282"/>
      <c r="T76" s="282"/>
      <c r="U76" s="288" t="s">
        <v>68</v>
      </c>
      <c r="V76" s="289"/>
      <c r="W76" s="289"/>
      <c r="X76" s="289"/>
      <c r="Y76" s="290"/>
      <c r="Z76" s="279" t="s">
        <v>54</v>
      </c>
      <c r="AA76" s="279" t="s">
        <v>64</v>
      </c>
      <c r="AB76" s="279" t="s">
        <v>124</v>
      </c>
      <c r="AC76" s="280" t="s">
        <v>127</v>
      </c>
      <c r="AD76" s="281" t="s">
        <v>65</v>
      </c>
    </row>
    <row r="77" spans="1:30" ht="60" x14ac:dyDescent="0.25">
      <c r="F77" s="291" t="s">
        <v>140</v>
      </c>
      <c r="G77" s="292"/>
      <c r="H77" s="141" t="s">
        <v>142</v>
      </c>
      <c r="N77" s="285"/>
      <c r="O77" s="287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79"/>
      <c r="AA77" s="279"/>
      <c r="AB77" s="279"/>
      <c r="AC77" s="280" t="s">
        <v>127</v>
      </c>
      <c r="AD77" s="281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5.33</v>
      </c>
      <c r="Q78" s="137">
        <v>17.37</v>
      </c>
      <c r="R78" s="82">
        <v>7.4999999999999997E-3</v>
      </c>
      <c r="S78" s="194">
        <f>+(P78+Q78)*R78</f>
        <v>0.17025000000000001</v>
      </c>
      <c r="T78" s="219">
        <f>+(P78+Q78)-S78</f>
        <v>22.529750000000003</v>
      </c>
      <c r="U78" s="211">
        <v>47.43</v>
      </c>
      <c r="V78" s="112"/>
      <c r="W78" s="113">
        <v>1.4999999999999999E-2</v>
      </c>
      <c r="X78" s="196">
        <f>+(U78+V78)*W78</f>
        <v>0.71144999999999992</v>
      </c>
      <c r="Y78" s="213">
        <f>+(U78+V78)-X78</f>
        <v>46.71855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137">
        <v>97.97</v>
      </c>
      <c r="Q79" s="137">
        <v>193.82</v>
      </c>
      <c r="R79" s="82">
        <v>7.4999999999999997E-3</v>
      </c>
      <c r="S79" s="194">
        <f t="shared" ref="S79:S97" si="43">+(P79+Q79)*R79</f>
        <v>2.1884249999999996</v>
      </c>
      <c r="T79" s="219">
        <f t="shared" ref="T79:T97" si="44">+(P79+Q79)-S79</f>
        <v>289.60157499999997</v>
      </c>
      <c r="U79" s="211">
        <v>64.06</v>
      </c>
      <c r="V79" s="112"/>
      <c r="W79" s="113">
        <v>1.4999999999999999E-2</v>
      </c>
      <c r="X79" s="196">
        <f t="shared" ref="X79:X97" si="45">+(U79+V79)*W79</f>
        <v>0.96089999999999998</v>
      </c>
      <c r="Y79" s="217">
        <f t="shared" ref="Y79:Y97" si="46">+(U79+V79)-X79</f>
        <v>63.0991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27.91</v>
      </c>
      <c r="Q80" s="137"/>
      <c r="R80" s="82">
        <v>7.4999999999999997E-3</v>
      </c>
      <c r="S80" s="194">
        <f t="shared" si="43"/>
        <v>0.20932499999999998</v>
      </c>
      <c r="T80" s="219">
        <f t="shared" si="44"/>
        <v>27.700675</v>
      </c>
      <c r="U80" s="211">
        <v>53.65</v>
      </c>
      <c r="V80" s="112"/>
      <c r="W80" s="113">
        <v>1.4999999999999999E-2</v>
      </c>
      <c r="X80" s="196">
        <f t="shared" si="45"/>
        <v>0.80474999999999997</v>
      </c>
      <c r="Y80" s="213">
        <f t="shared" si="46"/>
        <v>52.84525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>
        <v>36.130000000000003</v>
      </c>
      <c r="Q81" s="137"/>
      <c r="R81" s="82">
        <v>7.4999999999999997E-3</v>
      </c>
      <c r="S81" s="194">
        <f t="shared" si="43"/>
        <v>0.27097500000000002</v>
      </c>
      <c r="T81" s="219">
        <f t="shared" si="44"/>
        <v>35.859025000000003</v>
      </c>
      <c r="U81" s="211">
        <v>93.27</v>
      </c>
      <c r="V81" s="112"/>
      <c r="W81" s="113">
        <v>1.4999999999999999E-2</v>
      </c>
      <c r="X81" s="196">
        <f t="shared" si="45"/>
        <v>1.3990499999999999</v>
      </c>
      <c r="Y81" s="238">
        <f t="shared" si="46"/>
        <v>91.870949999999993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>
        <v>2.95</v>
      </c>
      <c r="Q82" s="137">
        <v>6.89</v>
      </c>
      <c r="R82" s="82">
        <v>7.4999999999999997E-3</v>
      </c>
      <c r="S82" s="194">
        <f t="shared" si="43"/>
        <v>7.3799999999999991E-2</v>
      </c>
      <c r="T82" s="219">
        <f t="shared" si="44"/>
        <v>9.7661999999999995</v>
      </c>
      <c r="U82" s="211">
        <v>49.03</v>
      </c>
      <c r="V82" s="112"/>
      <c r="W82" s="113">
        <v>1.4999999999999999E-2</v>
      </c>
      <c r="X82" s="196">
        <f t="shared" si="45"/>
        <v>0.73544999999999994</v>
      </c>
      <c r="Y82" s="213">
        <f t="shared" si="46"/>
        <v>48.294550000000001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170.29</v>
      </c>
      <c r="Q98" s="195">
        <f>SUM(Q78:Q97)</f>
        <v>218.07999999999998</v>
      </c>
      <c r="R98" s="111"/>
      <c r="S98" s="195">
        <f>SUM(S78:S97)</f>
        <v>2.9127749999999994</v>
      </c>
      <c r="T98" s="195">
        <f>SUM(T78:T97)</f>
        <v>385.45722499999999</v>
      </c>
      <c r="U98" s="114">
        <f>SUM(U78:U97)</f>
        <v>307.44000000000005</v>
      </c>
      <c r="V98" s="114">
        <f>SUM(V78:V97)</f>
        <v>0</v>
      </c>
      <c r="W98" s="112"/>
      <c r="X98" s="197">
        <f>SUM(X78:X97)</f>
        <v>4.6115999999999993</v>
      </c>
      <c r="Y98" s="197">
        <f>SUM(Y78:Y97)</f>
        <v>302.82839999999999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12">
        <f>P78+Q78+U78</f>
        <v>70.13</v>
      </c>
    </row>
    <row r="101" spans="14:30" x14ac:dyDescent="0.25">
      <c r="N101" s="85"/>
      <c r="P101" s="212">
        <f>P79+Q79+U79</f>
        <v>355.84999999999997</v>
      </c>
      <c r="Q101" s="212"/>
    </row>
    <row r="102" spans="14:30" x14ac:dyDescent="0.25">
      <c r="N102" s="85"/>
      <c r="P102" s="212">
        <f>P80+Q80+U80</f>
        <v>81.56</v>
      </c>
      <c r="Q102" s="212"/>
    </row>
    <row r="103" spans="14:30" x14ac:dyDescent="0.25">
      <c r="N103" s="85"/>
      <c r="P103" s="212">
        <f>P81+Q81+U81</f>
        <v>129.4</v>
      </c>
      <c r="Q103" s="212"/>
    </row>
    <row r="104" spans="14:30" x14ac:dyDescent="0.25">
      <c r="N104" s="85"/>
      <c r="P104" s="212">
        <f>P82+Q82+U82</f>
        <v>58.870000000000005</v>
      </c>
      <c r="Q104" s="212"/>
    </row>
    <row r="105" spans="14:30" x14ac:dyDescent="0.25">
      <c r="N105" s="85"/>
      <c r="Q105" s="212"/>
    </row>
    <row r="106" spans="14:30" x14ac:dyDescent="0.25">
      <c r="N106" s="85"/>
      <c r="Q106" s="212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5" priority="1" operator="greaterThan">
      <formula>0</formula>
    </cfRule>
    <cfRule type="cellIs" dxfId="5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K20" zoomScale="90" zoomScaleNormal="90" workbookViewId="0">
      <selection activeCell="N52" sqref="N52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4.42578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59"/>
      <c r="B1" s="296"/>
      <c r="C1" s="296"/>
      <c r="D1" s="296"/>
      <c r="E1" s="296"/>
      <c r="F1" s="296"/>
      <c r="G1" s="296"/>
      <c r="H1" s="296"/>
      <c r="M1" s="76"/>
      <c r="N1" s="71"/>
    </row>
    <row r="2" spans="1:28" s="84" customFormat="1" ht="16.5" customHeight="1" x14ac:dyDescent="0.35">
      <c r="A2" s="259"/>
      <c r="B2" s="296" t="s">
        <v>12</v>
      </c>
      <c r="C2" s="296"/>
      <c r="D2" s="296"/>
      <c r="E2" s="296"/>
      <c r="F2" s="296"/>
      <c r="G2" s="296"/>
      <c r="H2" s="296"/>
      <c r="M2" s="76"/>
      <c r="N2" s="71"/>
    </row>
    <row r="3" spans="1:28" s="84" customFormat="1" ht="21.75" customHeight="1" x14ac:dyDescent="0.25">
      <c r="A3" s="259"/>
      <c r="B3" s="297" t="s">
        <v>21</v>
      </c>
      <c r="C3" s="297"/>
      <c r="D3" s="297"/>
      <c r="E3" s="297"/>
      <c r="F3" s="297"/>
      <c r="G3" s="297"/>
      <c r="H3" s="297"/>
      <c r="M3" s="76"/>
      <c r="N3" s="71"/>
    </row>
    <row r="4" spans="1:28" x14ac:dyDescent="0.25">
      <c r="B4" s="298" t="s">
        <v>191</v>
      </c>
      <c r="C4" s="298"/>
      <c r="D4" s="298"/>
      <c r="E4" s="298"/>
      <c r="F4" s="298"/>
      <c r="G4" s="298"/>
      <c r="H4" s="298"/>
    </row>
    <row r="6" spans="1:28" x14ac:dyDescent="0.25">
      <c r="A6" s="7" t="s">
        <v>22</v>
      </c>
      <c r="B6" s="72">
        <v>44505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4.42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367.45</v>
      </c>
      <c r="C12" s="15"/>
      <c r="D12" s="56"/>
      <c r="E12" s="16"/>
      <c r="F12" s="56"/>
      <c r="G12" s="56"/>
      <c r="H12" s="17"/>
      <c r="I12" s="83">
        <v>367.45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8">
        <v>164</v>
      </c>
      <c r="Q12" s="158">
        <v>7</v>
      </c>
      <c r="R12" s="159">
        <v>61.97</v>
      </c>
      <c r="S12" s="155"/>
      <c r="T12" s="155"/>
      <c r="U12" s="189">
        <f>((T12/U$10)*U$9)</f>
        <v>0</v>
      </c>
      <c r="V12" s="189">
        <f>R12*V$10</f>
        <v>0.46477499999999999</v>
      </c>
      <c r="W12" s="189">
        <f>+S12*V$10</f>
        <v>0</v>
      </c>
      <c r="X12" s="189">
        <f>+T12*X$10</f>
        <v>0</v>
      </c>
      <c r="Y12" s="189">
        <f>R12-V12</f>
        <v>61.505224999999996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1147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1147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8">
        <v>162</v>
      </c>
      <c r="Q13" s="158">
        <v>7</v>
      </c>
      <c r="R13" s="159">
        <v>170.29</v>
      </c>
      <c r="S13" s="155"/>
      <c r="T13" s="157"/>
      <c r="U13" s="189">
        <f t="shared" ref="U13:U41" si="2">((T13/U$10)*U$9)</f>
        <v>0</v>
      </c>
      <c r="V13" s="189">
        <f t="shared" ref="V13:V41" si="3">R13*V$10</f>
        <v>1.2771749999999999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169.01282499999999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5069.74</v>
      </c>
      <c r="C14" s="15"/>
      <c r="D14" s="56"/>
      <c r="E14" s="16"/>
      <c r="F14" s="56"/>
      <c r="G14" s="56"/>
      <c r="H14" s="17"/>
      <c r="I14" s="83"/>
      <c r="J14" s="81">
        <f t="shared" si="0"/>
        <v>5069.74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8">
        <v>163</v>
      </c>
      <c r="Q14" s="158">
        <v>7</v>
      </c>
      <c r="R14" s="159">
        <v>247.77</v>
      </c>
      <c r="S14" s="155"/>
      <c r="T14" s="157"/>
      <c r="U14" s="189">
        <f t="shared" si="2"/>
        <v>0</v>
      </c>
      <c r="V14" s="189">
        <f t="shared" si="3"/>
        <v>1.8582749999999999</v>
      </c>
      <c r="W14" s="189">
        <f t="shared" si="4"/>
        <v>0</v>
      </c>
      <c r="X14" s="189">
        <f t="shared" si="5"/>
        <v>0</v>
      </c>
      <c r="Y14" s="189">
        <f t="shared" si="6"/>
        <v>245.91172500000002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8">
        <v>165</v>
      </c>
      <c r="Q15" s="158">
        <v>7</v>
      </c>
      <c r="R15" s="159">
        <v>804.6</v>
      </c>
      <c r="S15" s="155"/>
      <c r="T15" s="157">
        <v>17.2</v>
      </c>
      <c r="U15" s="189">
        <f t="shared" si="2"/>
        <v>0.74137931034482762</v>
      </c>
      <c r="V15" s="189">
        <f t="shared" si="3"/>
        <v>6.0344999999999995</v>
      </c>
      <c r="W15" s="189">
        <f t="shared" si="4"/>
        <v>0</v>
      </c>
      <c r="X15" s="189">
        <f t="shared" si="5"/>
        <v>0.43</v>
      </c>
      <c r="Y15" s="189">
        <f t="shared" si="6"/>
        <v>798.56550000000004</v>
      </c>
      <c r="Z15" s="189">
        <f t="shared" si="6"/>
        <v>0</v>
      </c>
      <c r="AA15" s="189">
        <f t="shared" si="7"/>
        <v>16.02862068965517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8"/>
      <c r="Q16" s="158"/>
      <c r="R16" s="159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8"/>
      <c r="Q17" s="158"/>
      <c r="R17" s="159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8"/>
      <c r="Q18" s="158"/>
      <c r="R18" s="159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1147</v>
      </c>
      <c r="C19" s="95"/>
      <c r="D19" s="94"/>
      <c r="E19" s="96"/>
      <c r="F19" s="94"/>
      <c r="G19" s="94"/>
      <c r="H19" s="98"/>
      <c r="I19" s="99"/>
      <c r="J19" s="185">
        <f>B19-I19</f>
        <v>1147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5069.74</v>
      </c>
      <c r="C20" s="95"/>
      <c r="D20" s="94"/>
      <c r="E20" s="96"/>
      <c r="F20" s="94"/>
      <c r="G20" s="94"/>
      <c r="H20" s="98"/>
      <c r="I20" s="99">
        <v>5104.1499999999996</v>
      </c>
      <c r="J20" s="185">
        <f t="shared" si="0"/>
        <v>-34.409999999999854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3" t="s">
        <v>107</v>
      </c>
      <c r="O42" s="294"/>
      <c r="P42" s="294"/>
      <c r="Q42" s="295"/>
      <c r="R42" s="190">
        <f t="shared" ref="R42:AA42" si="8">SUM(R12:R41)</f>
        <v>1284.6300000000001</v>
      </c>
      <c r="S42" s="190">
        <f t="shared" si="8"/>
        <v>0</v>
      </c>
      <c r="T42" s="190">
        <f t="shared" si="8"/>
        <v>17.2</v>
      </c>
      <c r="U42" s="190">
        <f t="shared" si="8"/>
        <v>0.74137931034482762</v>
      </c>
      <c r="V42" s="190">
        <f t="shared" si="8"/>
        <v>9.6347249999999995</v>
      </c>
      <c r="W42" s="190">
        <f t="shared" si="8"/>
        <v>0</v>
      </c>
      <c r="X42" s="190">
        <f t="shared" si="8"/>
        <v>0.43</v>
      </c>
      <c r="Y42" s="190">
        <f t="shared" si="8"/>
        <v>1274.995275</v>
      </c>
      <c r="Z42" s="190">
        <f t="shared" si="8"/>
        <v>0</v>
      </c>
      <c r="AA42" s="190">
        <f t="shared" si="8"/>
        <v>16.02862068965517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1284.6300000000001</v>
      </c>
      <c r="C46" s="116">
        <v>7.4999999999999997E-3</v>
      </c>
      <c r="D46" s="117">
        <f>B46*C46</f>
        <v>9.6347250000000013</v>
      </c>
      <c r="E46" s="172">
        <v>0</v>
      </c>
      <c r="F46" s="117">
        <f t="shared" ref="F46:F50" si="15">D46*E46</f>
        <v>0</v>
      </c>
      <c r="G46" s="117">
        <f t="shared" ref="G46:G51" si="16">B46-D46-F46</f>
        <v>1274.9952750000002</v>
      </c>
      <c r="H46" s="173">
        <f>B$6+1</f>
        <v>44506</v>
      </c>
      <c r="I46" s="174"/>
      <c r="J46" s="81">
        <f t="shared" si="0"/>
        <v>1284.6300000000001</v>
      </c>
      <c r="K46" s="80"/>
      <c r="L46" s="186">
        <f>K46-G46</f>
        <v>-1274.9952750000002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44506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44506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3631.89</v>
      </c>
      <c r="C49" s="116">
        <v>7.4999999999999997E-3</v>
      </c>
      <c r="D49" s="117">
        <f t="shared" si="17"/>
        <v>27.239174999999999</v>
      </c>
      <c r="E49" s="172">
        <v>0</v>
      </c>
      <c r="F49" s="117">
        <f t="shared" si="15"/>
        <v>0</v>
      </c>
      <c r="G49" s="117">
        <f t="shared" si="16"/>
        <v>3604.6508249999997</v>
      </c>
      <c r="H49" s="173">
        <f t="shared" si="19"/>
        <v>44506</v>
      </c>
      <c r="I49" s="176"/>
      <c r="J49" s="81">
        <f t="shared" si="0"/>
        <v>3631.89</v>
      </c>
      <c r="K49" s="80"/>
      <c r="L49" s="186">
        <f t="shared" si="18"/>
        <v>3604.6508249999997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273.59999999999997</v>
      </c>
      <c r="C50" s="116">
        <v>7.4999999999999997E-3</v>
      </c>
      <c r="D50" s="117">
        <f t="shared" si="17"/>
        <v>2.0519999999999996</v>
      </c>
      <c r="E50" s="172">
        <v>0</v>
      </c>
      <c r="F50" s="117">
        <f t="shared" si="15"/>
        <v>0</v>
      </c>
      <c r="G50" s="117">
        <f t="shared" si="16"/>
        <v>271.54799999999994</v>
      </c>
      <c r="H50" s="173">
        <f t="shared" si="19"/>
        <v>44506</v>
      </c>
      <c r="I50" s="175"/>
      <c r="J50" s="81">
        <f t="shared" si="0"/>
        <v>273.59999999999997</v>
      </c>
      <c r="K50" s="80"/>
      <c r="L50" s="186">
        <f t="shared" si="18"/>
        <v>271.54799999999994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390.43</v>
      </c>
      <c r="C51" s="116">
        <v>1.4999999999999999E-2</v>
      </c>
      <c r="D51" s="117">
        <f>+B51*C51</f>
        <v>5.8564499999999997</v>
      </c>
      <c r="E51" s="172">
        <v>0</v>
      </c>
      <c r="F51" s="117">
        <f>D51*E51</f>
        <v>0</v>
      </c>
      <c r="G51" s="117">
        <f t="shared" si="16"/>
        <v>384.57355000000001</v>
      </c>
      <c r="H51" s="173">
        <f t="shared" si="19"/>
        <v>44506</v>
      </c>
      <c r="I51" s="175"/>
      <c r="J51" s="81">
        <f t="shared" si="0"/>
        <v>390.43</v>
      </c>
      <c r="K51" s="80"/>
      <c r="L51" s="186">
        <f t="shared" si="18"/>
        <v>384.57355000000001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17.2</v>
      </c>
      <c r="C52" s="116">
        <v>2.5000000000000001E-2</v>
      </c>
      <c r="D52" s="117">
        <f>B52*C52</f>
        <v>0.43</v>
      </c>
      <c r="E52" s="172">
        <v>0.05</v>
      </c>
      <c r="F52" s="117">
        <f>(B52/E$10)*E52</f>
        <v>0.74137931034482762</v>
      </c>
      <c r="G52" s="117">
        <f>B52-D52-F52</f>
        <v>16.02862068965517</v>
      </c>
      <c r="H52" s="188">
        <f t="shared" si="19"/>
        <v>44506</v>
      </c>
      <c r="I52" s="176">
        <v>17.2</v>
      </c>
      <c r="J52" s="81">
        <f t="shared" si="0"/>
        <v>0</v>
      </c>
      <c r="K52" s="80"/>
      <c r="L52" s="186">
        <f>K52-G52</f>
        <v>-16.02862068965517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44506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44506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44506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44506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44508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44510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44535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45.212350000000001</v>
      </c>
      <c r="E61" s="177"/>
      <c r="F61" s="57">
        <f>SUM(F46:F58)</f>
        <v>0.74137931034482762</v>
      </c>
      <c r="G61" s="57">
        <f>SUM(G46:G58)</f>
        <v>5551.7962706896551</v>
      </c>
      <c r="H61" s="173">
        <f t="shared" si="19"/>
        <v>44506</v>
      </c>
      <c r="I61" s="175"/>
      <c r="J61" s="81">
        <f t="shared" si="0"/>
        <v>0</v>
      </c>
      <c r="K61" s="80"/>
      <c r="L61" s="186">
        <f t="shared" si="18"/>
        <v>5551.7962706896551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44506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2" t="s">
        <v>109</v>
      </c>
      <c r="O63" s="282"/>
      <c r="P63" s="282"/>
      <c r="Q63" s="28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11103.59254137931</v>
      </c>
      <c r="H64" s="184"/>
      <c r="I64" s="175"/>
      <c r="J64" s="81">
        <f t="shared" si="0"/>
        <v>0</v>
      </c>
      <c r="K64" s="80"/>
      <c r="L64" s="186">
        <f t="shared" si="18"/>
        <v>11103.59254137931</v>
      </c>
      <c r="M64" s="130"/>
      <c r="N64" s="87">
        <v>1</v>
      </c>
      <c r="O64" s="122" t="s">
        <v>183</v>
      </c>
      <c r="P64" s="87"/>
      <c r="Q64" s="87"/>
      <c r="R64" s="13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11034.94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9" t="s">
        <v>20</v>
      </c>
      <c r="B67" s="300"/>
      <c r="F67" s="301" t="s">
        <v>136</v>
      </c>
      <c r="G67" s="301"/>
      <c r="H67" s="301"/>
      <c r="I67" s="302" t="s">
        <v>138</v>
      </c>
      <c r="J67" s="303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10995.26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10995.26</v>
      </c>
      <c r="C69" s="59"/>
      <c r="F69" s="87" t="s">
        <v>129</v>
      </c>
      <c r="G69" s="22"/>
      <c r="H69" s="89">
        <f>+G52</f>
        <v>16.02862068965517</v>
      </c>
      <c r="I69" s="136"/>
      <c r="J69" s="136">
        <f>K52</f>
        <v>0</v>
      </c>
      <c r="N69" s="282" t="s">
        <v>110</v>
      </c>
      <c r="O69" s="282"/>
      <c r="P69" s="283"/>
      <c r="Q69" s="28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B68-B67</f>
        <v>10995.26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189</v>
      </c>
      <c r="P70" s="87" t="s">
        <v>247</v>
      </c>
      <c r="Q70" s="87">
        <v>2003</v>
      </c>
      <c r="R70" s="137">
        <f>836.52+358.5</f>
        <v>1195.02</v>
      </c>
      <c r="S70" s="87"/>
      <c r="T70" s="137"/>
      <c r="U70" s="189">
        <f t="shared" ref="U70:U74" si="34">((T70/U$10)*U$9)</f>
        <v>0</v>
      </c>
      <c r="V70" s="189">
        <f t="shared" ref="V70:V74" si="35">R70*V$10</f>
        <v>8.96265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1186.05735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39.680000000000291</v>
      </c>
      <c r="C71" s="64"/>
      <c r="F71" s="87" t="s">
        <v>131</v>
      </c>
      <c r="G71" s="137"/>
      <c r="H71" s="87"/>
      <c r="I71" s="81"/>
      <c r="J71" s="81">
        <f>+J69-H69-H70-H71-H72-H73</f>
        <v>-16.02862068965517</v>
      </c>
      <c r="N71" s="87">
        <v>2</v>
      </c>
      <c r="O71" s="122" t="s">
        <v>189</v>
      </c>
      <c r="P71" s="87">
        <v>357</v>
      </c>
      <c r="Q71" s="87">
        <v>2003</v>
      </c>
      <c r="R71" s="137">
        <v>912.26</v>
      </c>
      <c r="S71" s="87"/>
      <c r="T71" s="137"/>
      <c r="U71" s="189">
        <f t="shared" si="34"/>
        <v>0</v>
      </c>
      <c r="V71" s="189">
        <f t="shared" si="35"/>
        <v>6.8419499999999998</v>
      </c>
      <c r="W71" s="189">
        <f t="shared" si="36"/>
        <v>0</v>
      </c>
      <c r="X71" s="189">
        <f t="shared" si="37"/>
        <v>0</v>
      </c>
      <c r="Y71" s="189">
        <f t="shared" si="38"/>
        <v>905.41804999999999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189</v>
      </c>
      <c r="P72" s="87">
        <v>450</v>
      </c>
      <c r="Q72" s="87">
        <v>2002</v>
      </c>
      <c r="R72" s="137">
        <v>665.73</v>
      </c>
      <c r="S72" s="87"/>
      <c r="T72" s="87"/>
      <c r="U72" s="189">
        <f t="shared" si="34"/>
        <v>0</v>
      </c>
      <c r="V72" s="189">
        <f t="shared" si="35"/>
        <v>4.9929750000000004</v>
      </c>
      <c r="W72" s="189">
        <f t="shared" si="36"/>
        <v>0</v>
      </c>
      <c r="X72" s="189">
        <f t="shared" si="37"/>
        <v>0</v>
      </c>
      <c r="Y72" s="189">
        <f t="shared" si="38"/>
        <v>660.73702500000002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186</v>
      </c>
      <c r="P73" s="87">
        <v>374</v>
      </c>
      <c r="Q73" s="87">
        <v>2002</v>
      </c>
      <c r="R73" s="137">
        <v>617.33000000000004</v>
      </c>
      <c r="S73" s="87"/>
      <c r="T73" s="87"/>
      <c r="U73" s="189">
        <f t="shared" si="34"/>
        <v>0</v>
      </c>
      <c r="V73" s="189">
        <f t="shared" si="35"/>
        <v>4.629975</v>
      </c>
      <c r="W73" s="189">
        <f t="shared" si="36"/>
        <v>0</v>
      </c>
      <c r="X73" s="189">
        <f t="shared" si="37"/>
        <v>0</v>
      </c>
      <c r="Y73" s="189">
        <f t="shared" si="38"/>
        <v>612.7000250000001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16.02862068965517</v>
      </c>
      <c r="N74" s="87">
        <v>5</v>
      </c>
      <c r="O74" s="122" t="s">
        <v>186</v>
      </c>
      <c r="P74" s="87">
        <v>373</v>
      </c>
      <c r="Q74" s="87">
        <v>2002</v>
      </c>
      <c r="R74" s="137">
        <v>241.55</v>
      </c>
      <c r="S74" s="87"/>
      <c r="T74" s="87"/>
      <c r="U74" s="189">
        <f t="shared" si="34"/>
        <v>0</v>
      </c>
      <c r="V74" s="189">
        <f t="shared" si="35"/>
        <v>1.811625</v>
      </c>
      <c r="W74" s="189">
        <f t="shared" si="36"/>
        <v>0</v>
      </c>
      <c r="X74" s="189">
        <f t="shared" si="37"/>
        <v>0</v>
      </c>
      <c r="Y74" s="189">
        <f t="shared" si="38"/>
        <v>239.73837500000002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2" t="s">
        <v>128</v>
      </c>
      <c r="O75" s="282"/>
      <c r="P75" s="283"/>
      <c r="Q75" s="283"/>
      <c r="R75" s="192">
        <f>SUM(R70:R74)</f>
        <v>3631.89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27.239175000000003</v>
      </c>
      <c r="W75" s="192">
        <f t="shared" si="41"/>
        <v>0</v>
      </c>
      <c r="X75" s="192">
        <f t="shared" si="41"/>
        <v>0</v>
      </c>
      <c r="Y75" s="192">
        <f t="shared" si="41"/>
        <v>3604.6508250000002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4" t="s">
        <v>73</v>
      </c>
      <c r="O76" s="286" t="s">
        <v>67</v>
      </c>
      <c r="P76" s="282" t="s">
        <v>62</v>
      </c>
      <c r="Q76" s="282"/>
      <c r="R76" s="282"/>
      <c r="S76" s="282"/>
      <c r="T76" s="282"/>
      <c r="U76" s="288" t="s">
        <v>68</v>
      </c>
      <c r="V76" s="289"/>
      <c r="W76" s="289"/>
      <c r="X76" s="289"/>
      <c r="Y76" s="290"/>
      <c r="Z76" s="279" t="s">
        <v>54</v>
      </c>
      <c r="AA76" s="279" t="s">
        <v>64</v>
      </c>
      <c r="AB76" s="279" t="s">
        <v>124</v>
      </c>
      <c r="AC76" s="280" t="s">
        <v>127</v>
      </c>
      <c r="AD76" s="281" t="s">
        <v>65</v>
      </c>
    </row>
    <row r="77" spans="1:30" ht="60" x14ac:dyDescent="0.25">
      <c r="F77" s="291" t="s">
        <v>140</v>
      </c>
      <c r="G77" s="292"/>
      <c r="H77" s="141" t="s">
        <v>142</v>
      </c>
      <c r="N77" s="285"/>
      <c r="O77" s="287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79"/>
      <c r="AA77" s="279"/>
      <c r="AB77" s="279"/>
      <c r="AC77" s="280" t="s">
        <v>127</v>
      </c>
      <c r="AD77" s="281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3.64</v>
      </c>
      <c r="Q78" s="137">
        <v>45.89</v>
      </c>
      <c r="R78" s="82">
        <v>7.4999999999999997E-3</v>
      </c>
      <c r="S78" s="194">
        <f>+(P78+Q78)*R78</f>
        <v>0.371475</v>
      </c>
      <c r="T78" s="219">
        <f>+(P78+Q78)-S78</f>
        <v>49.158525000000004</v>
      </c>
      <c r="U78" s="211">
        <v>66.38</v>
      </c>
      <c r="V78" s="112"/>
      <c r="W78" s="113">
        <v>1.4999999999999999E-2</v>
      </c>
      <c r="X78" s="196">
        <f>+(U78+V78)*W78</f>
        <v>0.99569999999999992</v>
      </c>
      <c r="Y78" s="217">
        <f>+(U78+V78)-X78</f>
        <v>65.384299999999996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137">
        <v>8.41</v>
      </c>
      <c r="Q79" s="137">
        <v>115.77</v>
      </c>
      <c r="R79" s="82">
        <v>7.4999999999999997E-3</v>
      </c>
      <c r="S79" s="194">
        <f t="shared" ref="S79:S97" si="43">+(P79+Q79)*R79</f>
        <v>0.9313499999999999</v>
      </c>
      <c r="T79" s="219">
        <f t="shared" ref="T79:T97" si="44">+(P79+Q79)-S79</f>
        <v>123.24865</v>
      </c>
      <c r="U79" s="211">
        <v>69.540000000000006</v>
      </c>
      <c r="V79" s="112"/>
      <c r="W79" s="113">
        <v>1.4999999999999999E-2</v>
      </c>
      <c r="X79" s="196">
        <f t="shared" ref="X79:X97" si="45">+(U79+V79)*W79</f>
        <v>1.0431000000000001</v>
      </c>
      <c r="Y79" s="217">
        <f t="shared" ref="Y79:Y97" si="46">+(U79+V79)-X79</f>
        <v>68.496900000000011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31.49</v>
      </c>
      <c r="Q80" s="87">
        <v>19.579999999999998</v>
      </c>
      <c r="R80" s="82">
        <v>7.4999999999999997E-3</v>
      </c>
      <c r="S80" s="194">
        <f t="shared" si="43"/>
        <v>0.38302499999999995</v>
      </c>
      <c r="T80" s="219">
        <f t="shared" si="44"/>
        <v>50.68697499999999</v>
      </c>
      <c r="U80" s="211">
        <v>57.4</v>
      </c>
      <c r="V80" s="112"/>
      <c r="W80" s="113">
        <v>1.4999999999999999E-2</v>
      </c>
      <c r="X80" s="196">
        <f t="shared" si="45"/>
        <v>0.86099999999999999</v>
      </c>
      <c r="Y80" s="217">
        <f t="shared" si="46"/>
        <v>56.539000000000001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87"/>
      <c r="Q81" s="87"/>
      <c r="R81" s="82">
        <v>7.4999999999999997E-3</v>
      </c>
      <c r="S81" s="194">
        <f t="shared" si="43"/>
        <v>0</v>
      </c>
      <c r="T81" s="219">
        <f t="shared" si="44"/>
        <v>0</v>
      </c>
      <c r="U81" s="112">
        <v>90.48</v>
      </c>
      <c r="V81" s="112"/>
      <c r="W81" s="113">
        <v>1.4999999999999999E-2</v>
      </c>
      <c r="X81" s="196">
        <f t="shared" si="45"/>
        <v>1.3572</v>
      </c>
      <c r="Y81" s="217">
        <f t="shared" si="46"/>
        <v>89.122799999999998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>
        <v>19.670000000000002</v>
      </c>
      <c r="Q82" s="87">
        <v>10.79</v>
      </c>
      <c r="R82" s="82">
        <v>7.4999999999999997E-3</v>
      </c>
      <c r="S82" s="194">
        <f t="shared" si="43"/>
        <v>0.22844999999999999</v>
      </c>
      <c r="T82" s="219">
        <f t="shared" si="44"/>
        <v>30.231550000000002</v>
      </c>
      <c r="U82" s="211">
        <v>83.46</v>
      </c>
      <c r="V82" s="112"/>
      <c r="W82" s="113">
        <v>1.4999999999999999E-2</v>
      </c>
      <c r="X82" s="196">
        <f t="shared" si="45"/>
        <v>1.2518999999999998</v>
      </c>
      <c r="Y82" s="217">
        <f t="shared" si="46"/>
        <v>82.208099999999988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>
        <v>18.36</v>
      </c>
      <c r="R84" s="82">
        <v>7.4999999999999997E-3</v>
      </c>
      <c r="S84" s="194">
        <f t="shared" si="43"/>
        <v>0.13769999999999999</v>
      </c>
      <c r="T84" s="194">
        <f t="shared" si="44"/>
        <v>18.222300000000001</v>
      </c>
      <c r="U84" s="112">
        <v>23.17</v>
      </c>
      <c r="V84" s="112"/>
      <c r="W84" s="113">
        <v>1.4999999999999999E-2</v>
      </c>
      <c r="X84" s="196">
        <f t="shared" si="45"/>
        <v>0.34755000000000003</v>
      </c>
      <c r="Y84" s="196">
        <f t="shared" si="46"/>
        <v>22.822450000000003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63.21</v>
      </c>
      <c r="Q98" s="195">
        <f>SUM(Q78:Q97)</f>
        <v>210.39</v>
      </c>
      <c r="R98" s="111"/>
      <c r="S98" s="195">
        <f>SUM(S78:S97)</f>
        <v>2.052</v>
      </c>
      <c r="T98" s="195">
        <f>SUM(T78:T97)</f>
        <v>271.548</v>
      </c>
      <c r="U98" s="114">
        <f>SUM(U78:U97)</f>
        <v>390.43</v>
      </c>
      <c r="V98" s="114">
        <f>SUM(V78:V97)</f>
        <v>0</v>
      </c>
      <c r="W98" s="112"/>
      <c r="X98" s="197">
        <f>SUM(X78:X97)</f>
        <v>5.8564499999999997</v>
      </c>
      <c r="Y98" s="197">
        <f>SUM(Y78:Y97)</f>
        <v>384.57355000000001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  <c r="Q102" s="215">
        <f>P78+Q78+U78</f>
        <v>115.91</v>
      </c>
    </row>
    <row r="103" spans="14:30" x14ac:dyDescent="0.25">
      <c r="N103" s="85"/>
      <c r="Q103" s="215">
        <f>U79+Q79+P79</f>
        <v>193.72</v>
      </c>
    </row>
    <row r="104" spans="14:30" x14ac:dyDescent="0.25">
      <c r="N104" s="85"/>
      <c r="Q104" s="215">
        <f>P80+Q80+U80</f>
        <v>108.47</v>
      </c>
    </row>
    <row r="105" spans="14:30" x14ac:dyDescent="0.25">
      <c r="N105" s="85"/>
      <c r="Q105" s="215">
        <f>P81+Q81+U81</f>
        <v>90.48</v>
      </c>
    </row>
    <row r="106" spans="14:30" x14ac:dyDescent="0.25">
      <c r="N106" s="85"/>
      <c r="Q106" s="215">
        <f>P82+U82+Q82</f>
        <v>113.91999999999999</v>
      </c>
    </row>
    <row r="107" spans="14:30" x14ac:dyDescent="0.25">
      <c r="N107" s="85"/>
      <c r="Q107" s="245">
        <f>P84+Q84+U84</f>
        <v>41.53</v>
      </c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3" priority="1" operator="greaterThan">
      <formula>0</formula>
    </cfRule>
    <cfRule type="cellIs" dxfId="5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I33" zoomScale="90" zoomScaleNormal="90" workbookViewId="0">
      <selection activeCell="K51" sqref="K5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59"/>
      <c r="B1" s="296"/>
      <c r="C1" s="296"/>
      <c r="D1" s="296"/>
      <c r="E1" s="296"/>
      <c r="F1" s="296"/>
      <c r="G1" s="296"/>
      <c r="H1" s="296"/>
      <c r="M1" s="76"/>
      <c r="N1" s="71"/>
    </row>
    <row r="2" spans="1:28" s="84" customFormat="1" ht="16.5" customHeight="1" x14ac:dyDescent="0.35">
      <c r="A2" s="259"/>
      <c r="B2" s="296" t="s">
        <v>12</v>
      </c>
      <c r="C2" s="296"/>
      <c r="D2" s="296"/>
      <c r="E2" s="296"/>
      <c r="F2" s="296"/>
      <c r="G2" s="296"/>
      <c r="H2" s="296"/>
      <c r="M2" s="76"/>
      <c r="N2" s="71"/>
    </row>
    <row r="3" spans="1:28" s="84" customFormat="1" ht="21.75" customHeight="1" x14ac:dyDescent="0.25">
      <c r="A3" s="259"/>
      <c r="B3" s="297" t="s">
        <v>21</v>
      </c>
      <c r="C3" s="297"/>
      <c r="D3" s="297"/>
      <c r="E3" s="297"/>
      <c r="F3" s="297"/>
      <c r="G3" s="297"/>
      <c r="H3" s="297"/>
      <c r="M3" s="76"/>
      <c r="N3" s="71"/>
    </row>
    <row r="4" spans="1:28" x14ac:dyDescent="0.25">
      <c r="B4" s="298" t="s">
        <v>193</v>
      </c>
      <c r="C4" s="298"/>
      <c r="D4" s="298"/>
      <c r="E4" s="298"/>
      <c r="F4" s="298"/>
      <c r="G4" s="298"/>
      <c r="H4" s="298"/>
    </row>
    <row r="6" spans="1:28" x14ac:dyDescent="0.25">
      <c r="A6" s="7" t="s">
        <v>22</v>
      </c>
      <c r="B6" s="72">
        <v>44506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4.45</v>
      </c>
      <c r="C8" s="85" t="s">
        <v>94</v>
      </c>
      <c r="D8" s="108"/>
      <c r="R8" s="212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536.4</v>
      </c>
      <c r="C12" s="15"/>
      <c r="D12" s="56"/>
      <c r="E12" s="16"/>
      <c r="F12" s="56"/>
      <c r="G12" s="56"/>
      <c r="H12" s="17"/>
      <c r="I12" s="83">
        <v>536.4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>
        <v>166</v>
      </c>
      <c r="Q12" s="153">
        <v>7</v>
      </c>
      <c r="R12" s="154">
        <v>1162.97</v>
      </c>
      <c r="S12" s="155"/>
      <c r="T12" s="155"/>
      <c r="U12" s="189">
        <f>((T12/U$10)*U$9)</f>
        <v>0</v>
      </c>
      <c r="V12" s="189">
        <f>R12*V$10</f>
        <v>8.7222749999999998</v>
      </c>
      <c r="W12" s="189">
        <f>+S12*V$10</f>
        <v>0</v>
      </c>
      <c r="X12" s="189">
        <f>+T12*X$10</f>
        <v>0</v>
      </c>
      <c r="Y12" s="189">
        <f>R12-V12</f>
        <v>1154.2477249999999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1872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1872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8330.4</v>
      </c>
      <c r="C14" s="15"/>
      <c r="D14" s="56"/>
      <c r="E14" s="16"/>
      <c r="F14" s="56"/>
      <c r="G14" s="56"/>
      <c r="H14" s="17"/>
      <c r="I14" s="83"/>
      <c r="J14" s="81">
        <f t="shared" si="0"/>
        <v>8330.4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1872</v>
      </c>
      <c r="C19" s="95"/>
      <c r="D19" s="94"/>
      <c r="E19" s="96"/>
      <c r="F19" s="94"/>
      <c r="G19" s="94"/>
      <c r="H19" s="98"/>
      <c r="I19" s="99"/>
      <c r="J19" s="185">
        <f>B19-I19</f>
        <v>1872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8330.4</v>
      </c>
      <c r="C20" s="95"/>
      <c r="D20" s="94"/>
      <c r="E20" s="96"/>
      <c r="F20" s="94"/>
      <c r="G20" s="94"/>
      <c r="H20" s="98"/>
      <c r="I20" s="99">
        <v>8330.4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3" t="s">
        <v>107</v>
      </c>
      <c r="O42" s="294"/>
      <c r="P42" s="294"/>
      <c r="Q42" s="295"/>
      <c r="R42" s="190">
        <f t="shared" ref="R42:AA42" si="8">SUM(R12:R41)</f>
        <v>1162.97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8.7222749999999998</v>
      </c>
      <c r="W42" s="190">
        <f t="shared" si="8"/>
        <v>0</v>
      </c>
      <c r="X42" s="190">
        <f t="shared" si="8"/>
        <v>0</v>
      </c>
      <c r="Y42" s="190">
        <f t="shared" si="8"/>
        <v>1154.2477249999999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1162.97</v>
      </c>
      <c r="C46" s="116">
        <v>7.4999999999999997E-3</v>
      </c>
      <c r="D46" s="117">
        <f>B46*C46</f>
        <v>8.7222749999999998</v>
      </c>
      <c r="E46" s="172">
        <v>0</v>
      </c>
      <c r="F46" s="117">
        <f t="shared" ref="F46:F50" si="15">D46*E46</f>
        <v>0</v>
      </c>
      <c r="G46" s="117">
        <f t="shared" ref="G46:G51" si="16">B46-D46-F46</f>
        <v>1154.2477249999999</v>
      </c>
      <c r="H46" s="173">
        <f>B$6+1</f>
        <v>44507</v>
      </c>
      <c r="I46" s="174"/>
      <c r="J46" s="81">
        <f t="shared" si="0"/>
        <v>1162.97</v>
      </c>
      <c r="K46" s="80"/>
      <c r="L46" s="186">
        <f t="shared" ref="L46:L64" si="17">+G46-K46</f>
        <v>1154.2477249999999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44507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44507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7</v>
      </c>
      <c r="B49" s="117">
        <f>R75</f>
        <v>5048.47</v>
      </c>
      <c r="C49" s="116">
        <v>7.4999999999999997E-3</v>
      </c>
      <c r="D49" s="117">
        <f t="shared" si="18"/>
        <v>37.863525000000003</v>
      </c>
      <c r="E49" s="172">
        <v>0</v>
      </c>
      <c r="F49" s="117">
        <f t="shared" si="15"/>
        <v>0</v>
      </c>
      <c r="G49" s="117">
        <f t="shared" si="16"/>
        <v>5010.6064750000005</v>
      </c>
      <c r="H49" s="173">
        <f t="shared" si="19"/>
        <v>44507</v>
      </c>
      <c r="I49" s="176"/>
      <c r="J49" s="81">
        <f t="shared" si="0"/>
        <v>5048.47</v>
      </c>
      <c r="K49" s="80"/>
      <c r="L49" s="186">
        <f t="shared" si="17"/>
        <v>5010.6064750000005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447.79</v>
      </c>
      <c r="C50" s="116">
        <v>7.4999999999999997E-3</v>
      </c>
      <c r="D50" s="117">
        <f t="shared" si="18"/>
        <v>3.358425</v>
      </c>
      <c r="E50" s="172">
        <v>0</v>
      </c>
      <c r="F50" s="117">
        <f t="shared" si="15"/>
        <v>0</v>
      </c>
      <c r="G50" s="117">
        <f t="shared" si="16"/>
        <v>444.43157500000001</v>
      </c>
      <c r="H50" s="173">
        <f t="shared" si="19"/>
        <v>44507</v>
      </c>
      <c r="I50" s="175"/>
      <c r="J50" s="81">
        <f t="shared" si="0"/>
        <v>447.79</v>
      </c>
      <c r="K50" s="80"/>
      <c r="L50" s="186">
        <f t="shared" si="17"/>
        <v>444.43157500000001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336.9</v>
      </c>
      <c r="C51" s="116">
        <v>1.4999999999999999E-2</v>
      </c>
      <c r="D51" s="117">
        <f>+B51*C51</f>
        <v>5.0534999999999997</v>
      </c>
      <c r="E51" s="172">
        <v>0</v>
      </c>
      <c r="F51" s="117">
        <f>D51*E51</f>
        <v>0</v>
      </c>
      <c r="G51" s="117">
        <f t="shared" si="16"/>
        <v>331.84649999999999</v>
      </c>
      <c r="H51" s="173">
        <f t="shared" si="19"/>
        <v>44507</v>
      </c>
      <c r="I51" s="175"/>
      <c r="J51" s="81">
        <f t="shared" si="0"/>
        <v>336.9</v>
      </c>
      <c r="K51" s="80"/>
      <c r="L51" s="186">
        <f t="shared" si="17"/>
        <v>331.84649999999999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44507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44507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44507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44507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67.13</v>
      </c>
      <c r="C56" s="116">
        <v>2.5000000000000001E-2</v>
      </c>
      <c r="D56" s="117">
        <f t="shared" si="20"/>
        <v>1.67825</v>
      </c>
      <c r="E56" s="172">
        <v>0.05</v>
      </c>
      <c r="F56" s="117">
        <f t="shared" si="21"/>
        <v>2.8935344827586209</v>
      </c>
      <c r="G56" s="117">
        <f t="shared" si="22"/>
        <v>62.558215517241372</v>
      </c>
      <c r="H56" s="173">
        <f t="shared" si="19"/>
        <v>44507</v>
      </c>
      <c r="I56" s="176"/>
      <c r="J56" s="81">
        <f t="shared" si="0"/>
        <v>67.13</v>
      </c>
      <c r="K56" s="80"/>
      <c r="L56" s="186">
        <f t="shared" si="17"/>
        <v>62.558215517241372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44509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44511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44536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56.675975000000001</v>
      </c>
      <c r="E61" s="177"/>
      <c r="F61" s="57">
        <f>SUM(F46:F58)</f>
        <v>2.8935344827586209</v>
      </c>
      <c r="G61" s="57">
        <f>SUM(G46:G58)</f>
        <v>7003.6904905172414</v>
      </c>
      <c r="H61" s="173">
        <f t="shared" si="19"/>
        <v>44507</v>
      </c>
      <c r="I61" s="175"/>
      <c r="J61" s="81">
        <f t="shared" si="0"/>
        <v>0</v>
      </c>
      <c r="K61" s="80"/>
      <c r="L61" s="186">
        <f t="shared" si="17"/>
        <v>7003.6904905172414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44507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2" t="s">
        <v>109</v>
      </c>
      <c r="O63" s="282"/>
      <c r="P63" s="282"/>
      <c r="Q63" s="28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14007.380981034483</v>
      </c>
      <c r="H64" s="184"/>
      <c r="I64" s="175"/>
      <c r="J64" s="81">
        <f t="shared" si="0"/>
        <v>0</v>
      </c>
      <c r="K64" s="80"/>
      <c r="L64" s="186">
        <f t="shared" si="17"/>
        <v>14007.380981034483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15930.059999999998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9" t="s">
        <v>20</v>
      </c>
      <c r="B67" s="300"/>
      <c r="F67" s="301" t="s">
        <v>136</v>
      </c>
      <c r="G67" s="301"/>
      <c r="H67" s="301"/>
      <c r="I67" s="302" t="s">
        <v>138</v>
      </c>
      <c r="J67" s="303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15891.26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15891.26</v>
      </c>
      <c r="C69" s="59"/>
      <c r="F69" s="87" t="s">
        <v>129</v>
      </c>
      <c r="G69" s="22"/>
      <c r="H69" s="89">
        <f>+G52</f>
        <v>0</v>
      </c>
      <c r="I69" s="136"/>
      <c r="J69" s="136"/>
      <c r="N69" s="282" t="s">
        <v>110</v>
      </c>
      <c r="O69" s="282"/>
      <c r="P69" s="283"/>
      <c r="Q69" s="28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B68-B67</f>
        <v>15891.26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189</v>
      </c>
      <c r="P70" s="87">
        <v>358</v>
      </c>
      <c r="Q70" s="87"/>
      <c r="R70" s="87">
        <v>694.24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5.2068000000000003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689.03319999999997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38.799999999997453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189</v>
      </c>
      <c r="P71" s="87">
        <v>359</v>
      </c>
      <c r="Q71" s="87">
        <v>2003</v>
      </c>
      <c r="R71" s="87">
        <v>762.7</v>
      </c>
      <c r="S71" s="87"/>
      <c r="T71" s="87"/>
      <c r="U71" s="189">
        <f t="shared" si="34"/>
        <v>0</v>
      </c>
      <c r="V71" s="189">
        <f t="shared" si="35"/>
        <v>5.7202500000000001</v>
      </c>
      <c r="W71" s="189">
        <f t="shared" si="36"/>
        <v>0</v>
      </c>
      <c r="X71" s="189">
        <f t="shared" si="37"/>
        <v>0</v>
      </c>
      <c r="Y71" s="189">
        <f t="shared" si="38"/>
        <v>756.97975000000008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189</v>
      </c>
      <c r="P72" s="87" t="s">
        <v>250</v>
      </c>
      <c r="Q72" s="87">
        <v>2002</v>
      </c>
      <c r="R72" s="87">
        <f>836.32+705.94</f>
        <v>1542.2600000000002</v>
      </c>
      <c r="S72" s="87"/>
      <c r="T72" s="87">
        <v>67.13</v>
      </c>
      <c r="U72" s="189">
        <f t="shared" si="34"/>
        <v>2.8935344827586209</v>
      </c>
      <c r="V72" s="189">
        <f t="shared" si="35"/>
        <v>11.566950000000002</v>
      </c>
      <c r="W72" s="189">
        <f t="shared" si="36"/>
        <v>0</v>
      </c>
      <c r="X72" s="189">
        <f t="shared" si="37"/>
        <v>1.67825</v>
      </c>
      <c r="Y72" s="189">
        <f t="shared" si="38"/>
        <v>1530.6930500000003</v>
      </c>
      <c r="Z72" s="189">
        <f t="shared" si="38"/>
        <v>0</v>
      </c>
      <c r="AA72" s="189">
        <f t="shared" si="39"/>
        <v>62.558215517241372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186</v>
      </c>
      <c r="P73" s="87">
        <v>376</v>
      </c>
      <c r="Q73" s="87">
        <v>2002</v>
      </c>
      <c r="R73" s="87">
        <v>803.01</v>
      </c>
      <c r="S73" s="87"/>
      <c r="T73" s="87"/>
      <c r="U73" s="189">
        <f t="shared" si="34"/>
        <v>0</v>
      </c>
      <c r="V73" s="189">
        <f t="shared" si="35"/>
        <v>6.0225749999999998</v>
      </c>
      <c r="W73" s="189">
        <f t="shared" si="36"/>
        <v>0</v>
      </c>
      <c r="X73" s="189">
        <f t="shared" si="37"/>
        <v>0</v>
      </c>
      <c r="Y73" s="189">
        <f t="shared" si="38"/>
        <v>796.98742500000003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186</v>
      </c>
      <c r="P74" s="87">
        <v>375</v>
      </c>
      <c r="Q74" s="87">
        <v>2002</v>
      </c>
      <c r="R74" s="87">
        <v>1246.26</v>
      </c>
      <c r="S74" s="87"/>
      <c r="T74" s="87"/>
      <c r="U74" s="189">
        <f t="shared" si="34"/>
        <v>0</v>
      </c>
      <c r="V74" s="189">
        <f t="shared" si="35"/>
        <v>9.3469499999999996</v>
      </c>
      <c r="W74" s="189">
        <f t="shared" si="36"/>
        <v>0</v>
      </c>
      <c r="X74" s="189">
        <f t="shared" si="37"/>
        <v>0</v>
      </c>
      <c r="Y74" s="189">
        <f t="shared" si="38"/>
        <v>1236.9130499999999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2" t="s">
        <v>128</v>
      </c>
      <c r="O75" s="282"/>
      <c r="P75" s="283"/>
      <c r="Q75" s="283"/>
      <c r="R75" s="192">
        <f>SUM(R70:R74)</f>
        <v>5048.47</v>
      </c>
      <c r="S75" s="192"/>
      <c r="T75" s="192">
        <f>SUM(T70:T74)</f>
        <v>67.13</v>
      </c>
      <c r="U75" s="192">
        <f>SUM(U70:U74)</f>
        <v>2.8935344827586209</v>
      </c>
      <c r="V75" s="192">
        <f t="shared" ref="V75:AA75" si="41">SUM(V70:V74)</f>
        <v>37.863525000000003</v>
      </c>
      <c r="W75" s="192">
        <f t="shared" si="41"/>
        <v>0</v>
      </c>
      <c r="X75" s="192">
        <f t="shared" si="41"/>
        <v>1.67825</v>
      </c>
      <c r="Y75" s="192">
        <f t="shared" si="41"/>
        <v>5010.6064750000005</v>
      </c>
      <c r="Z75" s="192">
        <f t="shared" si="41"/>
        <v>0</v>
      </c>
      <c r="AA75" s="193">
        <f t="shared" si="41"/>
        <v>62.558215517241372</v>
      </c>
      <c r="AB75" s="103"/>
    </row>
    <row r="76" spans="1:30" ht="15.75" x14ac:dyDescent="0.25">
      <c r="N76" s="284" t="s">
        <v>73</v>
      </c>
      <c r="O76" s="286" t="s">
        <v>67</v>
      </c>
      <c r="P76" s="282" t="s">
        <v>62</v>
      </c>
      <c r="Q76" s="282"/>
      <c r="R76" s="282"/>
      <c r="S76" s="282"/>
      <c r="T76" s="282"/>
      <c r="U76" s="288" t="s">
        <v>68</v>
      </c>
      <c r="V76" s="289"/>
      <c r="W76" s="289"/>
      <c r="X76" s="289"/>
      <c r="Y76" s="290"/>
      <c r="Z76" s="279" t="s">
        <v>54</v>
      </c>
      <c r="AA76" s="279" t="s">
        <v>64</v>
      </c>
      <c r="AB76" s="279" t="s">
        <v>124</v>
      </c>
      <c r="AC76" s="280" t="s">
        <v>127</v>
      </c>
      <c r="AD76" s="281" t="s">
        <v>65</v>
      </c>
    </row>
    <row r="77" spans="1:30" ht="60" x14ac:dyDescent="0.25">
      <c r="F77" s="291" t="s">
        <v>140</v>
      </c>
      <c r="G77" s="292"/>
      <c r="H77" s="141" t="s">
        <v>142</v>
      </c>
      <c r="N77" s="285"/>
      <c r="O77" s="287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79"/>
      <c r="AA77" s="279"/>
      <c r="AB77" s="279"/>
      <c r="AC77" s="280" t="s">
        <v>127</v>
      </c>
      <c r="AD77" s="281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72.03</v>
      </c>
      <c r="Q78" s="137"/>
      <c r="R78" s="82">
        <v>7.4999999999999997E-3</v>
      </c>
      <c r="S78" s="194">
        <f>+(P78+Q78)*R78</f>
        <v>0.54022499999999996</v>
      </c>
      <c r="T78" s="219">
        <f>+(P78+Q78)-S78</f>
        <v>71.489774999999995</v>
      </c>
      <c r="U78" s="211">
        <v>60.92</v>
      </c>
      <c r="V78" s="112"/>
      <c r="W78" s="113">
        <v>1.4999999999999999E-2</v>
      </c>
      <c r="X78" s="196">
        <f>+(U78+V78)*W78</f>
        <v>0.91379999999999995</v>
      </c>
      <c r="Y78" s="217">
        <f>+(U78+V78)-X78</f>
        <v>60.0062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>
        <v>5.34</v>
      </c>
      <c r="Q79" s="137">
        <v>30.7</v>
      </c>
      <c r="R79" s="82">
        <v>7.4999999999999997E-3</v>
      </c>
      <c r="S79" s="194">
        <f t="shared" ref="S79:S97" si="43">+(P79+Q79)*R79</f>
        <v>0.27029999999999998</v>
      </c>
      <c r="T79" s="219">
        <f t="shared" ref="T79:T97" si="44">+(P79+Q79)-S79</f>
        <v>35.7697</v>
      </c>
      <c r="U79" s="211">
        <v>31.58</v>
      </c>
      <c r="V79" s="112"/>
      <c r="W79" s="113">
        <v>1.4999999999999999E-2</v>
      </c>
      <c r="X79" s="196">
        <f t="shared" ref="X79:X97" si="45">+(U79+V79)*W79</f>
        <v>0.47369999999999995</v>
      </c>
      <c r="Y79" s="217">
        <f t="shared" ref="Y79:Y97" si="46">+(U79+V79)-X79</f>
        <v>31.106299999999997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5.83</v>
      </c>
      <c r="Q80" s="137">
        <v>10.71</v>
      </c>
      <c r="R80" s="82">
        <v>7.4999999999999997E-3</v>
      </c>
      <c r="S80" s="194">
        <f t="shared" si="43"/>
        <v>0.12404999999999999</v>
      </c>
      <c r="T80" s="219">
        <f t="shared" si="44"/>
        <v>16.415949999999999</v>
      </c>
      <c r="U80" s="211">
        <v>76.14</v>
      </c>
      <c r="V80" s="112"/>
      <c r="W80" s="113">
        <v>1.4999999999999999E-2</v>
      </c>
      <c r="X80" s="196">
        <f t="shared" si="45"/>
        <v>1.1420999999999999</v>
      </c>
      <c r="Y80" s="217">
        <f t="shared" si="46"/>
        <v>74.997900000000001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>
        <v>117.53</v>
      </c>
      <c r="Q81" s="137">
        <v>11.88</v>
      </c>
      <c r="R81" s="82">
        <v>7.4999999999999997E-3</v>
      </c>
      <c r="S81" s="194">
        <f t="shared" si="43"/>
        <v>0.97057499999999997</v>
      </c>
      <c r="T81" s="219">
        <f t="shared" si="44"/>
        <v>128.439425</v>
      </c>
      <c r="U81" s="211">
        <v>60.16</v>
      </c>
      <c r="V81" s="112"/>
      <c r="W81" s="113">
        <v>1.4999999999999999E-2</v>
      </c>
      <c r="X81" s="196">
        <f t="shared" si="45"/>
        <v>0.90239999999999987</v>
      </c>
      <c r="Y81" s="217">
        <f t="shared" si="46"/>
        <v>59.257599999999996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>
        <v>51.18</v>
      </c>
      <c r="Q82" s="137"/>
      <c r="R82" s="82">
        <v>7.4999999999999997E-3</v>
      </c>
      <c r="S82" s="194">
        <f t="shared" si="43"/>
        <v>0.38384999999999997</v>
      </c>
      <c r="T82" s="219">
        <f t="shared" si="44"/>
        <v>50.796149999999997</v>
      </c>
      <c r="U82" s="211">
        <v>24.54</v>
      </c>
      <c r="V82" s="112"/>
      <c r="W82" s="113">
        <v>1.4999999999999999E-2</v>
      </c>
      <c r="X82" s="196">
        <f t="shared" si="45"/>
        <v>0.36809999999999998</v>
      </c>
      <c r="Y82" s="217">
        <f t="shared" si="46"/>
        <v>24.171900000000001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>
        <v>83.74</v>
      </c>
      <c r="Q83" s="87">
        <v>58.85</v>
      </c>
      <c r="R83" s="82">
        <v>7.4999999999999997E-3</v>
      </c>
      <c r="S83" s="194">
        <f t="shared" si="43"/>
        <v>1.0694250000000001</v>
      </c>
      <c r="T83" s="220">
        <f t="shared" si="44"/>
        <v>141.52057500000001</v>
      </c>
      <c r="U83" s="112">
        <v>83.56</v>
      </c>
      <c r="V83" s="112"/>
      <c r="W83" s="113">
        <v>1.4999999999999999E-2</v>
      </c>
      <c r="X83" s="196">
        <f t="shared" si="45"/>
        <v>1.2534000000000001</v>
      </c>
      <c r="Y83" s="196">
        <f t="shared" si="46"/>
        <v>82.306600000000003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335.65000000000003</v>
      </c>
      <c r="Q98" s="195">
        <f>SUM(Q78:Q97)</f>
        <v>112.14</v>
      </c>
      <c r="R98" s="111"/>
      <c r="S98" s="195">
        <f>SUM(S78:S97)</f>
        <v>3.3584249999999995</v>
      </c>
      <c r="T98" s="195">
        <f>SUM(T78:T97)</f>
        <v>444.43157500000001</v>
      </c>
      <c r="U98" s="114">
        <f>SUM(U78:U97)</f>
        <v>336.9</v>
      </c>
      <c r="V98" s="114">
        <f>SUM(V78:V97)</f>
        <v>0</v>
      </c>
      <c r="W98" s="112"/>
      <c r="X98" s="197">
        <f>SUM(X78:X97)</f>
        <v>5.0534999999999997</v>
      </c>
      <c r="Y98" s="197">
        <f>SUM(Y78:Y97)</f>
        <v>331.84649999999999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</row>
    <row r="103" spans="14:30" x14ac:dyDescent="0.25">
      <c r="N103" s="85"/>
      <c r="Q103" s="212">
        <f t="shared" ref="Q103:Q108" si="50">P78+Q78+U78</f>
        <v>132.94999999999999</v>
      </c>
    </row>
    <row r="104" spans="14:30" x14ac:dyDescent="0.25">
      <c r="N104" s="85"/>
      <c r="Q104" s="212">
        <f t="shared" si="50"/>
        <v>67.62</v>
      </c>
    </row>
    <row r="105" spans="14:30" x14ac:dyDescent="0.25">
      <c r="N105" s="85"/>
      <c r="Q105" s="212">
        <f t="shared" si="50"/>
        <v>92.68</v>
      </c>
    </row>
    <row r="106" spans="14:30" x14ac:dyDescent="0.25">
      <c r="N106" s="85"/>
      <c r="Q106" s="212">
        <f t="shared" si="50"/>
        <v>189.57</v>
      </c>
    </row>
    <row r="107" spans="14:30" x14ac:dyDescent="0.25">
      <c r="N107" s="85"/>
      <c r="Q107" s="212">
        <f t="shared" si="50"/>
        <v>75.72</v>
      </c>
    </row>
    <row r="108" spans="14:30" x14ac:dyDescent="0.25">
      <c r="N108" s="85"/>
      <c r="Q108" s="85">
        <f t="shared" si="50"/>
        <v>226.15</v>
      </c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1" priority="1" operator="greaterThan">
      <formula>0</formula>
    </cfRule>
    <cfRule type="cellIs" dxfId="5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J34" zoomScale="90" zoomScaleNormal="90" workbookViewId="0">
      <selection activeCell="L65" sqref="L65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5703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59"/>
      <c r="B1" s="296"/>
      <c r="C1" s="296"/>
      <c r="D1" s="296"/>
      <c r="E1" s="296"/>
      <c r="F1" s="296"/>
      <c r="G1" s="296"/>
      <c r="H1" s="296"/>
      <c r="M1" s="76"/>
      <c r="N1" s="71"/>
    </row>
    <row r="2" spans="1:28" s="84" customFormat="1" ht="16.5" customHeight="1" x14ac:dyDescent="0.35">
      <c r="A2" s="259"/>
      <c r="B2" s="296" t="s">
        <v>12</v>
      </c>
      <c r="C2" s="296"/>
      <c r="D2" s="296"/>
      <c r="E2" s="296"/>
      <c r="F2" s="296"/>
      <c r="G2" s="296"/>
      <c r="H2" s="296"/>
      <c r="M2" s="76"/>
      <c r="N2" s="71"/>
    </row>
    <row r="3" spans="1:28" s="84" customFormat="1" ht="21.75" customHeight="1" x14ac:dyDescent="0.25">
      <c r="A3" s="259"/>
      <c r="B3" s="297" t="s">
        <v>21</v>
      </c>
      <c r="C3" s="297"/>
      <c r="D3" s="297"/>
      <c r="E3" s="297"/>
      <c r="F3" s="297"/>
      <c r="G3" s="297"/>
      <c r="H3" s="297"/>
      <c r="M3" s="76"/>
      <c r="N3" s="71"/>
    </row>
    <row r="4" spans="1:28" x14ac:dyDescent="0.25">
      <c r="B4" s="298" t="s">
        <v>191</v>
      </c>
      <c r="C4" s="298"/>
      <c r="D4" s="298"/>
      <c r="E4" s="298"/>
      <c r="F4" s="298"/>
      <c r="G4" s="298"/>
      <c r="H4" s="298"/>
    </row>
    <row r="6" spans="1:28" x14ac:dyDescent="0.25">
      <c r="A6" s="7" t="s">
        <v>22</v>
      </c>
      <c r="B6" s="72">
        <v>44507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4.45</v>
      </c>
      <c r="C8" s="85" t="s">
        <v>94</v>
      </c>
      <c r="D8" s="108">
        <v>4.45</v>
      </c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656.2</v>
      </c>
      <c r="C12" s="15"/>
      <c r="D12" s="56"/>
      <c r="E12" s="16"/>
      <c r="F12" s="56"/>
      <c r="G12" s="56"/>
      <c r="H12" s="17"/>
      <c r="I12" s="83">
        <v>656.2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>
        <v>168</v>
      </c>
      <c r="Q12" s="153">
        <v>7</v>
      </c>
      <c r="R12" s="154">
        <v>402.41</v>
      </c>
      <c r="S12" s="155"/>
      <c r="T12" s="155">
        <v>96.18</v>
      </c>
      <c r="U12" s="189">
        <f>((T12/U$10)*U$9)</f>
        <v>4.1456896551724141</v>
      </c>
      <c r="V12" s="189">
        <f>R12*V$10</f>
        <v>3.0180750000000001</v>
      </c>
      <c r="W12" s="189">
        <f>+S12*V$10</f>
        <v>0</v>
      </c>
      <c r="X12" s="189">
        <f>+T12*X$10</f>
        <v>2.4045000000000005</v>
      </c>
      <c r="Y12" s="189">
        <f>R12-V12</f>
        <v>399.39192500000001</v>
      </c>
      <c r="Z12" s="189">
        <f>S12-W12</f>
        <v>0</v>
      </c>
      <c r="AA12" s="189">
        <f>T12-U12-X12</f>
        <v>89.62981034482759</v>
      </c>
      <c r="AB12" s="156"/>
    </row>
    <row r="13" spans="1:28" ht="15.75" x14ac:dyDescent="0.25">
      <c r="A13" s="86" t="s">
        <v>76</v>
      </c>
      <c r="B13" s="89">
        <v>1433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1433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>
        <v>167</v>
      </c>
      <c r="Q13" s="153">
        <v>7</v>
      </c>
      <c r="R13" s="154">
        <v>743.82</v>
      </c>
      <c r="S13" s="155"/>
      <c r="T13" s="157">
        <v>87.89</v>
      </c>
      <c r="U13" s="189">
        <f t="shared" ref="U13:U41" si="2">((T13/U$10)*U$9)</f>
        <v>3.7883620689655175</v>
      </c>
      <c r="V13" s="189">
        <f t="shared" ref="V13:V41" si="3">R13*V$10</f>
        <v>5.5786500000000006</v>
      </c>
      <c r="W13" s="189">
        <f t="shared" ref="W13:W41" si="4">+S13*V$10</f>
        <v>0</v>
      </c>
      <c r="X13" s="189">
        <f t="shared" ref="X13:X41" si="5">+T13*X$10</f>
        <v>2.1972499999999999</v>
      </c>
      <c r="Y13" s="189">
        <f t="shared" ref="Y13:Z41" si="6">R13-V13</f>
        <v>738.24135000000001</v>
      </c>
      <c r="Z13" s="189">
        <f t="shared" si="6"/>
        <v>0</v>
      </c>
      <c r="AA13" s="189">
        <f t="shared" ref="AA13:AA41" si="7">T13-U13-X13</f>
        <v>81.904387931034492</v>
      </c>
      <c r="AB13" s="156"/>
    </row>
    <row r="14" spans="1:28" ht="15.75" x14ac:dyDescent="0.25">
      <c r="A14" s="86" t="s">
        <v>83</v>
      </c>
      <c r="B14" s="57">
        <f>B13*B8</f>
        <v>6376.85</v>
      </c>
      <c r="C14" s="15"/>
      <c r="D14" s="56"/>
      <c r="E14" s="16"/>
      <c r="F14" s="56"/>
      <c r="G14" s="56"/>
      <c r="H14" s="17"/>
      <c r="I14" s="83"/>
      <c r="J14" s="81">
        <f t="shared" si="0"/>
        <v>6376.85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1433</v>
      </c>
      <c r="C19" s="95"/>
      <c r="D19" s="94"/>
      <c r="E19" s="96"/>
      <c r="F19" s="94"/>
      <c r="G19" s="94"/>
      <c r="H19" s="98"/>
      <c r="I19" s="99">
        <v>1433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6376.85</v>
      </c>
      <c r="C20" s="95"/>
      <c r="D20" s="94"/>
      <c r="E20" s="96"/>
      <c r="F20" s="94"/>
      <c r="G20" s="94"/>
      <c r="H20" s="98"/>
      <c r="I20" s="99">
        <v>6376.85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>K29-B29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>K30-B30</f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>K35-B35</f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>K36-B36</f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3" t="s">
        <v>107</v>
      </c>
      <c r="O42" s="294"/>
      <c r="P42" s="294"/>
      <c r="Q42" s="295"/>
      <c r="R42" s="190">
        <f t="shared" ref="R42:AA42" si="8">SUM(R12:R41)</f>
        <v>1146.23</v>
      </c>
      <c r="S42" s="190">
        <f t="shared" si="8"/>
        <v>0</v>
      </c>
      <c r="T42" s="190">
        <f t="shared" si="8"/>
        <v>184.07</v>
      </c>
      <c r="U42" s="190">
        <f t="shared" si="8"/>
        <v>7.934051724137932</v>
      </c>
      <c r="V42" s="190">
        <f t="shared" si="8"/>
        <v>8.5967250000000011</v>
      </c>
      <c r="W42" s="190">
        <f t="shared" si="8"/>
        <v>0</v>
      </c>
      <c r="X42" s="190">
        <f t="shared" si="8"/>
        <v>4.6017500000000009</v>
      </c>
      <c r="Y42" s="190">
        <f t="shared" si="8"/>
        <v>1137.6332750000001</v>
      </c>
      <c r="Z42" s="190">
        <f t="shared" si="8"/>
        <v>0</v>
      </c>
      <c r="AA42" s="190">
        <f t="shared" si="8"/>
        <v>171.53419827586208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1146.23</v>
      </c>
      <c r="C46" s="116">
        <v>7.4999999999999997E-3</v>
      </c>
      <c r="D46" s="117">
        <f>B46*C46</f>
        <v>8.5967249999999993</v>
      </c>
      <c r="E46" s="172">
        <v>0</v>
      </c>
      <c r="F46" s="117">
        <f t="shared" ref="F46:F50" si="15">D46*E46</f>
        <v>0</v>
      </c>
      <c r="G46" s="117">
        <f t="shared" ref="G46:G51" si="16">B46-D46-F46</f>
        <v>1137.6332749999999</v>
      </c>
      <c r="H46" s="173">
        <f>B$6+1</f>
        <v>44508</v>
      </c>
      <c r="I46" s="174"/>
      <c r="J46" s="81">
        <f t="shared" si="0"/>
        <v>1146.23</v>
      </c>
      <c r="K46" s="80"/>
      <c r="L46" s="186">
        <f>K46-G46</f>
        <v>-1137.6332749999999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44508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44508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3822.52</v>
      </c>
      <c r="C49" s="116">
        <v>7.4999999999999997E-3</v>
      </c>
      <c r="D49" s="117">
        <f t="shared" si="17"/>
        <v>28.668899999999997</v>
      </c>
      <c r="E49" s="172">
        <v>0</v>
      </c>
      <c r="F49" s="117">
        <f t="shared" si="15"/>
        <v>0</v>
      </c>
      <c r="G49" s="117">
        <f t="shared" si="16"/>
        <v>3793.8510999999999</v>
      </c>
      <c r="H49" s="173">
        <f t="shared" si="19"/>
        <v>44508</v>
      </c>
      <c r="I49" s="176"/>
      <c r="J49" s="81">
        <f t="shared" si="0"/>
        <v>3822.52</v>
      </c>
      <c r="K49" s="80"/>
      <c r="L49" s="186">
        <f t="shared" si="18"/>
        <v>3793.8510999999999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123.13000000000001</v>
      </c>
      <c r="C50" s="116">
        <v>7.4999999999999997E-3</v>
      </c>
      <c r="D50" s="117">
        <f t="shared" si="17"/>
        <v>0.92347500000000005</v>
      </c>
      <c r="E50" s="172">
        <v>0</v>
      </c>
      <c r="F50" s="117">
        <f t="shared" si="15"/>
        <v>0</v>
      </c>
      <c r="G50" s="117">
        <f t="shared" si="16"/>
        <v>122.20652500000001</v>
      </c>
      <c r="H50" s="173">
        <f t="shared" si="19"/>
        <v>44508</v>
      </c>
      <c r="I50" s="175"/>
      <c r="J50" s="81">
        <f t="shared" si="0"/>
        <v>123.13000000000001</v>
      </c>
      <c r="K50" s="80"/>
      <c r="L50" s="186">
        <f t="shared" si="18"/>
        <v>122.20652500000001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295.31</v>
      </c>
      <c r="C51" s="116">
        <v>1.4999999999999999E-2</v>
      </c>
      <c r="D51" s="117">
        <f>+B51*C51</f>
        <v>4.4296499999999996</v>
      </c>
      <c r="E51" s="172">
        <v>0</v>
      </c>
      <c r="F51" s="117">
        <f>D51*E51</f>
        <v>0</v>
      </c>
      <c r="G51" s="117">
        <f t="shared" si="16"/>
        <v>290.88035000000002</v>
      </c>
      <c r="H51" s="173">
        <f t="shared" si="19"/>
        <v>44508</v>
      </c>
      <c r="I51" s="175"/>
      <c r="J51" s="81">
        <f t="shared" si="0"/>
        <v>295.31</v>
      </c>
      <c r="K51" s="80"/>
      <c r="L51" s="186">
        <f t="shared" si="18"/>
        <v>290.88035000000002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184.07</v>
      </c>
      <c r="C52" s="116">
        <v>2.5000000000000001E-2</v>
      </c>
      <c r="D52" s="117">
        <f>B52*C52</f>
        <v>4.60175</v>
      </c>
      <c r="E52" s="172">
        <v>0.05</v>
      </c>
      <c r="F52" s="117">
        <f>(B52/E$10)*E52</f>
        <v>7.934051724137932</v>
      </c>
      <c r="G52" s="117">
        <f>B52-D52-F52</f>
        <v>171.53419827586205</v>
      </c>
      <c r="H52" s="188">
        <f t="shared" si="19"/>
        <v>44508</v>
      </c>
      <c r="I52" s="176">
        <v>197.84</v>
      </c>
      <c r="J52" s="81">
        <f t="shared" si="0"/>
        <v>-13.77000000000001</v>
      </c>
      <c r="K52" s="80"/>
      <c r="L52" s="186">
        <f>K52-G52</f>
        <v>-171.53419827586205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44508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44508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44508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178</v>
      </c>
      <c r="B56" s="117">
        <f>T75</f>
        <v>35.29</v>
      </c>
      <c r="C56" s="116">
        <v>2.5000000000000001E-2</v>
      </c>
      <c r="D56" s="117">
        <f t="shared" si="20"/>
        <v>0.88224999999999998</v>
      </c>
      <c r="E56" s="172">
        <v>0.05</v>
      </c>
      <c r="F56" s="117">
        <f t="shared" si="21"/>
        <v>1.5211206896551726</v>
      </c>
      <c r="G56" s="117">
        <f t="shared" si="22"/>
        <v>32.88662931034483</v>
      </c>
      <c r="H56" s="173">
        <f t="shared" si="19"/>
        <v>44508</v>
      </c>
      <c r="I56" s="176"/>
      <c r="J56" s="81">
        <f t="shared" si="0"/>
        <v>35.29</v>
      </c>
      <c r="K56" s="80"/>
      <c r="L56" s="186">
        <f t="shared" si="18"/>
        <v>32.88662931034483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44510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44512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44537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48.102750000000007</v>
      </c>
      <c r="E61" s="177"/>
      <c r="F61" s="57">
        <f>SUM(F46:F58)</f>
        <v>9.4551724137931039</v>
      </c>
      <c r="G61" s="57">
        <f>SUM(G46:G58)</f>
        <v>5548.9920775862065</v>
      </c>
      <c r="H61" s="173">
        <f t="shared" si="19"/>
        <v>44508</v>
      </c>
      <c r="I61" s="175"/>
      <c r="J61" s="81">
        <f t="shared" si="0"/>
        <v>0</v>
      </c>
      <c r="K61" s="80"/>
      <c r="L61" s="186">
        <f t="shared" si="18"/>
        <v>5548.9920775862065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44508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2" t="s">
        <v>109</v>
      </c>
      <c r="O63" s="282"/>
      <c r="P63" s="282"/>
      <c r="Q63" s="28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11097.984155172413</v>
      </c>
      <c r="H64" s="184"/>
      <c r="I64" s="175"/>
      <c r="J64" s="81">
        <f t="shared" si="0"/>
        <v>0</v>
      </c>
      <c r="K64" s="80"/>
      <c r="L64" s="186">
        <f t="shared" si="18"/>
        <v>11097.984155172413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12639.6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9" t="s">
        <v>20</v>
      </c>
      <c r="B67" s="300"/>
      <c r="F67" s="301" t="s">
        <v>136</v>
      </c>
      <c r="G67" s="301"/>
      <c r="H67" s="301"/>
      <c r="I67" s="302" t="s">
        <v>138</v>
      </c>
      <c r="J67" s="303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12619.79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12619.79</v>
      </c>
      <c r="C69" s="59"/>
      <c r="F69" s="87" t="s">
        <v>129</v>
      </c>
      <c r="G69" s="22"/>
      <c r="H69" s="89"/>
      <c r="I69" s="136"/>
      <c r="J69" s="136">
        <f>K52</f>
        <v>0</v>
      </c>
      <c r="N69" s="282" t="s">
        <v>110</v>
      </c>
      <c r="O69" s="282"/>
      <c r="P69" s="283"/>
      <c r="Q69" s="28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B68-B67</f>
        <v>12619.79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189</v>
      </c>
      <c r="P70" s="87"/>
      <c r="Q70" s="87">
        <v>360</v>
      </c>
      <c r="R70" s="137">
        <v>716.55</v>
      </c>
      <c r="S70" s="87"/>
      <c r="T70" s="87">
        <v>13.77</v>
      </c>
      <c r="U70" s="189">
        <f t="shared" ref="U70:U74" si="34">((T70/U$10)*U$9)</f>
        <v>0.59353448275862075</v>
      </c>
      <c r="V70" s="189">
        <f t="shared" ref="V70:V74" si="35">R70*V$10</f>
        <v>5.3741249999999994</v>
      </c>
      <c r="W70" s="189">
        <f t="shared" ref="W70:W74" si="36">+S70*V$10</f>
        <v>0</v>
      </c>
      <c r="X70" s="189">
        <f t="shared" ref="X70:X74" si="37">+T70*X$10</f>
        <v>0.34425</v>
      </c>
      <c r="Y70" s="189">
        <f t="shared" ref="Y70:Z74" si="38">R70-V70</f>
        <v>711.17587499999991</v>
      </c>
      <c r="Z70" s="189">
        <f t="shared" si="38"/>
        <v>0</v>
      </c>
      <c r="AA70" s="189">
        <f t="shared" ref="AA70:AA74" si="39">T70-U70-X70</f>
        <v>12.832215517241378</v>
      </c>
      <c r="AB70" s="87"/>
    </row>
    <row r="71" spans="1:30" ht="28.5" customHeight="1" thickBot="1" x14ac:dyDescent="0.3">
      <c r="A71" s="25" t="s">
        <v>57</v>
      </c>
      <c r="B71" s="70">
        <f>(B65-B69)-B72</f>
        <v>19.809999999999491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189</v>
      </c>
      <c r="P71" s="87"/>
      <c r="Q71" s="87">
        <v>361</v>
      </c>
      <c r="R71" s="137">
        <f>623.53+761.24</f>
        <v>1384.77</v>
      </c>
      <c r="S71" s="87"/>
      <c r="T71" s="87">
        <v>21.52</v>
      </c>
      <c r="U71" s="189">
        <f t="shared" si="34"/>
        <v>0.9275862068965518</v>
      </c>
      <c r="V71" s="189">
        <f t="shared" si="35"/>
        <v>10.385774999999999</v>
      </c>
      <c r="W71" s="189">
        <f t="shared" si="36"/>
        <v>0</v>
      </c>
      <c r="X71" s="189">
        <f t="shared" si="37"/>
        <v>0.53800000000000003</v>
      </c>
      <c r="Y71" s="189">
        <f t="shared" si="38"/>
        <v>1374.384225</v>
      </c>
      <c r="Z71" s="189">
        <f t="shared" si="38"/>
        <v>0</v>
      </c>
      <c r="AA71" s="189">
        <f t="shared" si="39"/>
        <v>20.054413793103446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189</v>
      </c>
      <c r="P72" s="87"/>
      <c r="Q72" s="87">
        <v>455</v>
      </c>
      <c r="R72" s="137">
        <v>364.82</v>
      </c>
      <c r="S72" s="87"/>
      <c r="T72" s="137"/>
      <c r="U72" s="189">
        <f t="shared" si="34"/>
        <v>0</v>
      </c>
      <c r="V72" s="189">
        <f t="shared" si="35"/>
        <v>2.7361499999999999</v>
      </c>
      <c r="W72" s="189">
        <f t="shared" si="36"/>
        <v>0</v>
      </c>
      <c r="X72" s="189">
        <f t="shared" si="37"/>
        <v>0</v>
      </c>
      <c r="Y72" s="189">
        <f t="shared" si="38"/>
        <v>362.08384999999998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209</v>
      </c>
      <c r="P73" s="87"/>
      <c r="Q73" s="87">
        <v>377</v>
      </c>
      <c r="R73" s="137">
        <v>777.49</v>
      </c>
      <c r="S73" s="87"/>
      <c r="T73" s="87"/>
      <c r="U73" s="189">
        <f t="shared" si="34"/>
        <v>0</v>
      </c>
      <c r="V73" s="189">
        <f t="shared" si="35"/>
        <v>5.831175</v>
      </c>
      <c r="W73" s="189">
        <f t="shared" si="36"/>
        <v>0</v>
      </c>
      <c r="X73" s="189">
        <f t="shared" si="37"/>
        <v>0</v>
      </c>
      <c r="Y73" s="189">
        <f t="shared" si="38"/>
        <v>771.65882499999998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209</v>
      </c>
      <c r="P74" s="87"/>
      <c r="Q74" s="87">
        <v>378</v>
      </c>
      <c r="R74" s="137">
        <v>578.89</v>
      </c>
      <c r="S74" s="87"/>
      <c r="T74" s="87"/>
      <c r="U74" s="189">
        <f t="shared" si="34"/>
        <v>0</v>
      </c>
      <c r="V74" s="189">
        <f t="shared" si="35"/>
        <v>4.3416749999999995</v>
      </c>
      <c r="W74" s="189">
        <f t="shared" si="36"/>
        <v>0</v>
      </c>
      <c r="X74" s="189">
        <f t="shared" si="37"/>
        <v>0</v>
      </c>
      <c r="Y74" s="189">
        <f t="shared" si="38"/>
        <v>574.54832499999998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2" t="s">
        <v>128</v>
      </c>
      <c r="O75" s="282"/>
      <c r="P75" s="283"/>
      <c r="Q75" s="283"/>
      <c r="R75" s="192">
        <f>SUM(R70:R74)</f>
        <v>3822.52</v>
      </c>
      <c r="S75" s="192"/>
      <c r="T75" s="192">
        <f>SUM(T70:T74)</f>
        <v>35.29</v>
      </c>
      <c r="U75" s="192">
        <f>SUM(U70:U74)</f>
        <v>1.5211206896551726</v>
      </c>
      <c r="V75" s="192">
        <f t="shared" ref="V75:AA75" si="41">SUM(V70:V74)</f>
        <v>28.668899999999997</v>
      </c>
      <c r="W75" s="192">
        <f t="shared" si="41"/>
        <v>0</v>
      </c>
      <c r="X75" s="192">
        <f t="shared" si="41"/>
        <v>0.88224999999999998</v>
      </c>
      <c r="Y75" s="192">
        <f t="shared" si="41"/>
        <v>3793.8510999999999</v>
      </c>
      <c r="Z75" s="192">
        <f t="shared" si="41"/>
        <v>0</v>
      </c>
      <c r="AA75" s="193">
        <f t="shared" si="41"/>
        <v>32.886629310344823</v>
      </c>
      <c r="AB75" s="103"/>
    </row>
    <row r="76" spans="1:30" ht="15.75" x14ac:dyDescent="0.25">
      <c r="N76" s="284" t="s">
        <v>73</v>
      </c>
      <c r="O76" s="286" t="s">
        <v>67</v>
      </c>
      <c r="P76" s="282" t="s">
        <v>62</v>
      </c>
      <c r="Q76" s="282"/>
      <c r="R76" s="282"/>
      <c r="S76" s="282"/>
      <c r="T76" s="282"/>
      <c r="U76" s="288" t="s">
        <v>68</v>
      </c>
      <c r="V76" s="289"/>
      <c r="W76" s="289"/>
      <c r="X76" s="289"/>
      <c r="Y76" s="290"/>
      <c r="Z76" s="279" t="s">
        <v>54</v>
      </c>
      <c r="AA76" s="279" t="s">
        <v>64</v>
      </c>
      <c r="AB76" s="279" t="s">
        <v>124</v>
      </c>
      <c r="AC76" s="280" t="s">
        <v>127</v>
      </c>
      <c r="AD76" s="281" t="s">
        <v>65</v>
      </c>
    </row>
    <row r="77" spans="1:30" ht="60" x14ac:dyDescent="0.25">
      <c r="F77" s="291" t="s">
        <v>140</v>
      </c>
      <c r="G77" s="292"/>
      <c r="H77" s="141" t="s">
        <v>142</v>
      </c>
      <c r="N77" s="285"/>
      <c r="O77" s="287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79"/>
      <c r="AA77" s="279"/>
      <c r="AB77" s="279"/>
      <c r="AC77" s="280" t="s">
        <v>127</v>
      </c>
      <c r="AD77" s="281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210</v>
      </c>
      <c r="P78" s="137"/>
      <c r="Q78" s="137">
        <f>39.34+4.25</f>
        <v>43.59</v>
      </c>
      <c r="R78" s="82">
        <v>7.4999999999999997E-3</v>
      </c>
      <c r="S78" s="216">
        <f>+(P78+Q78)*R78</f>
        <v>0.32692500000000002</v>
      </c>
      <c r="T78" s="213">
        <f>+(P78+Q78)-S78</f>
        <v>43.263075000000001</v>
      </c>
      <c r="U78" s="211">
        <f>13.62+101.64</f>
        <v>115.26</v>
      </c>
      <c r="V78" s="112"/>
      <c r="W78" s="113">
        <v>1.4999999999999999E-2</v>
      </c>
      <c r="X78" s="196">
        <f>+(U78+V78)*W78</f>
        <v>1.7289000000000001</v>
      </c>
      <c r="Y78" s="213">
        <f>+(U78+V78)-X78</f>
        <v>113.53110000000001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210</v>
      </c>
      <c r="P79" s="137"/>
      <c r="Q79" s="87">
        <f>17.28+45.12</f>
        <v>62.4</v>
      </c>
      <c r="R79" s="82">
        <v>7.4999999999999997E-3</v>
      </c>
      <c r="S79" s="216">
        <f t="shared" ref="S79:S97" si="43">+(P79+Q79)*R79</f>
        <v>0.46799999999999997</v>
      </c>
      <c r="T79" s="240">
        <f t="shared" ref="T79:T97" si="44">+(P79+Q79)-S79</f>
        <v>61.932000000000002</v>
      </c>
      <c r="U79" s="211">
        <f>79.58+12.76</f>
        <v>92.34</v>
      </c>
      <c r="V79" s="112"/>
      <c r="W79" s="113">
        <v>1.4999999999999999E-2</v>
      </c>
      <c r="X79" s="196">
        <f t="shared" ref="X79:X97" si="45">+(U79+V79)*W79</f>
        <v>1.3851</v>
      </c>
      <c r="Y79" s="240">
        <f t="shared" ref="Y79:Y97" si="46">+(U79+V79)-X79</f>
        <v>90.954900000000009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210</v>
      </c>
      <c r="P80" s="137"/>
      <c r="Q80" s="137">
        <f>4.1+13.04</f>
        <v>17.14</v>
      </c>
      <c r="R80" s="82">
        <v>7.4999999999999997E-3</v>
      </c>
      <c r="S80" s="216">
        <f t="shared" si="43"/>
        <v>0.12855</v>
      </c>
      <c r="T80" s="240">
        <f t="shared" si="44"/>
        <v>17.01145</v>
      </c>
      <c r="U80" s="211">
        <f>32.55+55.16</f>
        <v>87.71</v>
      </c>
      <c r="V80" s="112"/>
      <c r="W80" s="113">
        <v>1.4999999999999999E-2</v>
      </c>
      <c r="X80" s="196">
        <f t="shared" si="45"/>
        <v>1.3156499999999998</v>
      </c>
      <c r="Y80" s="240">
        <f t="shared" si="46"/>
        <v>86.394349999999989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210</v>
      </c>
      <c r="P81" s="137"/>
      <c r="Q81" s="137"/>
      <c r="R81" s="82">
        <v>7.4999999999999997E-3</v>
      </c>
      <c r="S81" s="216">
        <f t="shared" si="43"/>
        <v>0</v>
      </c>
      <c r="T81" s="213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3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210</v>
      </c>
      <c r="P82" s="137"/>
      <c r="Q82" s="137"/>
      <c r="R82" s="82">
        <v>7.4999999999999997E-3</v>
      </c>
      <c r="S82" s="216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3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210</v>
      </c>
      <c r="P83" s="137"/>
      <c r="Q83" s="87"/>
      <c r="R83" s="82">
        <v>7.4999999999999997E-3</v>
      </c>
      <c r="S83" s="216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210</v>
      </c>
      <c r="P84" s="87"/>
      <c r="Q84" s="87"/>
      <c r="R84" s="82">
        <v>7.4999999999999997E-3</v>
      </c>
      <c r="S84" s="216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210</v>
      </c>
      <c r="P85" s="87"/>
      <c r="Q85" s="87"/>
      <c r="R85" s="82">
        <v>7.4999999999999997E-3</v>
      </c>
      <c r="S85" s="216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210</v>
      </c>
      <c r="P86" s="87"/>
      <c r="Q86" s="87"/>
      <c r="R86" s="82">
        <v>7.4999999999999997E-3</v>
      </c>
      <c r="S86" s="216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210</v>
      </c>
      <c r="P87" s="87"/>
      <c r="Q87" s="87"/>
      <c r="R87" s="82">
        <v>7.4999999999999997E-3</v>
      </c>
      <c r="S87" s="216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210</v>
      </c>
      <c r="P88" s="87"/>
      <c r="Q88" s="87"/>
      <c r="R88" s="82">
        <v>7.4999999999999997E-3</v>
      </c>
      <c r="S88" s="216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210</v>
      </c>
      <c r="P89" s="87"/>
      <c r="Q89" s="87"/>
      <c r="R89" s="82">
        <v>7.4999999999999997E-3</v>
      </c>
      <c r="S89" s="216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123.13000000000001</v>
      </c>
      <c r="R98" s="111"/>
      <c r="S98" s="195">
        <f>SUM(S78:S97)</f>
        <v>0.92347500000000005</v>
      </c>
      <c r="T98" s="195">
        <f>SUM(T78:T97)</f>
        <v>122.206525</v>
      </c>
      <c r="U98" s="114">
        <f>SUM(U78:U97)</f>
        <v>295.31</v>
      </c>
      <c r="V98" s="114">
        <f>SUM(V78:V97)</f>
        <v>0</v>
      </c>
      <c r="W98" s="112"/>
      <c r="X98" s="197">
        <f>SUM(X78:X97)</f>
        <v>4.4296499999999996</v>
      </c>
      <c r="Y98" s="197">
        <f>SUM(Y78:Y97)</f>
        <v>290.88035000000002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Q101" s="212">
        <f>P78+Q78+U78</f>
        <v>158.85000000000002</v>
      </c>
    </row>
    <row r="102" spans="14:30" x14ac:dyDescent="0.25">
      <c r="N102" s="85"/>
      <c r="Q102" s="212">
        <f>P79+U79+Q79</f>
        <v>154.74</v>
      </c>
    </row>
    <row r="103" spans="14:30" x14ac:dyDescent="0.25">
      <c r="N103" s="85"/>
      <c r="Q103" s="212">
        <f>P80+Q80+U80</f>
        <v>104.85</v>
      </c>
    </row>
    <row r="104" spans="14:30" x14ac:dyDescent="0.25">
      <c r="N104" s="85"/>
      <c r="Q104" s="212">
        <f>P81+Q81+U81</f>
        <v>0</v>
      </c>
    </row>
    <row r="105" spans="14:30" x14ac:dyDescent="0.25">
      <c r="N105" s="85"/>
      <c r="Q105" s="212">
        <f>P82+Q82+U82</f>
        <v>0</v>
      </c>
    </row>
    <row r="106" spans="14:30" x14ac:dyDescent="0.25">
      <c r="N106" s="85"/>
      <c r="Q106" s="212">
        <f>P83+U83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49" priority="1" operator="greaterThan">
      <formula>0</formula>
    </cfRule>
    <cfRule type="cellIs" dxfId="4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I31" zoomScale="90" zoomScaleNormal="90" workbookViewId="0">
      <selection activeCell="K51" sqref="K5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85546875" style="85" customWidth="1"/>
    <col min="16" max="17" width="17" style="85" customWidth="1"/>
    <col min="18" max="18" width="18.140625" style="85" customWidth="1"/>
    <col min="19" max="19" width="14.710937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59"/>
      <c r="B1" s="296"/>
      <c r="C1" s="296"/>
      <c r="D1" s="296"/>
      <c r="E1" s="296"/>
      <c r="F1" s="296"/>
      <c r="G1" s="296"/>
      <c r="H1" s="296"/>
      <c r="M1" s="76"/>
      <c r="N1" s="71"/>
    </row>
    <row r="2" spans="1:28" s="84" customFormat="1" ht="16.5" customHeight="1" x14ac:dyDescent="0.35">
      <c r="A2" s="259"/>
      <c r="B2" s="296" t="s">
        <v>12</v>
      </c>
      <c r="C2" s="296"/>
      <c r="D2" s="296"/>
      <c r="E2" s="296"/>
      <c r="F2" s="296"/>
      <c r="G2" s="296"/>
      <c r="H2" s="296"/>
      <c r="M2" s="76"/>
      <c r="N2" s="71"/>
    </row>
    <row r="3" spans="1:28" s="84" customFormat="1" ht="21.75" customHeight="1" x14ac:dyDescent="0.25">
      <c r="A3" s="259"/>
      <c r="B3" s="297" t="s">
        <v>21</v>
      </c>
      <c r="C3" s="297"/>
      <c r="D3" s="297"/>
      <c r="E3" s="297"/>
      <c r="F3" s="297"/>
      <c r="G3" s="297"/>
      <c r="H3" s="297"/>
      <c r="M3" s="76"/>
      <c r="N3" s="71"/>
    </row>
    <row r="4" spans="1:28" x14ac:dyDescent="0.25">
      <c r="B4" s="298" t="s">
        <v>188</v>
      </c>
      <c r="C4" s="298"/>
      <c r="D4" s="298"/>
      <c r="E4" s="298"/>
      <c r="F4" s="298"/>
      <c r="G4" s="298"/>
      <c r="H4" s="298"/>
    </row>
    <row r="6" spans="1:28" x14ac:dyDescent="0.25">
      <c r="A6" s="7" t="s">
        <v>22</v>
      </c>
      <c r="B6" s="72">
        <v>44508</v>
      </c>
      <c r="D6" s="85" t="s">
        <v>23</v>
      </c>
      <c r="E6" s="8" t="s">
        <v>251</v>
      </c>
      <c r="F6" s="9"/>
      <c r="G6" s="9"/>
    </row>
    <row r="8" spans="1:28" x14ac:dyDescent="0.25">
      <c r="A8" s="7" t="s">
        <v>77</v>
      </c>
      <c r="B8" s="108">
        <v>4.45</v>
      </c>
      <c r="C8" s="85" t="s">
        <v>94</v>
      </c>
      <c r="D8" s="108">
        <v>4.45</v>
      </c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226</v>
      </c>
      <c r="C12" s="15"/>
      <c r="D12" s="56"/>
      <c r="E12" s="16"/>
      <c r="F12" s="56"/>
      <c r="G12" s="56"/>
      <c r="H12" s="17"/>
      <c r="I12" s="83">
        <v>226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>
        <v>169</v>
      </c>
      <c r="Q12" s="153">
        <v>7</v>
      </c>
      <c r="R12" s="154">
        <v>10.66</v>
      </c>
      <c r="S12" s="155"/>
      <c r="T12" s="155"/>
      <c r="U12" s="189">
        <f>((T12/U$10)*U$9)</f>
        <v>0</v>
      </c>
      <c r="V12" s="189">
        <f>R12*V$10</f>
        <v>7.9949999999999993E-2</v>
      </c>
      <c r="W12" s="189">
        <f>+S12*V$10</f>
        <v>0</v>
      </c>
      <c r="X12" s="189">
        <f>+T12*X$10</f>
        <v>0</v>
      </c>
      <c r="Y12" s="189">
        <f>R12-V12</f>
        <v>10.58005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779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779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>
        <v>170</v>
      </c>
      <c r="Q13" s="153">
        <v>7</v>
      </c>
      <c r="R13" s="154">
        <v>604.36</v>
      </c>
      <c r="S13" s="155"/>
      <c r="T13" s="157"/>
      <c r="U13" s="189">
        <f t="shared" ref="U13:U41" si="2">((T13/U$10)*U$9)</f>
        <v>0</v>
      </c>
      <c r="V13" s="189">
        <f t="shared" ref="V13:V41" si="3">R13*V$10</f>
        <v>4.5327000000000002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599.82730000000004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3466.55</v>
      </c>
      <c r="C14" s="15"/>
      <c r="D14" s="56"/>
      <c r="E14" s="16"/>
      <c r="F14" s="56"/>
      <c r="G14" s="56"/>
      <c r="H14" s="17"/>
      <c r="I14" s="83"/>
      <c r="J14" s="81">
        <f t="shared" si="0"/>
        <v>3466.55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214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779</v>
      </c>
      <c r="C19" s="95"/>
      <c r="D19" s="94"/>
      <c r="E19" s="96"/>
      <c r="F19" s="94"/>
      <c r="G19" s="94"/>
      <c r="H19" s="98"/>
      <c r="I19" s="99">
        <v>779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3466.55</v>
      </c>
      <c r="C20" s="95"/>
      <c r="D20" s="94"/>
      <c r="E20" s="96"/>
      <c r="F20" s="94"/>
      <c r="G20" s="94"/>
      <c r="H20" s="98"/>
      <c r="I20" s="99">
        <v>3466.55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3" t="s">
        <v>107</v>
      </c>
      <c r="O42" s="294"/>
      <c r="P42" s="294"/>
      <c r="Q42" s="295"/>
      <c r="R42" s="190">
        <f t="shared" ref="R42:AA42" si="8">SUM(R12:R41)</f>
        <v>615.02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4.6126500000000004</v>
      </c>
      <c r="W42" s="190">
        <f t="shared" si="8"/>
        <v>0</v>
      </c>
      <c r="X42" s="190">
        <f t="shared" si="8"/>
        <v>0</v>
      </c>
      <c r="Y42" s="190">
        <f t="shared" si="8"/>
        <v>610.40735000000006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615.02</v>
      </c>
      <c r="C46" s="116">
        <v>7.4999999999999997E-3</v>
      </c>
      <c r="D46" s="117">
        <f>B46*C46</f>
        <v>4.6126499999999995</v>
      </c>
      <c r="E46" s="172">
        <v>0</v>
      </c>
      <c r="F46" s="117">
        <f t="shared" ref="F46:F50" si="15">D46*E46</f>
        <v>0</v>
      </c>
      <c r="G46" s="117">
        <f t="shared" ref="G46:G51" si="16">B46-D46-F46</f>
        <v>610.40734999999995</v>
      </c>
      <c r="H46" s="173">
        <f>B$6+1</f>
        <v>44509</v>
      </c>
      <c r="I46" s="174"/>
      <c r="J46" s="81">
        <f t="shared" si="0"/>
        <v>615.02</v>
      </c>
      <c r="K46" s="80"/>
      <c r="L46" s="186">
        <f>K46-G46</f>
        <v>-610.40734999999995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44509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44509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7</v>
      </c>
      <c r="B49" s="117">
        <f>R75</f>
        <v>2453.96</v>
      </c>
      <c r="C49" s="116">
        <v>7.4999999999999997E-3</v>
      </c>
      <c r="D49" s="117">
        <f t="shared" si="17"/>
        <v>18.404699999999998</v>
      </c>
      <c r="E49" s="172">
        <v>0</v>
      </c>
      <c r="F49" s="117">
        <f t="shared" si="15"/>
        <v>0</v>
      </c>
      <c r="G49" s="117">
        <f t="shared" si="16"/>
        <v>2435.5553</v>
      </c>
      <c r="H49" s="173">
        <f t="shared" si="19"/>
        <v>44509</v>
      </c>
      <c r="I49" s="176"/>
      <c r="J49" s="81">
        <f t="shared" si="0"/>
        <v>2453.96</v>
      </c>
      <c r="K49" s="80"/>
      <c r="L49" s="186">
        <f t="shared" si="18"/>
        <v>2435.5553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74.23</v>
      </c>
      <c r="C50" s="116">
        <v>7.4999999999999997E-3</v>
      </c>
      <c r="D50" s="117">
        <f t="shared" si="17"/>
        <v>0.55672500000000003</v>
      </c>
      <c r="E50" s="172">
        <v>0</v>
      </c>
      <c r="F50" s="117">
        <f t="shared" si="15"/>
        <v>0</v>
      </c>
      <c r="G50" s="117">
        <f t="shared" si="16"/>
        <v>73.673275000000004</v>
      </c>
      <c r="H50" s="173">
        <f t="shared" si="19"/>
        <v>44509</v>
      </c>
      <c r="I50" s="175"/>
      <c r="J50" s="81">
        <f t="shared" si="0"/>
        <v>74.23</v>
      </c>
      <c r="K50" s="80"/>
      <c r="L50" s="186">
        <f t="shared" si="18"/>
        <v>73.673275000000004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450.58000000000004</v>
      </c>
      <c r="C51" s="116">
        <v>1.4999999999999999E-2</v>
      </c>
      <c r="D51" s="117">
        <f>+B51*C51</f>
        <v>6.7587000000000002</v>
      </c>
      <c r="E51" s="172">
        <v>0</v>
      </c>
      <c r="F51" s="117">
        <f>D51*E51</f>
        <v>0</v>
      </c>
      <c r="G51" s="117">
        <f t="shared" si="16"/>
        <v>443.82130000000006</v>
      </c>
      <c r="H51" s="173">
        <f t="shared" si="19"/>
        <v>44509</v>
      </c>
      <c r="I51" s="175"/>
      <c r="J51" s="81">
        <f t="shared" si="0"/>
        <v>450.58000000000004</v>
      </c>
      <c r="K51" s="80"/>
      <c r="L51" s="186">
        <f t="shared" si="18"/>
        <v>443.82130000000006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44509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44509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44509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44509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71.59</v>
      </c>
      <c r="C56" s="116">
        <v>2.5000000000000001E-2</v>
      </c>
      <c r="D56" s="117">
        <f t="shared" si="20"/>
        <v>1.7897500000000002</v>
      </c>
      <c r="E56" s="172">
        <v>0.05</v>
      </c>
      <c r="F56" s="117">
        <f t="shared" si="21"/>
        <v>3.0857758620689659</v>
      </c>
      <c r="G56" s="117">
        <f t="shared" si="22"/>
        <v>66.714474137931035</v>
      </c>
      <c r="H56" s="173">
        <f t="shared" si="19"/>
        <v>44509</v>
      </c>
      <c r="I56" s="176"/>
      <c r="J56" s="81">
        <f t="shared" si="0"/>
        <v>71.59</v>
      </c>
      <c r="K56" s="80"/>
      <c r="L56" s="186">
        <f t="shared" si="18"/>
        <v>66.714474137931035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44511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44513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44538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32.122524999999996</v>
      </c>
      <c r="E61" s="177"/>
      <c r="F61" s="57">
        <f>SUM(F46:F58)</f>
        <v>3.0857758620689659</v>
      </c>
      <c r="G61" s="57">
        <f>SUM(G46:G58)</f>
        <v>3630.1716991379312</v>
      </c>
      <c r="H61" s="173">
        <f t="shared" si="19"/>
        <v>44509</v>
      </c>
      <c r="I61" s="175"/>
      <c r="J61" s="81">
        <f t="shared" si="0"/>
        <v>0</v>
      </c>
      <c r="K61" s="80"/>
      <c r="L61" s="186">
        <f t="shared" si="18"/>
        <v>3630.1716991379312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44509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2" t="s">
        <v>109</v>
      </c>
      <c r="O63" s="282"/>
      <c r="P63" s="282"/>
      <c r="Q63" s="28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7260.3433982758625</v>
      </c>
      <c r="H64" s="184"/>
      <c r="I64" s="175"/>
      <c r="J64" s="81">
        <f t="shared" si="0"/>
        <v>0</v>
      </c>
      <c r="K64" s="80"/>
      <c r="L64" s="186">
        <f t="shared" si="18"/>
        <v>7260.3433982758625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7357.9299999999994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9" t="s">
        <v>20</v>
      </c>
      <c r="B67" s="300"/>
      <c r="F67" s="301" t="s">
        <v>136</v>
      </c>
      <c r="G67" s="301"/>
      <c r="H67" s="301"/>
      <c r="I67" s="302" t="s">
        <v>138</v>
      </c>
      <c r="J67" s="303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7348.6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7348.6</v>
      </c>
      <c r="C69" s="59"/>
      <c r="F69" s="87" t="s">
        <v>129</v>
      </c>
      <c r="G69" s="22"/>
      <c r="H69" s="89"/>
      <c r="I69" s="136"/>
      <c r="J69" s="136">
        <f>K52</f>
        <v>0</v>
      </c>
      <c r="N69" s="282" t="s">
        <v>110</v>
      </c>
      <c r="O69" s="282"/>
      <c r="P69" s="283"/>
      <c r="Q69" s="28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B68-B67</f>
        <v>7348.6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189</v>
      </c>
      <c r="P70" s="87"/>
      <c r="Q70" s="87">
        <v>362</v>
      </c>
      <c r="R70" s="137">
        <v>688.06</v>
      </c>
      <c r="S70" s="87"/>
      <c r="T70" s="87">
        <v>71.59</v>
      </c>
      <c r="U70" s="189">
        <f t="shared" ref="U70:U74" si="34">((T70/U$10)*U$9)</f>
        <v>3.0857758620689659</v>
      </c>
      <c r="V70" s="189">
        <f t="shared" ref="V70:V74" si="35">R70*V$10</f>
        <v>5.1604499999999991</v>
      </c>
      <c r="W70" s="189">
        <f t="shared" ref="W70:W74" si="36">+S70*V$10</f>
        <v>0</v>
      </c>
      <c r="X70" s="189">
        <f t="shared" ref="X70:X74" si="37">+T70*X$10</f>
        <v>1.7897500000000002</v>
      </c>
      <c r="Y70" s="189">
        <f t="shared" ref="Y70:Z74" si="38">R70-V70</f>
        <v>682.89954999999998</v>
      </c>
      <c r="Z70" s="189">
        <f t="shared" si="38"/>
        <v>0</v>
      </c>
      <c r="AA70" s="189">
        <f t="shared" ref="AA70:AA74" si="39">T70-U70-X70</f>
        <v>66.714474137931035</v>
      </c>
      <c r="AB70" s="87"/>
    </row>
    <row r="71" spans="1:30" ht="28.5" customHeight="1" thickBot="1" x14ac:dyDescent="0.3">
      <c r="A71" s="25" t="s">
        <v>57</v>
      </c>
      <c r="B71" s="70">
        <f>(B65-B69)-B72</f>
        <v>9.3299999999990177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189</v>
      </c>
      <c r="P71" s="87"/>
      <c r="Q71" s="87">
        <v>456</v>
      </c>
      <c r="R71" s="137">
        <v>715.39</v>
      </c>
      <c r="S71" s="87"/>
      <c r="T71" s="137"/>
      <c r="U71" s="189">
        <f t="shared" si="34"/>
        <v>0</v>
      </c>
      <c r="V71" s="189">
        <f t="shared" si="35"/>
        <v>5.3654250000000001</v>
      </c>
      <c r="W71" s="189">
        <f t="shared" si="36"/>
        <v>0</v>
      </c>
      <c r="X71" s="189">
        <f t="shared" si="37"/>
        <v>0</v>
      </c>
      <c r="Y71" s="189">
        <f t="shared" si="38"/>
        <v>710.02457500000003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186</v>
      </c>
      <c r="P72" s="87"/>
      <c r="Q72" s="87">
        <v>379</v>
      </c>
      <c r="R72" s="137">
        <v>418.48</v>
      </c>
      <c r="S72" s="87"/>
      <c r="T72" s="87"/>
      <c r="U72" s="189">
        <f t="shared" si="34"/>
        <v>0</v>
      </c>
      <c r="V72" s="189">
        <f t="shared" si="35"/>
        <v>3.1385999999999998</v>
      </c>
      <c r="W72" s="189">
        <f t="shared" si="36"/>
        <v>0</v>
      </c>
      <c r="X72" s="189">
        <f t="shared" si="37"/>
        <v>0</v>
      </c>
      <c r="Y72" s="189">
        <f t="shared" si="38"/>
        <v>415.34140000000002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186</v>
      </c>
      <c r="P73" s="87"/>
      <c r="Q73" s="87">
        <v>380</v>
      </c>
      <c r="R73" s="137">
        <v>632.03</v>
      </c>
      <c r="S73" s="87"/>
      <c r="T73" s="87"/>
      <c r="U73" s="189">
        <f t="shared" si="34"/>
        <v>0</v>
      </c>
      <c r="V73" s="189">
        <f t="shared" si="35"/>
        <v>4.7402249999999997</v>
      </c>
      <c r="W73" s="189">
        <f t="shared" si="36"/>
        <v>0</v>
      </c>
      <c r="X73" s="189">
        <f t="shared" si="37"/>
        <v>0</v>
      </c>
      <c r="Y73" s="189">
        <f t="shared" si="38"/>
        <v>627.28977499999996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/>
      <c r="P74" s="87"/>
      <c r="Q74" s="87"/>
      <c r="R74" s="13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2" t="s">
        <v>128</v>
      </c>
      <c r="O75" s="282"/>
      <c r="P75" s="283"/>
      <c r="Q75" s="283"/>
      <c r="R75" s="192">
        <f>SUM(R70:R74)</f>
        <v>2453.96</v>
      </c>
      <c r="S75" s="192"/>
      <c r="T75" s="192">
        <f>SUM(T70:T74)</f>
        <v>71.59</v>
      </c>
      <c r="U75" s="192">
        <f>SUM(U70:U74)</f>
        <v>3.0857758620689659</v>
      </c>
      <c r="V75" s="192">
        <f t="shared" ref="V75:AA75" si="41">SUM(V70:V74)</f>
        <v>18.404699999999998</v>
      </c>
      <c r="W75" s="192">
        <f t="shared" si="41"/>
        <v>0</v>
      </c>
      <c r="X75" s="192">
        <f t="shared" si="41"/>
        <v>1.7897500000000002</v>
      </c>
      <c r="Y75" s="192">
        <f t="shared" si="41"/>
        <v>2435.5553</v>
      </c>
      <c r="Z75" s="192">
        <f t="shared" si="41"/>
        <v>0</v>
      </c>
      <c r="AA75" s="193">
        <f t="shared" si="41"/>
        <v>66.714474137931035</v>
      </c>
      <c r="AB75" s="103"/>
    </row>
    <row r="76" spans="1:30" ht="15.75" x14ac:dyDescent="0.25">
      <c r="N76" s="284" t="s">
        <v>73</v>
      </c>
      <c r="O76" s="286" t="s">
        <v>67</v>
      </c>
      <c r="P76" s="282" t="s">
        <v>62</v>
      </c>
      <c r="Q76" s="282"/>
      <c r="R76" s="282"/>
      <c r="S76" s="282"/>
      <c r="T76" s="282"/>
      <c r="U76" s="288" t="s">
        <v>68</v>
      </c>
      <c r="V76" s="289"/>
      <c r="W76" s="289"/>
      <c r="X76" s="289"/>
      <c r="Y76" s="290"/>
      <c r="Z76" s="279" t="s">
        <v>54</v>
      </c>
      <c r="AA76" s="279" t="s">
        <v>64</v>
      </c>
      <c r="AB76" s="279" t="s">
        <v>124</v>
      </c>
      <c r="AC76" s="280" t="s">
        <v>127</v>
      </c>
      <c r="AD76" s="281" t="s">
        <v>65</v>
      </c>
    </row>
    <row r="77" spans="1:30" ht="60" x14ac:dyDescent="0.25">
      <c r="F77" s="291" t="s">
        <v>140</v>
      </c>
      <c r="G77" s="292"/>
      <c r="H77" s="141" t="s">
        <v>142</v>
      </c>
      <c r="N77" s="285"/>
      <c r="O77" s="287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79"/>
      <c r="AA77" s="279"/>
      <c r="AB77" s="279"/>
      <c r="AC77" s="280" t="s">
        <v>127</v>
      </c>
      <c r="AD77" s="281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>
        <f>14.75</f>
        <v>14.75</v>
      </c>
      <c r="R78" s="82">
        <v>7.4999999999999997E-3</v>
      </c>
      <c r="S78" s="216">
        <f>+(P78+Q78)*R78</f>
        <v>0.110625</v>
      </c>
      <c r="T78" s="219">
        <f>+(P78+Q78)-S78</f>
        <v>14.639374999999999</v>
      </c>
      <c r="U78" s="211">
        <f>185.23</f>
        <v>185.23</v>
      </c>
      <c r="V78" s="112"/>
      <c r="W78" s="113">
        <v>1.4999999999999999E-2</v>
      </c>
      <c r="X78" s="196">
        <f>+(U78+V78)*W78</f>
        <v>2.7784499999999999</v>
      </c>
      <c r="Y78" s="217">
        <f>+(U78+V78)-X78</f>
        <v>182.45155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>
        <f>T98</f>
        <v>73.673275000000004</v>
      </c>
      <c r="H79" s="136">
        <f>K50</f>
        <v>0</v>
      </c>
      <c r="N79" s="87">
        <v>2</v>
      </c>
      <c r="O79" s="87" t="s">
        <v>112</v>
      </c>
      <c r="P79" s="137"/>
      <c r="Q79" s="137">
        <f>9.24+15.88+0.67</f>
        <v>25.790000000000003</v>
      </c>
      <c r="R79" s="82">
        <v>7.4999999999999997E-3</v>
      </c>
      <c r="S79" s="216">
        <f t="shared" ref="S79:S97" si="43">+(P79+Q79)*R79</f>
        <v>0.19342500000000001</v>
      </c>
      <c r="T79" s="219">
        <f t="shared" ref="T79:T97" si="44">+(P79+Q79)-S79</f>
        <v>25.596575000000001</v>
      </c>
      <c r="U79" s="211">
        <f>80.74+133.11</f>
        <v>213.85000000000002</v>
      </c>
      <c r="V79" s="112"/>
      <c r="W79" s="113">
        <v>1.4999999999999999E-2</v>
      </c>
      <c r="X79" s="196">
        <f t="shared" ref="X79:X97" si="45">+(U79+V79)*W79</f>
        <v>3.2077500000000003</v>
      </c>
      <c r="Y79" s="217">
        <f t="shared" ref="Y79:Y97" si="46">+(U79+V79)-X79</f>
        <v>210.64225000000002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>
        <f>30.38+3.31</f>
        <v>33.69</v>
      </c>
      <c r="R80" s="82">
        <v>7.4999999999999997E-3</v>
      </c>
      <c r="S80" s="216">
        <f t="shared" si="43"/>
        <v>0.25267499999999998</v>
      </c>
      <c r="T80" s="238">
        <f t="shared" si="44"/>
        <v>33.437325000000001</v>
      </c>
      <c r="U80" s="211">
        <f>51.5</f>
        <v>51.5</v>
      </c>
      <c r="V80" s="112"/>
      <c r="W80" s="113">
        <v>1.4999999999999999E-2</v>
      </c>
      <c r="X80" s="196">
        <f t="shared" si="45"/>
        <v>0.77249999999999996</v>
      </c>
      <c r="Y80" s="240">
        <f t="shared" si="46"/>
        <v>50.727499999999999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-73.673275000000004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38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40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3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3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3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3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194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73.673275000000004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74.23</v>
      </c>
      <c r="R98" s="111"/>
      <c r="S98" s="195">
        <f>SUM(S78:S97)</f>
        <v>0.55672500000000003</v>
      </c>
      <c r="T98" s="195">
        <f>SUM(T78:T97)</f>
        <v>73.673275000000004</v>
      </c>
      <c r="U98" s="114">
        <f>SUM(U78:U97)</f>
        <v>450.58000000000004</v>
      </c>
      <c r="V98" s="114">
        <f>SUM(V78:V97)</f>
        <v>0</v>
      </c>
      <c r="W98" s="112"/>
      <c r="X98" s="197">
        <f>SUM(X78:X97)</f>
        <v>6.7587000000000002</v>
      </c>
      <c r="Y98" s="197">
        <f>SUM(Y78:Y97)</f>
        <v>443.82130000000001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2">
        <f t="shared" ref="P101:P106" si="50">P78+Q78+U78</f>
        <v>199.98</v>
      </c>
    </row>
    <row r="102" spans="14:30" x14ac:dyDescent="0.25">
      <c r="N102" s="85"/>
      <c r="P102" s="212">
        <f t="shared" si="50"/>
        <v>239.64000000000001</v>
      </c>
    </row>
    <row r="103" spans="14:30" x14ac:dyDescent="0.25">
      <c r="N103" s="85"/>
      <c r="P103" s="212">
        <f t="shared" si="50"/>
        <v>85.19</v>
      </c>
    </row>
    <row r="104" spans="14:30" x14ac:dyDescent="0.25">
      <c r="N104" s="85"/>
      <c r="P104" s="212">
        <f t="shared" si="50"/>
        <v>0</v>
      </c>
    </row>
    <row r="105" spans="14:30" x14ac:dyDescent="0.25">
      <c r="N105" s="85"/>
      <c r="P105" s="212">
        <f t="shared" si="50"/>
        <v>0</v>
      </c>
    </row>
    <row r="106" spans="14:30" x14ac:dyDescent="0.25">
      <c r="N106" s="85"/>
      <c r="P106" s="212">
        <f t="shared" si="50"/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47" priority="1" operator="greaterThan">
      <formula>0</formula>
    </cfRule>
    <cfRule type="cellIs" dxfId="4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abSelected="1" topLeftCell="B25" zoomScale="90" zoomScaleNormal="90" workbookViewId="0">
      <selection activeCell="E51" sqref="E5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5.28515625" style="85" customWidth="1"/>
    <col min="16" max="17" width="17" style="85" customWidth="1"/>
    <col min="18" max="18" width="18.140625" style="85" customWidth="1"/>
    <col min="19" max="19" width="15.28515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59"/>
      <c r="B1" s="296"/>
      <c r="C1" s="296"/>
      <c r="D1" s="296"/>
      <c r="E1" s="296"/>
      <c r="F1" s="296"/>
      <c r="G1" s="296"/>
      <c r="H1" s="296"/>
      <c r="M1" s="76"/>
      <c r="N1" s="71"/>
    </row>
    <row r="2" spans="1:28" s="84" customFormat="1" ht="16.5" customHeight="1" x14ac:dyDescent="0.35">
      <c r="A2" s="259"/>
      <c r="B2" s="296" t="s">
        <v>12</v>
      </c>
      <c r="C2" s="296"/>
      <c r="D2" s="296"/>
      <c r="E2" s="296"/>
      <c r="F2" s="296"/>
      <c r="G2" s="296"/>
      <c r="H2" s="296"/>
      <c r="M2" s="76"/>
      <c r="N2" s="71"/>
    </row>
    <row r="3" spans="1:28" s="84" customFormat="1" ht="21.75" customHeight="1" x14ac:dyDescent="0.25">
      <c r="A3" s="259"/>
      <c r="B3" s="297" t="s">
        <v>21</v>
      </c>
      <c r="C3" s="297"/>
      <c r="D3" s="297"/>
      <c r="E3" s="297"/>
      <c r="F3" s="297"/>
      <c r="G3" s="297"/>
      <c r="H3" s="297"/>
      <c r="M3" s="76"/>
      <c r="N3" s="71"/>
    </row>
    <row r="4" spans="1:28" x14ac:dyDescent="0.25">
      <c r="B4" s="298" t="s">
        <v>188</v>
      </c>
      <c r="C4" s="298"/>
      <c r="D4" s="298"/>
      <c r="E4" s="298"/>
      <c r="F4" s="298"/>
      <c r="G4" s="298"/>
      <c r="H4" s="298"/>
    </row>
    <row r="6" spans="1:28" x14ac:dyDescent="0.25">
      <c r="A6" s="7" t="s">
        <v>22</v>
      </c>
      <c r="B6" s="72">
        <v>44509</v>
      </c>
      <c r="D6" s="85" t="s">
        <v>23</v>
      </c>
      <c r="E6" s="8" t="s">
        <v>251</v>
      </c>
      <c r="F6" s="9"/>
      <c r="G6" s="9"/>
    </row>
    <row r="8" spans="1:28" x14ac:dyDescent="0.25">
      <c r="A8" s="7" t="s">
        <v>77</v>
      </c>
      <c r="B8" s="8">
        <v>4.45</v>
      </c>
      <c r="C8" s="85" t="s">
        <v>94</v>
      </c>
      <c r="D8" s="108">
        <v>4.45</v>
      </c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370.85</v>
      </c>
      <c r="C12" s="15"/>
      <c r="D12" s="56"/>
      <c r="E12" s="16"/>
      <c r="F12" s="56"/>
      <c r="G12" s="56"/>
      <c r="H12" s="17"/>
      <c r="I12" s="83">
        <v>370.85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>
        <v>171</v>
      </c>
      <c r="Q12" s="153">
        <v>7</v>
      </c>
      <c r="R12" s="154">
        <v>8.5500000000000007</v>
      </c>
      <c r="S12" s="155"/>
      <c r="T12" s="155"/>
      <c r="U12" s="189">
        <f>((T12/U$10)*U$9)</f>
        <v>0</v>
      </c>
      <c r="V12" s="189">
        <f>R12*V$10</f>
        <v>6.4125000000000001E-2</v>
      </c>
      <c r="W12" s="189">
        <f>+S12*V$10</f>
        <v>0</v>
      </c>
      <c r="X12" s="189">
        <f>+T12*X$10</f>
        <v>0</v>
      </c>
      <c r="Y12" s="189">
        <f>R12-V12</f>
        <v>8.4858750000000001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727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727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>
        <v>172</v>
      </c>
      <c r="Q13" s="153">
        <v>7</v>
      </c>
      <c r="R13" s="154">
        <v>742.88</v>
      </c>
      <c r="S13" s="155"/>
      <c r="T13" s="157"/>
      <c r="U13" s="189">
        <f t="shared" ref="U13:U41" si="2">((T13/U$10)*U$9)</f>
        <v>0</v>
      </c>
      <c r="V13" s="189">
        <f t="shared" ref="V13:V41" si="3">R13*V$10</f>
        <v>5.5716000000000001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737.30840000000001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3235.15</v>
      </c>
      <c r="C14" s="15"/>
      <c r="D14" s="56"/>
      <c r="E14" s="16"/>
      <c r="F14" s="56"/>
      <c r="G14" s="56"/>
      <c r="H14" s="17"/>
      <c r="I14" s="83"/>
      <c r="J14" s="81">
        <f t="shared" si="0"/>
        <v>3235.15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727</v>
      </c>
      <c r="C19" s="95"/>
      <c r="D19" s="94"/>
      <c r="E19" s="96"/>
      <c r="F19" s="94"/>
      <c r="G19" s="94"/>
      <c r="H19" s="98"/>
      <c r="I19" s="99">
        <v>727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3235.15</v>
      </c>
      <c r="C20" s="95"/>
      <c r="D20" s="94"/>
      <c r="E20" s="96"/>
      <c r="F20" s="94"/>
      <c r="G20" s="94"/>
      <c r="H20" s="98"/>
      <c r="I20" s="99">
        <v>3235.15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3" t="s">
        <v>107</v>
      </c>
      <c r="O42" s="294"/>
      <c r="P42" s="294"/>
      <c r="Q42" s="295"/>
      <c r="R42" s="190">
        <f t="shared" ref="R42:AA42" si="8">SUM(R12:R41)</f>
        <v>751.43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5.6357249999999999</v>
      </c>
      <c r="W42" s="190">
        <f t="shared" si="8"/>
        <v>0</v>
      </c>
      <c r="X42" s="190">
        <f t="shared" si="8"/>
        <v>0</v>
      </c>
      <c r="Y42" s="190">
        <f t="shared" si="8"/>
        <v>745.79427499999997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751.43</v>
      </c>
      <c r="C46" s="116">
        <v>7.4999999999999997E-3</v>
      </c>
      <c r="D46" s="117">
        <f>B46*C46</f>
        <v>5.635724999999999</v>
      </c>
      <c r="E46" s="172">
        <v>0</v>
      </c>
      <c r="F46" s="117">
        <f t="shared" ref="F46:F50" si="15">D46*E46</f>
        <v>0</v>
      </c>
      <c r="G46" s="117">
        <f t="shared" ref="G46:G51" si="16">B46-D46-F46</f>
        <v>745.79427499999997</v>
      </c>
      <c r="H46" s="173">
        <f>B$6+1</f>
        <v>44510</v>
      </c>
      <c r="I46" s="174"/>
      <c r="J46" s="81">
        <f t="shared" si="0"/>
        <v>751.43</v>
      </c>
      <c r="K46" s="80"/>
      <c r="L46" s="186">
        <f t="shared" ref="L46:L64" si="17">+G46-K46</f>
        <v>745.79427499999997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44510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44510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170</v>
      </c>
      <c r="B49" s="117">
        <f>R75</f>
        <v>2986.77</v>
      </c>
      <c r="C49" s="116">
        <v>7.4999999999999997E-3</v>
      </c>
      <c r="D49" s="117">
        <f t="shared" si="18"/>
        <v>22.400774999999999</v>
      </c>
      <c r="E49" s="172">
        <v>0</v>
      </c>
      <c r="F49" s="117">
        <f t="shared" si="15"/>
        <v>0</v>
      </c>
      <c r="G49" s="117">
        <f t="shared" si="16"/>
        <v>2964.3692249999999</v>
      </c>
      <c r="H49" s="173">
        <f t="shared" si="19"/>
        <v>44510</v>
      </c>
      <c r="I49" s="176"/>
      <c r="J49" s="81">
        <f t="shared" si="0"/>
        <v>2986.77</v>
      </c>
      <c r="K49" s="80"/>
      <c r="L49" s="186">
        <f t="shared" si="17"/>
        <v>2964.3692249999999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241.98399999999998</v>
      </c>
      <c r="C50" s="116">
        <v>7.4999999999999997E-3</v>
      </c>
      <c r="D50" s="117">
        <f t="shared" si="18"/>
        <v>1.8148799999999998</v>
      </c>
      <c r="E50" s="172">
        <v>0</v>
      </c>
      <c r="F50" s="117">
        <f t="shared" si="15"/>
        <v>0</v>
      </c>
      <c r="G50" s="117">
        <f t="shared" si="16"/>
        <v>240.16911999999999</v>
      </c>
      <c r="H50" s="173">
        <f t="shared" si="19"/>
        <v>44510</v>
      </c>
      <c r="I50" s="175"/>
      <c r="J50" s="81">
        <f t="shared" si="0"/>
        <v>241.98399999999998</v>
      </c>
      <c r="K50" s="80"/>
      <c r="L50" s="186">
        <f t="shared" si="17"/>
        <v>240.16911999999999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553.86</v>
      </c>
      <c r="C51" s="116">
        <v>1.4999999999999999E-2</v>
      </c>
      <c r="D51" s="117">
        <f>+B51*C51</f>
        <v>8.3079000000000001</v>
      </c>
      <c r="E51" s="172">
        <v>0</v>
      </c>
      <c r="F51" s="117">
        <f>D51*E51</f>
        <v>0</v>
      </c>
      <c r="G51" s="117">
        <f t="shared" si="16"/>
        <v>545.5521</v>
      </c>
      <c r="H51" s="173">
        <f t="shared" si="19"/>
        <v>44510</v>
      </c>
      <c r="I51" s="175"/>
      <c r="J51" s="81">
        <f t="shared" si="0"/>
        <v>553.86</v>
      </c>
      <c r="K51" s="80"/>
      <c r="L51" s="186">
        <f t="shared" si="17"/>
        <v>545.5521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44510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>(B53/E$10)*E53</f>
        <v>0</v>
      </c>
      <c r="G53" s="117">
        <f>B53-D53-F53</f>
        <v>0</v>
      </c>
      <c r="H53" s="188">
        <f t="shared" si="19"/>
        <v>44510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ref="F54:F56" si="21">(B54/E$10)*E54</f>
        <v>0</v>
      </c>
      <c r="G54" s="117">
        <f t="shared" ref="G54:G58" si="22">B54-D54-F54</f>
        <v>0</v>
      </c>
      <c r="H54" s="173">
        <f t="shared" si="19"/>
        <v>44510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44510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44510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44512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44514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44539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38.159279999999995</v>
      </c>
      <c r="E61" s="177"/>
      <c r="F61" s="57">
        <f>SUM(F46:F58)</f>
        <v>0</v>
      </c>
      <c r="G61" s="57">
        <f>SUM(G46:G58)</f>
        <v>4495.88472</v>
      </c>
      <c r="H61" s="173">
        <f t="shared" si="19"/>
        <v>44510</v>
      </c>
      <c r="I61" s="175"/>
      <c r="J61" s="81">
        <f t="shared" si="0"/>
        <v>0</v>
      </c>
      <c r="K61" s="80"/>
      <c r="L61" s="186">
        <f t="shared" si="17"/>
        <v>4495.88472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44510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2" t="s">
        <v>109</v>
      </c>
      <c r="O63" s="282"/>
      <c r="P63" s="282"/>
      <c r="Q63" s="28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8991.76944</v>
      </c>
      <c r="H64" s="184"/>
      <c r="I64" s="175"/>
      <c r="J64" s="81">
        <f t="shared" si="0"/>
        <v>0</v>
      </c>
      <c r="K64" s="80"/>
      <c r="L64" s="186">
        <f t="shared" si="17"/>
        <v>8991.76944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8140.0440000000008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9" t="s">
        <v>20</v>
      </c>
      <c r="B67" s="300"/>
      <c r="F67" s="301" t="s">
        <v>136</v>
      </c>
      <c r="G67" s="301"/>
      <c r="H67" s="301"/>
      <c r="I67" s="302" t="s">
        <v>138</v>
      </c>
      <c r="J67" s="303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8109.69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8109.69</v>
      </c>
      <c r="C69" s="59"/>
      <c r="F69" s="87" t="s">
        <v>129</v>
      </c>
      <c r="G69" s="22"/>
      <c r="H69" s="89"/>
      <c r="I69" s="136"/>
      <c r="J69" s="136">
        <f>K52</f>
        <v>0</v>
      </c>
      <c r="N69" s="282" t="s">
        <v>110</v>
      </c>
      <c r="O69" s="282"/>
      <c r="P69" s="283"/>
      <c r="Q69" s="28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B68-B67</f>
        <v>8109.69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189</v>
      </c>
      <c r="P70" s="87"/>
      <c r="Q70" s="87">
        <v>363</v>
      </c>
      <c r="R70" s="137">
        <v>710.52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5.3289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705.19110000000001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30.354000000001179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189</v>
      </c>
      <c r="P71" s="87"/>
      <c r="Q71" s="87">
        <v>457</v>
      </c>
      <c r="R71" s="137">
        <v>417.96</v>
      </c>
      <c r="S71" s="87"/>
      <c r="T71" s="87"/>
      <c r="U71" s="189">
        <f t="shared" si="34"/>
        <v>0</v>
      </c>
      <c r="V71" s="189">
        <f t="shared" si="35"/>
        <v>3.1346999999999996</v>
      </c>
      <c r="W71" s="189">
        <f t="shared" si="36"/>
        <v>0</v>
      </c>
      <c r="X71" s="189">
        <f t="shared" si="37"/>
        <v>0</v>
      </c>
      <c r="Y71" s="189">
        <f t="shared" si="38"/>
        <v>414.82529999999997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189</v>
      </c>
      <c r="P72" s="87"/>
      <c r="Q72" s="87">
        <v>458</v>
      </c>
      <c r="R72" s="137">
        <v>659.5</v>
      </c>
      <c r="S72" s="87"/>
      <c r="T72" s="87"/>
      <c r="U72" s="189">
        <f t="shared" si="34"/>
        <v>0</v>
      </c>
      <c r="V72" s="189">
        <f t="shared" si="35"/>
        <v>4.94625</v>
      </c>
      <c r="W72" s="189">
        <f t="shared" si="36"/>
        <v>0</v>
      </c>
      <c r="X72" s="189">
        <f t="shared" si="37"/>
        <v>0</v>
      </c>
      <c r="Y72" s="189">
        <f t="shared" si="38"/>
        <v>654.55375000000004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186</v>
      </c>
      <c r="P73" s="87"/>
      <c r="Q73" s="87">
        <v>381</v>
      </c>
      <c r="R73" s="137">
        <v>666.88</v>
      </c>
      <c r="S73" s="87"/>
      <c r="T73" s="87"/>
      <c r="U73" s="189">
        <f t="shared" si="34"/>
        <v>0</v>
      </c>
      <c r="V73" s="189">
        <f t="shared" si="35"/>
        <v>5.0015999999999998</v>
      </c>
      <c r="W73" s="189">
        <f t="shared" si="36"/>
        <v>0</v>
      </c>
      <c r="X73" s="189">
        <f t="shared" si="37"/>
        <v>0</v>
      </c>
      <c r="Y73" s="189">
        <f t="shared" si="38"/>
        <v>661.87839999999994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186</v>
      </c>
      <c r="P74" s="87"/>
      <c r="Q74" s="87">
        <v>382</v>
      </c>
      <c r="R74" s="137">
        <v>531.91</v>
      </c>
      <c r="S74" s="87"/>
      <c r="T74" s="137"/>
      <c r="U74" s="189">
        <f t="shared" si="34"/>
        <v>0</v>
      </c>
      <c r="V74" s="189">
        <f t="shared" si="35"/>
        <v>3.9893249999999996</v>
      </c>
      <c r="W74" s="189">
        <f t="shared" si="36"/>
        <v>0</v>
      </c>
      <c r="X74" s="189">
        <f t="shared" si="37"/>
        <v>0</v>
      </c>
      <c r="Y74" s="189">
        <f t="shared" si="38"/>
        <v>527.92067499999996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2" t="s">
        <v>128</v>
      </c>
      <c r="O75" s="282"/>
      <c r="P75" s="283"/>
      <c r="Q75" s="283"/>
      <c r="R75" s="192">
        <f>SUM(R70:R74)</f>
        <v>2986.77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22.400774999999999</v>
      </c>
      <c r="W75" s="192">
        <f t="shared" si="41"/>
        <v>0</v>
      </c>
      <c r="X75" s="192">
        <f t="shared" si="41"/>
        <v>0</v>
      </c>
      <c r="Y75" s="192">
        <f t="shared" si="41"/>
        <v>2964.3692249999999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4" t="s">
        <v>73</v>
      </c>
      <c r="O76" s="286" t="s">
        <v>67</v>
      </c>
      <c r="P76" s="282" t="s">
        <v>62</v>
      </c>
      <c r="Q76" s="282"/>
      <c r="R76" s="282"/>
      <c r="S76" s="282"/>
      <c r="T76" s="282"/>
      <c r="U76" s="288" t="s">
        <v>68</v>
      </c>
      <c r="V76" s="289"/>
      <c r="W76" s="289"/>
      <c r="X76" s="289"/>
      <c r="Y76" s="290"/>
      <c r="Z76" s="279" t="s">
        <v>54</v>
      </c>
      <c r="AA76" s="279" t="s">
        <v>64</v>
      </c>
      <c r="AB76" s="279" t="s">
        <v>124</v>
      </c>
      <c r="AC76" s="280" t="s">
        <v>127</v>
      </c>
      <c r="AD76" s="281" t="s">
        <v>65</v>
      </c>
    </row>
    <row r="77" spans="1:30" ht="60" x14ac:dyDescent="0.25">
      <c r="F77" s="291" t="s">
        <v>140</v>
      </c>
      <c r="G77" s="292"/>
      <c r="H77" s="141" t="s">
        <v>142</v>
      </c>
      <c r="N77" s="285"/>
      <c r="O77" s="287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79"/>
      <c r="AA77" s="279"/>
      <c r="AB77" s="279"/>
      <c r="AC77" s="280" t="s">
        <v>127</v>
      </c>
      <c r="AD77" s="281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>
        <f>46.63+4.86</f>
        <v>51.49</v>
      </c>
      <c r="R78" s="82">
        <v>7.4999999999999997E-3</v>
      </c>
      <c r="S78" s="216">
        <f>+(P78+Q78)*R78</f>
        <v>0.38617499999999999</v>
      </c>
      <c r="T78" s="213">
        <f>+(P78+Q78)-S78</f>
        <v>51.103825000000001</v>
      </c>
      <c r="U78" s="211">
        <f>146.31</f>
        <v>146.31</v>
      </c>
      <c r="V78" s="112"/>
      <c r="W78" s="113">
        <v>1.4999999999999999E-2</v>
      </c>
      <c r="X78" s="196">
        <f>+(U78+V78)*W78</f>
        <v>2.1946499999999998</v>
      </c>
      <c r="Y78" s="213">
        <f>+(U78+V78)-X78</f>
        <v>144.11535000000001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/>
      <c r="Q79" s="137">
        <f>27.91+6.68+14.65</f>
        <v>49.24</v>
      </c>
      <c r="R79" s="82">
        <v>7.4999999999999997E-3</v>
      </c>
      <c r="S79" s="216">
        <f t="shared" ref="S79:S97" si="43">+(P79+Q79)*R79</f>
        <v>0.36930000000000002</v>
      </c>
      <c r="T79" s="213">
        <f t="shared" ref="T79:T97" si="44">+(P79+Q79)-S79</f>
        <v>48.870699999999999</v>
      </c>
      <c r="U79" s="211">
        <f>32.09+94.97</f>
        <v>127.06</v>
      </c>
      <c r="V79" s="112"/>
      <c r="W79" s="113">
        <v>1.4999999999999999E-2</v>
      </c>
      <c r="X79" s="196">
        <f t="shared" ref="X79:X97" si="45">+(U79+V79)*W79</f>
        <v>1.9058999999999999</v>
      </c>
      <c r="Y79" s="213">
        <f t="shared" ref="Y79:Y97" si="46">+(U79+V79)-X79</f>
        <v>125.1541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>
        <f>44.454+96.13+0.67</f>
        <v>141.25399999999999</v>
      </c>
      <c r="R80" s="82">
        <v>7.4999999999999997E-3</v>
      </c>
      <c r="S80" s="216">
        <f t="shared" si="43"/>
        <v>1.0594049999999999</v>
      </c>
      <c r="T80" s="238">
        <f t="shared" si="44"/>
        <v>140.19459499999999</v>
      </c>
      <c r="U80" s="211">
        <f>60.98+219.51</f>
        <v>280.49</v>
      </c>
      <c r="V80" s="112"/>
      <c r="W80" s="113">
        <v>1.4999999999999999E-2</v>
      </c>
      <c r="X80" s="196">
        <f t="shared" si="45"/>
        <v>4.2073499999999999</v>
      </c>
      <c r="Y80" s="238">
        <f t="shared" si="46"/>
        <v>276.28264999999999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216">
        <f t="shared" si="43"/>
        <v>0</v>
      </c>
      <c r="T81" s="238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38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216">
        <f t="shared" si="43"/>
        <v>0</v>
      </c>
      <c r="T82" s="213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3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216">
        <f t="shared" si="43"/>
        <v>0</v>
      </c>
      <c r="T83" s="213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3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216">
        <f t="shared" si="43"/>
        <v>0</v>
      </c>
      <c r="T84" s="219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216">
        <f t="shared" si="43"/>
        <v>0</v>
      </c>
      <c r="T85" s="216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216">
        <f t="shared" si="43"/>
        <v>0</v>
      </c>
      <c r="T86" s="216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137"/>
      <c r="R87" s="82">
        <v>7.4999999999999997E-3</v>
      </c>
      <c r="S87" s="194">
        <f t="shared" si="43"/>
        <v>0</v>
      </c>
      <c r="T87" s="216">
        <f t="shared" si="44"/>
        <v>0</v>
      </c>
      <c r="U87" s="211"/>
      <c r="V87" s="112"/>
      <c r="W87" s="113">
        <v>1.4999999999999999E-2</v>
      </c>
      <c r="X87" s="196">
        <f t="shared" si="45"/>
        <v>0</v>
      </c>
      <c r="Y87" s="217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137"/>
      <c r="R88" s="82">
        <v>7.4999999999999997E-3</v>
      </c>
      <c r="S88" s="194">
        <f t="shared" si="43"/>
        <v>0</v>
      </c>
      <c r="T88" s="216">
        <f t="shared" si="44"/>
        <v>0</v>
      </c>
      <c r="U88" s="211"/>
      <c r="V88" s="112"/>
      <c r="W88" s="113">
        <v>1.4999999999999999E-2</v>
      </c>
      <c r="X88" s="196">
        <f t="shared" si="45"/>
        <v>0</v>
      </c>
      <c r="Y88" s="217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137"/>
      <c r="R89" s="82">
        <v>7.4999999999999997E-3</v>
      </c>
      <c r="S89" s="194">
        <f t="shared" si="43"/>
        <v>0</v>
      </c>
      <c r="T89" s="216">
        <f t="shared" si="44"/>
        <v>0</v>
      </c>
      <c r="U89" s="211"/>
      <c r="V89" s="112"/>
      <c r="W89" s="113">
        <v>1.4999999999999999E-2</v>
      </c>
      <c r="X89" s="196">
        <f t="shared" si="45"/>
        <v>0</v>
      </c>
      <c r="Y89" s="217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137"/>
      <c r="R90" s="82">
        <v>7.4999999999999997E-3</v>
      </c>
      <c r="S90" s="194">
        <f t="shared" si="43"/>
        <v>0</v>
      </c>
      <c r="T90" s="216">
        <f t="shared" si="44"/>
        <v>0</v>
      </c>
      <c r="U90" s="211"/>
      <c r="V90" s="112"/>
      <c r="W90" s="113">
        <v>1.4999999999999999E-2</v>
      </c>
      <c r="X90" s="196">
        <f t="shared" si="45"/>
        <v>0</v>
      </c>
      <c r="Y90" s="217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222"/>
      <c r="R92" s="82">
        <v>7.4999999999999997E-3</v>
      </c>
      <c r="S92" s="194">
        <f t="shared" si="43"/>
        <v>0</v>
      </c>
      <c r="T92" s="216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222"/>
      <c r="R93" s="82">
        <v>7.4999999999999997E-3</v>
      </c>
      <c r="S93" s="194">
        <f t="shared" si="43"/>
        <v>0</v>
      </c>
      <c r="T93" s="216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211"/>
      <c r="V94" s="112"/>
      <c r="W94" s="113">
        <v>1.4999999999999999E-2</v>
      </c>
      <c r="X94" s="196">
        <f t="shared" si="45"/>
        <v>0</v>
      </c>
      <c r="Y94" s="217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137"/>
      <c r="R95" s="82">
        <v>7.4999999999999997E-3</v>
      </c>
      <c r="S95" s="194">
        <f t="shared" si="43"/>
        <v>0</v>
      </c>
      <c r="T95" s="216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241.98399999999998</v>
      </c>
      <c r="R98" s="111"/>
      <c r="S98" s="195">
        <f>SUM(S78:S97)</f>
        <v>1.81488</v>
      </c>
      <c r="T98" s="195">
        <f>SUM(T78:T97)</f>
        <v>240.16911999999999</v>
      </c>
      <c r="U98" s="114">
        <f>SUM(U78:U97)</f>
        <v>553.86</v>
      </c>
      <c r="V98" s="114">
        <f>SUM(V78:V97)</f>
        <v>0</v>
      </c>
      <c r="W98" s="112"/>
      <c r="X98" s="197">
        <f>SUM(X78:X97)</f>
        <v>8.3079000000000001</v>
      </c>
      <c r="Y98" s="197">
        <f>SUM(Y78:Y97)</f>
        <v>545.5521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</row>
    <row r="103" spans="14:30" x14ac:dyDescent="0.25">
      <c r="N103" s="85"/>
    </row>
    <row r="104" spans="14:30" x14ac:dyDescent="0.25">
      <c r="N104" s="85"/>
      <c r="Q104" s="215">
        <f>P78+U78+Q78</f>
        <v>197.8</v>
      </c>
    </row>
    <row r="105" spans="14:30" x14ac:dyDescent="0.25">
      <c r="N105" s="85"/>
      <c r="Q105" s="215">
        <f>P79+Q79+U79</f>
        <v>176.3</v>
      </c>
    </row>
    <row r="106" spans="14:30" x14ac:dyDescent="0.25">
      <c r="N106" s="85"/>
      <c r="Q106" s="215">
        <f>P80+Q80+U80</f>
        <v>421.74400000000003</v>
      </c>
    </row>
    <row r="107" spans="14:30" x14ac:dyDescent="0.25">
      <c r="N107" s="85"/>
      <c r="Q107" s="215">
        <f>P81+Q81+U81</f>
        <v>0</v>
      </c>
    </row>
    <row r="108" spans="14:30" x14ac:dyDescent="0.25">
      <c r="N108" s="85"/>
      <c r="Q108" s="215">
        <f>P82+Q82+U82</f>
        <v>0</v>
      </c>
    </row>
    <row r="109" spans="14:30" x14ac:dyDescent="0.25">
      <c r="N109" s="85"/>
      <c r="Q109" s="215">
        <f>P83+Q83+U83</f>
        <v>0</v>
      </c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45" priority="1" operator="greaterThan">
      <formula>0</formula>
    </cfRule>
    <cfRule type="cellIs" dxfId="4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28" zoomScale="90" zoomScaleNormal="90" workbookViewId="0">
      <selection activeCell="G52" sqref="G52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4.85546875" style="85" customWidth="1"/>
    <col min="16" max="17" width="17" style="85" customWidth="1"/>
    <col min="18" max="18" width="18.140625" style="85" customWidth="1"/>
    <col min="19" max="19" width="15.8554687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59"/>
      <c r="B1" s="296"/>
      <c r="C1" s="296"/>
      <c r="D1" s="296"/>
      <c r="E1" s="296"/>
      <c r="F1" s="296"/>
      <c r="G1" s="296"/>
      <c r="H1" s="296"/>
      <c r="M1" s="76"/>
      <c r="N1" s="71"/>
    </row>
    <row r="2" spans="1:28" s="84" customFormat="1" ht="16.5" customHeight="1" x14ac:dyDescent="0.35">
      <c r="A2" s="259"/>
      <c r="B2" s="296" t="s">
        <v>12</v>
      </c>
      <c r="C2" s="296"/>
      <c r="D2" s="296"/>
      <c r="E2" s="296"/>
      <c r="F2" s="296"/>
      <c r="G2" s="296"/>
      <c r="H2" s="296"/>
      <c r="M2" s="76"/>
      <c r="N2" s="71"/>
    </row>
    <row r="3" spans="1:28" s="84" customFormat="1" ht="21.75" customHeight="1" x14ac:dyDescent="0.25">
      <c r="A3" s="259"/>
      <c r="B3" s="297" t="s">
        <v>21</v>
      </c>
      <c r="C3" s="297"/>
      <c r="D3" s="297"/>
      <c r="E3" s="297"/>
      <c r="F3" s="297"/>
      <c r="G3" s="297"/>
      <c r="H3" s="297"/>
      <c r="M3" s="76"/>
      <c r="N3" s="71"/>
    </row>
    <row r="4" spans="1:28" x14ac:dyDescent="0.25">
      <c r="B4" s="298" t="s">
        <v>188</v>
      </c>
      <c r="C4" s="298"/>
      <c r="D4" s="298"/>
      <c r="E4" s="298"/>
      <c r="F4" s="298"/>
      <c r="G4" s="298"/>
      <c r="H4" s="298"/>
    </row>
    <row r="6" spans="1:28" x14ac:dyDescent="0.25">
      <c r="A6" s="7" t="s">
        <v>22</v>
      </c>
      <c r="B6" s="72">
        <v>44479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4.16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553.4</v>
      </c>
      <c r="C12" s="15"/>
      <c r="D12" s="56"/>
      <c r="E12" s="16"/>
      <c r="F12" s="56"/>
      <c r="G12" s="56"/>
      <c r="H12" s="17"/>
      <c r="I12" s="83"/>
      <c r="J12" s="81">
        <f>B12-I12</f>
        <v>553.4</v>
      </c>
      <c r="K12" s="75"/>
      <c r="L12" s="186">
        <f>+G12-K12</f>
        <v>0</v>
      </c>
      <c r="M12" s="106"/>
      <c r="N12" s="104">
        <v>1</v>
      </c>
      <c r="O12" s="152" t="s">
        <v>187</v>
      </c>
      <c r="P12" s="153">
        <v>123</v>
      </c>
      <c r="Q12" s="153">
        <v>7</v>
      </c>
      <c r="R12" s="154">
        <v>803.53</v>
      </c>
      <c r="S12" s="155"/>
      <c r="T12" s="155">
        <v>74.239999999999995</v>
      </c>
      <c r="U12" s="189">
        <f>((T12/U$10)*U$9)</f>
        <v>3.2</v>
      </c>
      <c r="V12" s="189">
        <f>R12*V$10</f>
        <v>6.0264749999999996</v>
      </c>
      <c r="W12" s="189">
        <f>+S12*V$10</f>
        <v>0</v>
      </c>
      <c r="X12" s="189">
        <f>+T12*X$10</f>
        <v>1.8559999999999999</v>
      </c>
      <c r="Y12" s="189">
        <f>R12-V12</f>
        <v>797.50352499999997</v>
      </c>
      <c r="Z12" s="189">
        <f>S12-W12</f>
        <v>0</v>
      </c>
      <c r="AA12" s="189">
        <f>T12-U12-X12</f>
        <v>69.183999999999997</v>
      </c>
      <c r="AB12" s="156"/>
    </row>
    <row r="13" spans="1:28" ht="15.75" x14ac:dyDescent="0.25">
      <c r="A13" s="86" t="s">
        <v>76</v>
      </c>
      <c r="B13" s="89">
        <v>1538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1538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>
        <v>124</v>
      </c>
      <c r="Q13" s="153">
        <v>7</v>
      </c>
      <c r="R13" s="154">
        <v>131.49</v>
      </c>
      <c r="S13" s="155"/>
      <c r="T13" s="157">
        <v>49.01</v>
      </c>
      <c r="U13" s="189">
        <f t="shared" ref="U13:U41" si="2">((T13/U$10)*U$9)</f>
        <v>2.1125000000000003</v>
      </c>
      <c r="V13" s="189">
        <f t="shared" ref="V13:V41" si="3">R13*V$10</f>
        <v>0.98617500000000002</v>
      </c>
      <c r="W13" s="189">
        <f t="shared" ref="W13:W41" si="4">+S13*V$10</f>
        <v>0</v>
      </c>
      <c r="X13" s="189">
        <f t="shared" ref="X13:X41" si="5">+T13*X$10</f>
        <v>1.22525</v>
      </c>
      <c r="Y13" s="189">
        <f t="shared" ref="Y13:Z41" si="6">R13-V13</f>
        <v>130.50382500000001</v>
      </c>
      <c r="Z13" s="189">
        <f t="shared" si="6"/>
        <v>0</v>
      </c>
      <c r="AA13" s="189">
        <f t="shared" ref="AA13:AA41" si="7">T13-U13-X13</f>
        <v>45.672249999999998</v>
      </c>
      <c r="AB13" s="156"/>
    </row>
    <row r="14" spans="1:28" ht="15.75" x14ac:dyDescent="0.25">
      <c r="A14" s="86" t="s">
        <v>83</v>
      </c>
      <c r="B14" s="57">
        <f>B13*B8</f>
        <v>6398.08</v>
      </c>
      <c r="C14" s="15"/>
      <c r="D14" s="56"/>
      <c r="E14" s="16"/>
      <c r="F14" s="56"/>
      <c r="G14" s="56"/>
      <c r="H14" s="17"/>
      <c r="I14" s="83"/>
      <c r="J14" s="81">
        <f t="shared" si="0"/>
        <v>6398.08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1538</v>
      </c>
      <c r="C19" s="95"/>
      <c r="D19" s="94"/>
      <c r="E19" s="96"/>
      <c r="F19" s="94"/>
      <c r="G19" s="94"/>
      <c r="H19" s="98"/>
      <c r="I19" s="99"/>
      <c r="J19" s="185">
        <f>B19-I19</f>
        <v>1538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6398.08</v>
      </c>
      <c r="C20" s="95"/>
      <c r="D20" s="94"/>
      <c r="E20" s="96"/>
      <c r="F20" s="94"/>
      <c r="G20" s="94"/>
      <c r="H20" s="98"/>
      <c r="I20" s="99"/>
      <c r="J20" s="185">
        <f t="shared" si="0"/>
        <v>6398.08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3" t="s">
        <v>107</v>
      </c>
      <c r="O42" s="294"/>
      <c r="P42" s="294"/>
      <c r="Q42" s="295"/>
      <c r="R42" s="190">
        <f t="shared" ref="R42:AA42" si="8">SUM(R12:R41)</f>
        <v>935.02</v>
      </c>
      <c r="S42" s="190">
        <f t="shared" si="8"/>
        <v>0</v>
      </c>
      <c r="T42" s="190">
        <f t="shared" si="8"/>
        <v>123.25</v>
      </c>
      <c r="U42" s="190">
        <f t="shared" si="8"/>
        <v>5.3125</v>
      </c>
      <c r="V42" s="190">
        <f t="shared" si="8"/>
        <v>7.0126499999999998</v>
      </c>
      <c r="W42" s="190">
        <f t="shared" si="8"/>
        <v>0</v>
      </c>
      <c r="X42" s="190">
        <f t="shared" si="8"/>
        <v>3.0812499999999998</v>
      </c>
      <c r="Y42" s="190">
        <f t="shared" si="8"/>
        <v>928.00734999999997</v>
      </c>
      <c r="Z42" s="190">
        <f t="shared" si="8"/>
        <v>0</v>
      </c>
      <c r="AA42" s="190">
        <f t="shared" si="8"/>
        <v>114.85624999999999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935.02</v>
      </c>
      <c r="C46" s="116">
        <v>7.4999999999999997E-3</v>
      </c>
      <c r="D46" s="117">
        <f>B46*C46</f>
        <v>7.0126499999999998</v>
      </c>
      <c r="E46" s="172">
        <v>0</v>
      </c>
      <c r="F46" s="117">
        <f t="shared" ref="F46:F50" si="15">D46*E46</f>
        <v>0</v>
      </c>
      <c r="G46" s="117">
        <f t="shared" ref="G46:G51" si="16">B46-D46-F46</f>
        <v>928.00734999999997</v>
      </c>
      <c r="H46" s="173">
        <f>B$6+1</f>
        <v>44480</v>
      </c>
      <c r="I46" s="174"/>
      <c r="J46" s="81">
        <f t="shared" si="0"/>
        <v>935.02</v>
      </c>
      <c r="K46" s="80"/>
      <c r="L46" s="186">
        <f>K46-G46</f>
        <v>-928.00734999999997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44480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44480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170</v>
      </c>
      <c r="B49" s="117">
        <f>R75</f>
        <v>3555.9599999999996</v>
      </c>
      <c r="C49" s="116">
        <v>7.4999999999999997E-3</v>
      </c>
      <c r="D49" s="117">
        <f t="shared" si="17"/>
        <v>26.669699999999995</v>
      </c>
      <c r="E49" s="172">
        <v>0</v>
      </c>
      <c r="F49" s="117">
        <f t="shared" si="15"/>
        <v>0</v>
      </c>
      <c r="G49" s="117">
        <f t="shared" si="16"/>
        <v>3529.2902999999997</v>
      </c>
      <c r="H49" s="173">
        <f t="shared" si="19"/>
        <v>44480</v>
      </c>
      <c r="I49" s="176"/>
      <c r="J49" s="81">
        <f t="shared" si="0"/>
        <v>3555.9599999999996</v>
      </c>
      <c r="K49" s="80"/>
      <c r="L49" s="186">
        <f t="shared" si="18"/>
        <v>3529.2902999999997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260.93</v>
      </c>
      <c r="C50" s="116">
        <v>7.4999999999999997E-3</v>
      </c>
      <c r="D50" s="117">
        <f t="shared" si="17"/>
        <v>1.9569749999999999</v>
      </c>
      <c r="E50" s="172">
        <v>0</v>
      </c>
      <c r="F50" s="117">
        <f t="shared" si="15"/>
        <v>0</v>
      </c>
      <c r="G50" s="117">
        <f t="shared" si="16"/>
        <v>258.97302500000001</v>
      </c>
      <c r="H50" s="173">
        <f t="shared" si="19"/>
        <v>44480</v>
      </c>
      <c r="I50" s="175"/>
      <c r="J50" s="81">
        <f t="shared" si="0"/>
        <v>260.93</v>
      </c>
      <c r="K50" s="80"/>
      <c r="L50" s="186">
        <f t="shared" si="18"/>
        <v>258.97302500000001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125.16999999999999</v>
      </c>
      <c r="C51" s="116">
        <v>1.4999999999999999E-2</v>
      </c>
      <c r="D51" s="117">
        <f>+B51*C51</f>
        <v>1.8775499999999998</v>
      </c>
      <c r="E51" s="172">
        <v>0</v>
      </c>
      <c r="F51" s="117">
        <f>D51*E51</f>
        <v>0</v>
      </c>
      <c r="G51" s="117">
        <f t="shared" si="16"/>
        <v>123.29244999999999</v>
      </c>
      <c r="H51" s="173">
        <f t="shared" si="19"/>
        <v>44480</v>
      </c>
      <c r="I51" s="175"/>
      <c r="J51" s="81">
        <f t="shared" si="0"/>
        <v>125.16999999999999</v>
      </c>
      <c r="K51" s="80"/>
      <c r="L51" s="186">
        <f t="shared" si="18"/>
        <v>123.29244999999999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123.25</v>
      </c>
      <c r="C52" s="116">
        <v>2.5000000000000001E-2</v>
      </c>
      <c r="D52" s="117">
        <f>B52*C52</f>
        <v>3.0812500000000003</v>
      </c>
      <c r="E52" s="172">
        <v>0.05</v>
      </c>
      <c r="F52" s="117">
        <f>(B52/E$10)*E52</f>
        <v>5.3125000000000009</v>
      </c>
      <c r="G52" s="117">
        <f>B52-D52-F52</f>
        <v>114.85625</v>
      </c>
      <c r="H52" s="188">
        <f t="shared" si="19"/>
        <v>44480</v>
      </c>
      <c r="I52" s="176"/>
      <c r="J52" s="81">
        <f t="shared" si="0"/>
        <v>123.25</v>
      </c>
      <c r="K52" s="80"/>
      <c r="L52" s="186">
        <f>K52-G52</f>
        <v>-114.85625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44480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44480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44480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17.57</v>
      </c>
      <c r="C56" s="116">
        <v>2.5000000000000001E-2</v>
      </c>
      <c r="D56" s="117">
        <f t="shared" si="20"/>
        <v>0.43925000000000003</v>
      </c>
      <c r="E56" s="172">
        <v>0.05</v>
      </c>
      <c r="F56" s="117">
        <f t="shared" si="21"/>
        <v>0.75732758620689666</v>
      </c>
      <c r="G56" s="117">
        <f t="shared" si="22"/>
        <v>16.373422413793101</v>
      </c>
      <c r="H56" s="173">
        <f t="shared" si="19"/>
        <v>44480</v>
      </c>
      <c r="I56" s="176"/>
      <c r="J56" s="81">
        <f t="shared" si="0"/>
        <v>17.57</v>
      </c>
      <c r="K56" s="80"/>
      <c r="L56" s="186">
        <f t="shared" si="18"/>
        <v>16.373422413793101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44482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44484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44509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41.03737499999999</v>
      </c>
      <c r="E61" s="177"/>
      <c r="F61" s="57">
        <f>SUM(F46:F58)</f>
        <v>6.0698275862068973</v>
      </c>
      <c r="G61" s="57">
        <f>SUM(G46:G58)</f>
        <v>4970.7927974137929</v>
      </c>
      <c r="H61" s="173">
        <f t="shared" si="19"/>
        <v>44480</v>
      </c>
      <c r="I61" s="175"/>
      <c r="J61" s="81">
        <f t="shared" si="0"/>
        <v>0</v>
      </c>
      <c r="K61" s="80"/>
      <c r="L61" s="186">
        <f t="shared" si="18"/>
        <v>4970.7927974137929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44480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2" t="s">
        <v>109</v>
      </c>
      <c r="O63" s="282"/>
      <c r="P63" s="282"/>
      <c r="Q63" s="28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9941.5855948275857</v>
      </c>
      <c r="H64" s="184"/>
      <c r="I64" s="175"/>
      <c r="J64" s="81">
        <f t="shared" si="0"/>
        <v>0</v>
      </c>
      <c r="K64" s="80"/>
      <c r="L64" s="186">
        <f t="shared" si="18"/>
        <v>9941.5855948275857</v>
      </c>
      <c r="M64" s="130"/>
      <c r="N64" s="87">
        <v>1</v>
      </c>
      <c r="O64" s="122" t="s">
        <v>169</v>
      </c>
      <c r="P64" s="87"/>
      <c r="Q64" s="87"/>
      <c r="R64" s="13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11969.38</v>
      </c>
      <c r="G65" s="22"/>
      <c r="L65" s="132"/>
      <c r="M65" s="131"/>
      <c r="N65" s="87">
        <v>2</v>
      </c>
      <c r="O65" s="122" t="s">
        <v>169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169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9" t="s">
        <v>20</v>
      </c>
      <c r="B67" s="300"/>
      <c r="F67" s="301" t="s">
        <v>136</v>
      </c>
      <c r="G67" s="301"/>
      <c r="H67" s="301"/>
      <c r="I67" s="302" t="s">
        <v>138</v>
      </c>
      <c r="J67" s="303"/>
      <c r="K67" s="138"/>
      <c r="N67" s="87">
        <v>4</v>
      </c>
      <c r="O67" s="122" t="s">
        <v>169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11944.38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169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11944.38</v>
      </c>
      <c r="C69" s="59"/>
      <c r="F69" s="87" t="s">
        <v>129</v>
      </c>
      <c r="G69" s="22"/>
      <c r="H69" s="89"/>
      <c r="I69" s="136"/>
      <c r="J69" s="136"/>
      <c r="N69" s="282" t="s">
        <v>110</v>
      </c>
      <c r="O69" s="282"/>
      <c r="P69" s="283"/>
      <c r="Q69" s="28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B68-B67</f>
        <v>11944.38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185</v>
      </c>
      <c r="P70" s="87">
        <v>310</v>
      </c>
      <c r="Q70" s="87">
        <v>2003</v>
      </c>
      <c r="R70" s="239">
        <v>796.2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5.9714999999999998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790.22850000000005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25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185</v>
      </c>
      <c r="P71" s="87" t="s">
        <v>216</v>
      </c>
      <c r="Q71" s="87">
        <v>2003</v>
      </c>
      <c r="R71" s="239">
        <f>748.76+262.31</f>
        <v>1011.0699999999999</v>
      </c>
      <c r="S71" s="87"/>
      <c r="T71" s="87"/>
      <c r="U71" s="189">
        <f t="shared" si="34"/>
        <v>0</v>
      </c>
      <c r="V71" s="189">
        <f t="shared" si="35"/>
        <v>7.5830249999999992</v>
      </c>
      <c r="W71" s="189">
        <f t="shared" si="36"/>
        <v>0</v>
      </c>
      <c r="X71" s="189">
        <f t="shared" si="37"/>
        <v>0</v>
      </c>
      <c r="Y71" s="189">
        <f t="shared" si="38"/>
        <v>1003.4869749999999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185</v>
      </c>
      <c r="P72" s="87" t="s">
        <v>215</v>
      </c>
      <c r="Q72" s="87">
        <v>2002</v>
      </c>
      <c r="R72" s="239">
        <v>339.95</v>
      </c>
      <c r="S72" s="87"/>
      <c r="T72" s="244">
        <v>10.19</v>
      </c>
      <c r="U72" s="189">
        <f t="shared" si="34"/>
        <v>0.43922413793103454</v>
      </c>
      <c r="V72" s="189">
        <f t="shared" si="35"/>
        <v>2.5496249999999998</v>
      </c>
      <c r="W72" s="189">
        <f t="shared" si="36"/>
        <v>0</v>
      </c>
      <c r="X72" s="189">
        <f t="shared" si="37"/>
        <v>0.25474999999999998</v>
      </c>
      <c r="Y72" s="189">
        <f t="shared" si="38"/>
        <v>337.400375</v>
      </c>
      <c r="Z72" s="189">
        <f t="shared" si="38"/>
        <v>0</v>
      </c>
      <c r="AA72" s="189">
        <f t="shared" si="39"/>
        <v>9.496025862068965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186</v>
      </c>
      <c r="P73" s="87" t="s">
        <v>213</v>
      </c>
      <c r="Q73" s="87">
        <v>1002</v>
      </c>
      <c r="R73" s="239">
        <v>1020.79</v>
      </c>
      <c r="S73" s="87"/>
      <c r="T73" s="87">
        <v>4.0999999999999996</v>
      </c>
      <c r="U73" s="189">
        <f t="shared" si="34"/>
        <v>0.17672413793103448</v>
      </c>
      <c r="V73" s="189">
        <f t="shared" si="35"/>
        <v>7.6559249999999999</v>
      </c>
      <c r="W73" s="189">
        <f t="shared" si="36"/>
        <v>0</v>
      </c>
      <c r="X73" s="189">
        <f t="shared" si="37"/>
        <v>0.10249999999999999</v>
      </c>
      <c r="Y73" s="189">
        <f t="shared" si="38"/>
        <v>1013.1340749999999</v>
      </c>
      <c r="Z73" s="189">
        <f t="shared" si="38"/>
        <v>0</v>
      </c>
      <c r="AA73" s="189">
        <f t="shared" si="39"/>
        <v>3.8207758620689649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186</v>
      </c>
      <c r="P74" s="87" t="s">
        <v>214</v>
      </c>
      <c r="Q74" s="87">
        <v>1002</v>
      </c>
      <c r="R74" s="239">
        <v>387.95</v>
      </c>
      <c r="S74" s="87"/>
      <c r="T74" s="244">
        <v>3.28</v>
      </c>
      <c r="U74" s="189">
        <f t="shared" si="34"/>
        <v>0.14137931034482759</v>
      </c>
      <c r="V74" s="189">
        <f t="shared" si="35"/>
        <v>2.9096249999999997</v>
      </c>
      <c r="W74" s="189">
        <f t="shared" si="36"/>
        <v>0</v>
      </c>
      <c r="X74" s="189">
        <f t="shared" si="37"/>
        <v>8.2000000000000003E-2</v>
      </c>
      <c r="Y74" s="189">
        <f t="shared" si="38"/>
        <v>385.04037499999998</v>
      </c>
      <c r="Z74" s="189">
        <f t="shared" si="38"/>
        <v>0</v>
      </c>
      <c r="AA74" s="189">
        <f t="shared" si="39"/>
        <v>3.0566206896551722</v>
      </c>
      <c r="AB74" s="87"/>
    </row>
    <row r="75" spans="1:30" ht="15.75" x14ac:dyDescent="0.25">
      <c r="N75" s="282" t="s">
        <v>128</v>
      </c>
      <c r="O75" s="282"/>
      <c r="P75" s="283"/>
      <c r="Q75" s="283"/>
      <c r="R75" s="192">
        <f>SUM(R70:R74)</f>
        <v>3555.9599999999996</v>
      </c>
      <c r="S75" s="192"/>
      <c r="T75" s="192">
        <f>SUM(T70:T74)</f>
        <v>17.57</v>
      </c>
      <c r="U75" s="192">
        <f>SUM(U70:U74)</f>
        <v>0.75732758620689666</v>
      </c>
      <c r="V75" s="192">
        <f t="shared" ref="V75:AA75" si="41">SUM(V70:V74)</f>
        <v>26.669699999999995</v>
      </c>
      <c r="W75" s="192">
        <f t="shared" si="41"/>
        <v>0</v>
      </c>
      <c r="X75" s="192">
        <f t="shared" si="41"/>
        <v>0.43924999999999997</v>
      </c>
      <c r="Y75" s="192">
        <f t="shared" si="41"/>
        <v>3529.2903000000001</v>
      </c>
      <c r="Z75" s="192">
        <f t="shared" si="41"/>
        <v>0</v>
      </c>
      <c r="AA75" s="193">
        <f t="shared" si="41"/>
        <v>16.373422413793101</v>
      </c>
      <c r="AB75" s="103"/>
    </row>
    <row r="76" spans="1:30" ht="15.75" x14ac:dyDescent="0.25">
      <c r="N76" s="284" t="s">
        <v>73</v>
      </c>
      <c r="O76" s="286" t="s">
        <v>67</v>
      </c>
      <c r="P76" s="282" t="s">
        <v>62</v>
      </c>
      <c r="Q76" s="282"/>
      <c r="R76" s="282"/>
      <c r="S76" s="282"/>
      <c r="T76" s="282"/>
      <c r="U76" s="288" t="s">
        <v>68</v>
      </c>
      <c r="V76" s="289"/>
      <c r="W76" s="289"/>
      <c r="X76" s="289"/>
      <c r="Y76" s="290"/>
      <c r="Z76" s="279" t="s">
        <v>54</v>
      </c>
      <c r="AA76" s="279" t="s">
        <v>64</v>
      </c>
      <c r="AB76" s="279" t="s">
        <v>124</v>
      </c>
      <c r="AC76" s="280" t="s">
        <v>127</v>
      </c>
      <c r="AD76" s="281" t="s">
        <v>65</v>
      </c>
    </row>
    <row r="77" spans="1:30" ht="60" x14ac:dyDescent="0.25">
      <c r="F77" s="291" t="s">
        <v>140</v>
      </c>
      <c r="G77" s="292"/>
      <c r="H77" s="141" t="s">
        <v>142</v>
      </c>
      <c r="N77" s="285"/>
      <c r="O77" s="287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79"/>
      <c r="AA77" s="279"/>
      <c r="AB77" s="279"/>
      <c r="AC77" s="280" t="s">
        <v>127</v>
      </c>
      <c r="AD77" s="281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131.65</v>
      </c>
      <c r="Q78" s="137">
        <v>34.01</v>
      </c>
      <c r="R78" s="82">
        <v>7.4999999999999997E-3</v>
      </c>
      <c r="S78" s="194">
        <f>+(P78+Q78)*R78</f>
        <v>1.2424499999999998</v>
      </c>
      <c r="T78" s="219">
        <f>+(P78+Q78)-S78</f>
        <v>164.41755000000001</v>
      </c>
      <c r="U78" s="211">
        <v>42.78</v>
      </c>
      <c r="V78" s="112"/>
      <c r="W78" s="113">
        <v>1.4999999999999999E-2</v>
      </c>
      <c r="X78" s="196">
        <f>+(U78+V78)*W78</f>
        <v>0.64170000000000005</v>
      </c>
      <c r="Y78" s="217">
        <f>+(U78+V78)-X78</f>
        <v>42.138300000000001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137">
        <v>13.81</v>
      </c>
      <c r="Q79" s="137"/>
      <c r="R79" s="82">
        <v>7.4999999999999997E-3</v>
      </c>
      <c r="S79" s="194">
        <f t="shared" ref="S79:S97" si="43">+(P79+Q79)*R79</f>
        <v>0.103575</v>
      </c>
      <c r="T79" s="219">
        <f t="shared" ref="T79:T97" si="44">+(P79+Q79)-S79</f>
        <v>13.706425000000001</v>
      </c>
      <c r="U79" s="211">
        <v>12</v>
      </c>
      <c r="V79" s="112"/>
      <c r="W79" s="113">
        <v>1.4999999999999999E-2</v>
      </c>
      <c r="X79" s="196">
        <f t="shared" ref="X79:X97" si="45">+(U79+V79)*W79</f>
        <v>0.18</v>
      </c>
      <c r="Y79" s="217">
        <f t="shared" ref="Y79:Y97" si="46">+(U79+V79)-X79</f>
        <v>11.82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18" customHeight="1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22.38</v>
      </c>
      <c r="Q80" s="137"/>
      <c r="R80" s="82">
        <v>7.4999999999999997E-3</v>
      </c>
      <c r="S80" s="194">
        <f t="shared" si="43"/>
        <v>0.16785</v>
      </c>
      <c r="T80" s="219">
        <f t="shared" si="44"/>
        <v>22.212149999999998</v>
      </c>
      <c r="U80" s="211">
        <v>55.07</v>
      </c>
      <c r="V80" s="112"/>
      <c r="W80" s="113">
        <v>1.4999999999999999E-2</v>
      </c>
      <c r="X80" s="196">
        <f t="shared" si="45"/>
        <v>0.82604999999999995</v>
      </c>
      <c r="Y80" s="217">
        <f t="shared" si="46"/>
        <v>54.243949999999998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>
        <v>32.28</v>
      </c>
      <c r="Q81" s="137">
        <v>22.35</v>
      </c>
      <c r="R81" s="82">
        <v>7.4999999999999997E-3</v>
      </c>
      <c r="S81" s="194">
        <f t="shared" si="43"/>
        <v>0.40972500000000001</v>
      </c>
      <c r="T81" s="219">
        <f t="shared" si="44"/>
        <v>54.220275000000001</v>
      </c>
      <c r="U81" s="211">
        <v>8.32</v>
      </c>
      <c r="V81" s="112"/>
      <c r="W81" s="113">
        <v>1.4999999999999999E-2</v>
      </c>
      <c r="X81" s="196">
        <f t="shared" si="45"/>
        <v>0.12479999999999999</v>
      </c>
      <c r="Y81" s="217">
        <f t="shared" si="46"/>
        <v>8.1951999999999998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>
        <v>4.45</v>
      </c>
      <c r="Q82" s="137"/>
      <c r="R82" s="82">
        <v>7.4999999999999997E-3</v>
      </c>
      <c r="S82" s="194">
        <f t="shared" si="43"/>
        <v>3.3375000000000002E-2</v>
      </c>
      <c r="T82" s="219">
        <f t="shared" si="44"/>
        <v>4.4166249999999998</v>
      </c>
      <c r="U82" s="211">
        <v>7</v>
      </c>
      <c r="V82" s="112"/>
      <c r="W82" s="113">
        <v>1.4999999999999999E-2</v>
      </c>
      <c r="X82" s="196">
        <f t="shared" si="45"/>
        <v>0.105</v>
      </c>
      <c r="Y82" s="217">
        <f t="shared" si="46"/>
        <v>6.8949999999999996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204.57</v>
      </c>
      <c r="Q98" s="195">
        <f>SUM(Q78:Q97)</f>
        <v>56.36</v>
      </c>
      <c r="R98" s="111"/>
      <c r="S98" s="195">
        <f>SUM(S78:S97)</f>
        <v>1.9569749999999999</v>
      </c>
      <c r="T98" s="195">
        <f>SUM(T78:T97)</f>
        <v>258.97302500000001</v>
      </c>
      <c r="U98" s="114">
        <f>SUM(U78:U97)</f>
        <v>125.16999999999999</v>
      </c>
      <c r="V98" s="114">
        <f>SUM(V78:V97)</f>
        <v>0</v>
      </c>
      <c r="W98" s="112"/>
      <c r="X98" s="197">
        <f>SUM(X78:X97)</f>
        <v>1.8775500000000001</v>
      </c>
      <c r="Y98" s="197">
        <f>SUM(Y78:Y97)</f>
        <v>123.29244999999999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</row>
    <row r="103" spans="14:30" x14ac:dyDescent="0.25">
      <c r="N103" s="85"/>
      <c r="P103" s="215">
        <f>P78+Q78+U78</f>
        <v>208.44</v>
      </c>
    </row>
    <row r="104" spans="14:30" x14ac:dyDescent="0.25">
      <c r="N104" s="85"/>
      <c r="P104" s="215">
        <f>P79+Q79+U79</f>
        <v>25.810000000000002</v>
      </c>
    </row>
    <row r="105" spans="14:30" x14ac:dyDescent="0.25">
      <c r="N105" s="85"/>
      <c r="P105" s="215">
        <f>P80+Q80+U80</f>
        <v>77.45</v>
      </c>
    </row>
    <row r="106" spans="14:30" x14ac:dyDescent="0.25">
      <c r="N106" s="85"/>
      <c r="P106" s="215">
        <f>P81+U81+Q81</f>
        <v>62.95</v>
      </c>
    </row>
    <row r="107" spans="14:30" x14ac:dyDescent="0.25">
      <c r="N107" s="85"/>
      <c r="P107" s="215">
        <f>P82+Q82+U82</f>
        <v>11.45</v>
      </c>
    </row>
    <row r="108" spans="14:30" x14ac:dyDescent="0.25">
      <c r="N108" s="85"/>
      <c r="P108" s="212">
        <f>P83+Q83+U83</f>
        <v>0</v>
      </c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43" priority="1" operator="greaterThan">
      <formula>0</formula>
    </cfRule>
    <cfRule type="cellIs" dxfId="4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34" zoomScale="90" zoomScaleNormal="90" workbookViewId="0">
      <selection activeCell="G46" sqref="G46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7.28515625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21.1406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59"/>
      <c r="B1" s="296"/>
      <c r="C1" s="296"/>
      <c r="D1" s="296"/>
      <c r="E1" s="296"/>
      <c r="F1" s="296"/>
      <c r="G1" s="296"/>
      <c r="H1" s="296"/>
      <c r="M1" s="76"/>
      <c r="N1" s="71"/>
    </row>
    <row r="2" spans="1:28" s="84" customFormat="1" ht="16.5" customHeight="1" x14ac:dyDescent="0.35">
      <c r="A2" s="259"/>
      <c r="B2" s="296" t="s">
        <v>12</v>
      </c>
      <c r="C2" s="296"/>
      <c r="D2" s="296"/>
      <c r="E2" s="296"/>
      <c r="F2" s="296"/>
      <c r="G2" s="296"/>
      <c r="H2" s="296"/>
      <c r="M2" s="76"/>
      <c r="N2" s="71"/>
    </row>
    <row r="3" spans="1:28" s="84" customFormat="1" ht="21.75" customHeight="1" x14ac:dyDescent="0.25">
      <c r="A3" s="259"/>
      <c r="B3" s="297" t="s">
        <v>21</v>
      </c>
      <c r="C3" s="297"/>
      <c r="D3" s="297"/>
      <c r="E3" s="297"/>
      <c r="F3" s="297"/>
      <c r="G3" s="297"/>
      <c r="H3" s="297"/>
      <c r="M3" s="76"/>
      <c r="N3" s="71"/>
    </row>
    <row r="4" spans="1:28" x14ac:dyDescent="0.25">
      <c r="B4" s="298" t="s">
        <v>191</v>
      </c>
      <c r="C4" s="298"/>
      <c r="D4" s="298"/>
      <c r="E4" s="298"/>
      <c r="F4" s="298"/>
      <c r="G4" s="298"/>
      <c r="H4" s="298"/>
    </row>
    <row r="6" spans="1:28" x14ac:dyDescent="0.25">
      <c r="A6" s="7" t="s">
        <v>22</v>
      </c>
      <c r="B6" s="72">
        <v>44480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4.16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128.19999999999999</v>
      </c>
      <c r="C12" s="15"/>
      <c r="D12" s="56"/>
      <c r="E12" s="16"/>
      <c r="F12" s="56"/>
      <c r="G12" s="56"/>
      <c r="H12" s="17"/>
      <c r="I12" s="83">
        <v>128.19999999999999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187</v>
      </c>
      <c r="P12" s="153">
        <v>125</v>
      </c>
      <c r="Q12" s="153">
        <v>7</v>
      </c>
      <c r="R12" s="154">
        <v>35.75</v>
      </c>
      <c r="S12" s="155"/>
      <c r="T12" s="155"/>
      <c r="U12" s="189">
        <f>((T12/U$10)*U$9)</f>
        <v>0</v>
      </c>
      <c r="V12" s="189">
        <f>R12*V$10</f>
        <v>0.268125</v>
      </c>
      <c r="W12" s="189">
        <f>+S12*V$10</f>
        <v>0</v>
      </c>
      <c r="X12" s="189">
        <f>+T12*X$10</f>
        <v>0</v>
      </c>
      <c r="Y12" s="189">
        <f>R12-V12</f>
        <v>35.481875000000002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924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924</v>
      </c>
      <c r="K13" s="75"/>
      <c r="L13" s="186">
        <f t="shared" ref="L13:L44" si="1">+G13-K13</f>
        <v>0</v>
      </c>
      <c r="M13" s="106"/>
      <c r="N13" s="104">
        <v>2</v>
      </c>
      <c r="O13" s="152" t="s">
        <v>187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3843.84</v>
      </c>
      <c r="C14" s="15"/>
      <c r="D14" s="56"/>
      <c r="E14" s="16"/>
      <c r="F14" s="56"/>
      <c r="G14" s="56"/>
      <c r="H14" s="17"/>
      <c r="I14" s="83"/>
      <c r="J14" s="81">
        <f t="shared" si="0"/>
        <v>3843.84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924</v>
      </c>
      <c r="C19" s="95"/>
      <c r="D19" s="94"/>
      <c r="E19" s="96"/>
      <c r="F19" s="94"/>
      <c r="G19" s="94"/>
      <c r="H19" s="98"/>
      <c r="I19" s="99"/>
      <c r="J19" s="185">
        <f>B19-I19</f>
        <v>924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3843.84</v>
      </c>
      <c r="C20" s="95"/>
      <c r="D20" s="94"/>
      <c r="E20" s="96"/>
      <c r="F20" s="94"/>
      <c r="G20" s="94"/>
      <c r="H20" s="98"/>
      <c r="I20" s="99">
        <v>3843.84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3" t="s">
        <v>107</v>
      </c>
      <c r="O42" s="294"/>
      <c r="P42" s="294"/>
      <c r="Q42" s="295"/>
      <c r="R42" s="190">
        <f t="shared" ref="R42:AA42" si="8">SUM(R12:R41)</f>
        <v>35.75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0.268125</v>
      </c>
      <c r="W42" s="190">
        <f t="shared" si="8"/>
        <v>0</v>
      </c>
      <c r="X42" s="190">
        <f t="shared" si="8"/>
        <v>0</v>
      </c>
      <c r="Y42" s="190">
        <f t="shared" si="8"/>
        <v>35.481875000000002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35.75</v>
      </c>
      <c r="C46" s="116">
        <v>7.4999999999999997E-3</v>
      </c>
      <c r="D46" s="117">
        <f>B46*C46</f>
        <v>0.268125</v>
      </c>
      <c r="E46" s="172">
        <v>0</v>
      </c>
      <c r="F46" s="117">
        <f t="shared" ref="F46:F50" si="15">D46*E46</f>
        <v>0</v>
      </c>
      <c r="G46" s="117">
        <f t="shared" ref="G46:G51" si="16">B46-D46-F46</f>
        <v>35.481875000000002</v>
      </c>
      <c r="H46" s="173">
        <f>B$6+1</f>
        <v>44481</v>
      </c>
      <c r="I46" s="174"/>
      <c r="J46" s="81">
        <f t="shared" si="0"/>
        <v>35.75</v>
      </c>
      <c r="K46" s="80"/>
      <c r="L46" s="186">
        <f t="shared" ref="L46:L64" si="17">+G46-K46</f>
        <v>35.481875000000002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44481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44481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170</v>
      </c>
      <c r="B49" s="117">
        <f>R75</f>
        <v>2854.06</v>
      </c>
      <c r="C49" s="116">
        <v>7.4999999999999997E-3</v>
      </c>
      <c r="D49" s="117">
        <f t="shared" si="18"/>
        <v>21.405449999999998</v>
      </c>
      <c r="E49" s="172">
        <v>0</v>
      </c>
      <c r="F49" s="117">
        <f t="shared" si="15"/>
        <v>0</v>
      </c>
      <c r="G49" s="117">
        <f t="shared" si="16"/>
        <v>2832.6545499999997</v>
      </c>
      <c r="H49" s="173">
        <f t="shared" si="19"/>
        <v>44481</v>
      </c>
      <c r="I49" s="176"/>
      <c r="J49" s="81">
        <f t="shared" si="0"/>
        <v>2854.06</v>
      </c>
      <c r="K49" s="80"/>
      <c r="L49" s="186">
        <f t="shared" si="17"/>
        <v>2832.6545499999997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0</v>
      </c>
      <c r="C50" s="116">
        <v>7.4999999999999997E-3</v>
      </c>
      <c r="D50" s="117">
        <f t="shared" si="18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44481</v>
      </c>
      <c r="I50" s="175"/>
      <c r="J50" s="81">
        <f t="shared" si="0"/>
        <v>0</v>
      </c>
      <c r="K50" s="80"/>
      <c r="L50" s="186">
        <f t="shared" si="17"/>
        <v>0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44481</v>
      </c>
      <c r="I51" s="175"/>
      <c r="J51" s="81">
        <f t="shared" si="0"/>
        <v>0</v>
      </c>
      <c r="K51" s="80"/>
      <c r="L51" s="186">
        <f t="shared" si="17"/>
        <v>0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44481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44481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44481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44481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179</v>
      </c>
      <c r="B56" s="117">
        <f>T75</f>
        <v>191.06</v>
      </c>
      <c r="C56" s="116">
        <v>2.5000000000000001E-2</v>
      </c>
      <c r="D56" s="117">
        <f t="shared" si="20"/>
        <v>4.7765000000000004</v>
      </c>
      <c r="E56" s="172">
        <v>0.05</v>
      </c>
      <c r="F56" s="117">
        <f t="shared" si="21"/>
        <v>8.2353448275862089</v>
      </c>
      <c r="G56" s="117">
        <f t="shared" si="22"/>
        <v>178.0481551724138</v>
      </c>
      <c r="H56" s="173">
        <f t="shared" si="19"/>
        <v>44481</v>
      </c>
      <c r="I56" s="176"/>
      <c r="J56" s="81">
        <f t="shared" si="0"/>
        <v>191.06</v>
      </c>
      <c r="K56" s="80"/>
      <c r="L56" s="186">
        <f t="shared" si="17"/>
        <v>178.0481551724138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44483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44485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44510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26.450074999999998</v>
      </c>
      <c r="E61" s="177"/>
      <c r="F61" s="57">
        <f>SUM(F46:F58)</f>
        <v>8.2353448275862089</v>
      </c>
      <c r="G61" s="57">
        <f>SUM(G46:G58)</f>
        <v>3046.1845801724135</v>
      </c>
      <c r="H61" s="173">
        <f t="shared" si="19"/>
        <v>44481</v>
      </c>
      <c r="I61" s="175"/>
      <c r="J61" s="81">
        <f t="shared" si="0"/>
        <v>0</v>
      </c>
      <c r="K61" s="80"/>
      <c r="L61" s="186">
        <f t="shared" si="17"/>
        <v>3046.1845801724135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44481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2" t="s">
        <v>109</v>
      </c>
      <c r="O63" s="282"/>
      <c r="P63" s="282"/>
      <c r="Q63" s="28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6092.3691603448269</v>
      </c>
      <c r="H64" s="184"/>
      <c r="I64" s="175"/>
      <c r="J64" s="81">
        <f t="shared" si="0"/>
        <v>0</v>
      </c>
      <c r="K64" s="80"/>
      <c r="L64" s="186">
        <f t="shared" si="17"/>
        <v>6092.3691603448269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7052.9100000000008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9" t="s">
        <v>20</v>
      </c>
      <c r="B67" s="300"/>
      <c r="F67" s="301" t="s">
        <v>136</v>
      </c>
      <c r="G67" s="301"/>
      <c r="H67" s="301"/>
      <c r="I67" s="302" t="s">
        <v>138</v>
      </c>
      <c r="J67" s="303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7019.63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7019.63</v>
      </c>
      <c r="C69" s="59"/>
      <c r="F69" s="87" t="s">
        <v>129</v>
      </c>
      <c r="G69" s="22"/>
      <c r="H69" s="89"/>
      <c r="I69" s="136"/>
      <c r="J69" s="136"/>
      <c r="N69" s="282" t="s">
        <v>110</v>
      </c>
      <c r="O69" s="282"/>
      <c r="P69" s="283"/>
      <c r="Q69" s="28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B68-B67</f>
        <v>7019.63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189</v>
      </c>
      <c r="P70" s="87" t="s">
        <v>220</v>
      </c>
      <c r="Q70" s="87">
        <v>2003</v>
      </c>
      <c r="R70" s="137">
        <f>292.3+829.89</f>
        <v>1122.19</v>
      </c>
      <c r="S70" s="87"/>
      <c r="T70" s="137"/>
      <c r="U70" s="189">
        <f t="shared" ref="U70:U74" si="34">((T70/U$10)*U$9)</f>
        <v>0</v>
      </c>
      <c r="V70" s="189">
        <f t="shared" ref="V70:V74" si="35">R70*V$10</f>
        <v>8.4164250000000003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1113.7735750000002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33.280000000000655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189</v>
      </c>
      <c r="P71" s="87">
        <v>408</v>
      </c>
      <c r="Q71" s="87">
        <v>2002</v>
      </c>
      <c r="R71" s="137">
        <v>326.89999999999998</v>
      </c>
      <c r="S71" s="87"/>
      <c r="T71" s="87"/>
      <c r="U71" s="189">
        <f t="shared" si="34"/>
        <v>0</v>
      </c>
      <c r="V71" s="189">
        <f t="shared" si="35"/>
        <v>2.4517499999999997</v>
      </c>
      <c r="W71" s="189">
        <f t="shared" si="36"/>
        <v>0</v>
      </c>
      <c r="X71" s="189">
        <f t="shared" si="37"/>
        <v>0</v>
      </c>
      <c r="Y71" s="189">
        <f t="shared" si="38"/>
        <v>324.44824999999997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189</v>
      </c>
      <c r="P72" s="87" t="s">
        <v>218</v>
      </c>
      <c r="Q72" s="87">
        <v>2003</v>
      </c>
      <c r="R72" s="137">
        <v>449.07</v>
      </c>
      <c r="S72" s="87"/>
      <c r="T72" s="87">
        <v>71.52</v>
      </c>
      <c r="U72" s="189">
        <f t="shared" si="34"/>
        <v>3.0827586206896553</v>
      </c>
      <c r="V72" s="189">
        <f t="shared" si="35"/>
        <v>3.3680249999999998</v>
      </c>
      <c r="W72" s="189">
        <f t="shared" si="36"/>
        <v>0</v>
      </c>
      <c r="X72" s="189">
        <f t="shared" si="37"/>
        <v>1.788</v>
      </c>
      <c r="Y72" s="189">
        <f t="shared" si="38"/>
        <v>445.701975</v>
      </c>
      <c r="Z72" s="189">
        <f t="shared" si="38"/>
        <v>0</v>
      </c>
      <c r="AA72" s="189">
        <f t="shared" si="39"/>
        <v>66.64924137931034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190</v>
      </c>
      <c r="P73" s="87" t="s">
        <v>217</v>
      </c>
      <c r="Q73" s="87">
        <v>2002</v>
      </c>
      <c r="R73" s="137">
        <v>246.55</v>
      </c>
      <c r="S73" s="87"/>
      <c r="T73" s="137">
        <v>90.1</v>
      </c>
      <c r="U73" s="189">
        <f t="shared" si="34"/>
        <v>3.8836206896551726</v>
      </c>
      <c r="V73" s="189">
        <f t="shared" si="35"/>
        <v>1.8491249999999999</v>
      </c>
      <c r="W73" s="189">
        <f t="shared" si="36"/>
        <v>0</v>
      </c>
      <c r="X73" s="189">
        <f t="shared" si="37"/>
        <v>2.2524999999999999</v>
      </c>
      <c r="Y73" s="189">
        <f t="shared" si="38"/>
        <v>244.70087500000002</v>
      </c>
      <c r="Z73" s="189">
        <f t="shared" si="38"/>
        <v>0</v>
      </c>
      <c r="AA73" s="189">
        <f t="shared" si="39"/>
        <v>83.963879310344822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190</v>
      </c>
      <c r="P74" s="87" t="s">
        <v>219</v>
      </c>
      <c r="Q74" s="87">
        <v>2002</v>
      </c>
      <c r="R74" s="137">
        <v>709.35</v>
      </c>
      <c r="S74" s="87"/>
      <c r="T74" s="137">
        <v>29.44</v>
      </c>
      <c r="U74" s="189">
        <f t="shared" si="34"/>
        <v>1.2689655172413796</v>
      </c>
      <c r="V74" s="189">
        <f t="shared" si="35"/>
        <v>5.320125</v>
      </c>
      <c r="W74" s="189">
        <f t="shared" si="36"/>
        <v>0</v>
      </c>
      <c r="X74" s="189">
        <f t="shared" si="37"/>
        <v>0.7360000000000001</v>
      </c>
      <c r="Y74" s="189">
        <f t="shared" si="38"/>
        <v>704.02987500000006</v>
      </c>
      <c r="Z74" s="189">
        <f t="shared" si="38"/>
        <v>0</v>
      </c>
      <c r="AA74" s="189">
        <f t="shared" si="39"/>
        <v>27.435034482758621</v>
      </c>
      <c r="AB74" s="87"/>
    </row>
    <row r="75" spans="1:30" ht="15.75" x14ac:dyDescent="0.25">
      <c r="N75" s="282" t="s">
        <v>128</v>
      </c>
      <c r="O75" s="282"/>
      <c r="P75" s="283"/>
      <c r="Q75" s="283"/>
      <c r="R75" s="192">
        <f>SUM(R70:R74)</f>
        <v>2854.06</v>
      </c>
      <c r="S75" s="192"/>
      <c r="T75" s="192">
        <f>SUM(T70:T74)</f>
        <v>191.06</v>
      </c>
      <c r="U75" s="192">
        <f>SUM(U70:U74)</f>
        <v>8.2353448275862071</v>
      </c>
      <c r="V75" s="192">
        <f t="shared" ref="V75:AA75" si="41">SUM(V70:V74)</f>
        <v>21.405450000000002</v>
      </c>
      <c r="W75" s="192">
        <f t="shared" si="41"/>
        <v>0</v>
      </c>
      <c r="X75" s="192">
        <f t="shared" si="41"/>
        <v>4.7764999999999995</v>
      </c>
      <c r="Y75" s="192">
        <f t="shared" si="41"/>
        <v>2832.6545500000002</v>
      </c>
      <c r="Z75" s="192">
        <f t="shared" si="41"/>
        <v>0</v>
      </c>
      <c r="AA75" s="193">
        <f t="shared" si="41"/>
        <v>178.04815517241377</v>
      </c>
      <c r="AB75" s="103"/>
    </row>
    <row r="76" spans="1:30" ht="15.75" x14ac:dyDescent="0.25">
      <c r="N76" s="284" t="s">
        <v>73</v>
      </c>
      <c r="O76" s="286" t="s">
        <v>67</v>
      </c>
      <c r="P76" s="282" t="s">
        <v>62</v>
      </c>
      <c r="Q76" s="282"/>
      <c r="R76" s="282"/>
      <c r="S76" s="282"/>
      <c r="T76" s="282"/>
      <c r="U76" s="288" t="s">
        <v>68</v>
      </c>
      <c r="V76" s="289"/>
      <c r="W76" s="289"/>
      <c r="X76" s="289"/>
      <c r="Y76" s="290"/>
      <c r="Z76" s="279" t="s">
        <v>54</v>
      </c>
      <c r="AA76" s="279" t="s">
        <v>64</v>
      </c>
      <c r="AB76" s="279" t="s">
        <v>124</v>
      </c>
      <c r="AC76" s="280" t="s">
        <v>127</v>
      </c>
      <c r="AD76" s="281" t="s">
        <v>65</v>
      </c>
    </row>
    <row r="77" spans="1:30" ht="60" x14ac:dyDescent="0.25">
      <c r="F77" s="291" t="s">
        <v>140</v>
      </c>
      <c r="G77" s="292"/>
      <c r="H77" s="141" t="s">
        <v>142</v>
      </c>
      <c r="N77" s="285"/>
      <c r="O77" s="287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79"/>
      <c r="AA77" s="279"/>
      <c r="AB77" s="279"/>
      <c r="AC77" s="280" t="s">
        <v>127</v>
      </c>
      <c r="AD77" s="281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137"/>
      <c r="Q84" s="137"/>
      <c r="R84" s="82">
        <v>7.4999999999999997E-3</v>
      </c>
      <c r="S84" s="194">
        <f t="shared" si="43"/>
        <v>0</v>
      </c>
      <c r="T84" s="220">
        <f t="shared" si="44"/>
        <v>0</v>
      </c>
      <c r="U84" s="211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  <c r="Q102" s="212">
        <f>P78+Q78+U78</f>
        <v>0</v>
      </c>
    </row>
    <row r="103" spans="14:30" x14ac:dyDescent="0.25">
      <c r="N103" s="85"/>
      <c r="Q103" s="215">
        <f>P79+Q79+U79</f>
        <v>0</v>
      </c>
    </row>
    <row r="104" spans="14:30" x14ac:dyDescent="0.25">
      <c r="N104" s="85"/>
      <c r="Q104" s="215">
        <f>P80+U80+Q80</f>
        <v>0</v>
      </c>
    </row>
    <row r="105" spans="14:30" x14ac:dyDescent="0.25">
      <c r="N105" s="85"/>
      <c r="Q105" s="215">
        <f>P81+Q81+U81</f>
        <v>0</v>
      </c>
    </row>
    <row r="106" spans="14:30" x14ac:dyDescent="0.25">
      <c r="N106" s="85"/>
      <c r="Q106" s="215">
        <f>P82+Q82+U82</f>
        <v>0</v>
      </c>
    </row>
    <row r="107" spans="14:30" x14ac:dyDescent="0.25">
      <c r="N107" s="85"/>
      <c r="Q107" s="212">
        <f>P83+Q83+U83</f>
        <v>0</v>
      </c>
    </row>
    <row r="108" spans="14:30" x14ac:dyDescent="0.25">
      <c r="N108" s="85"/>
      <c r="Q108" s="212">
        <f>P84+Q84+U84</f>
        <v>0</v>
      </c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41" priority="1" operator="greaterThan">
      <formula>0</formula>
    </cfRule>
    <cfRule type="cellIs" dxfId="4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zoomScale="90" zoomScaleNormal="90" workbookViewId="0">
      <selection activeCell="A9" sqref="A9:A39"/>
    </sheetView>
  </sheetViews>
  <sheetFormatPr baseColWidth="10" defaultRowHeight="15" x14ac:dyDescent="0.25"/>
  <cols>
    <col min="1" max="1" width="18.140625" style="6" bestFit="1" customWidth="1"/>
    <col min="2" max="4" width="21.7109375" style="6" customWidth="1"/>
    <col min="5" max="5" width="21.140625" style="6" customWidth="1"/>
    <col min="6" max="6" width="20.42578125" style="6" customWidth="1"/>
    <col min="7" max="8" width="22.140625" style="6" customWidth="1"/>
    <col min="9" max="16384" width="11.42578125" style="6"/>
  </cols>
  <sheetData>
    <row r="1" spans="1:9" s="5" customFormat="1" ht="16.5" customHeight="1" x14ac:dyDescent="0.35">
      <c r="A1" s="259"/>
      <c r="B1" s="263" t="s">
        <v>12</v>
      </c>
      <c r="C1" s="264"/>
      <c r="D1" s="264"/>
      <c r="E1" s="264"/>
      <c r="F1" s="264"/>
      <c r="G1" s="264"/>
      <c r="H1" s="264"/>
      <c r="I1" s="265"/>
    </row>
    <row r="2" spans="1:9" s="5" customFormat="1" ht="16.5" customHeight="1" x14ac:dyDescent="0.25">
      <c r="A2" s="259"/>
      <c r="B2" s="266" t="s">
        <v>148</v>
      </c>
      <c r="C2" s="267"/>
      <c r="D2" s="267"/>
      <c r="E2" s="267"/>
      <c r="F2" s="267"/>
      <c r="G2" s="267"/>
      <c r="H2" s="267"/>
      <c r="I2" s="268"/>
    </row>
    <row r="3" spans="1:9" s="5" customFormat="1" ht="16.5" customHeight="1" x14ac:dyDescent="0.25">
      <c r="A3" s="259"/>
      <c r="B3" s="262"/>
      <c r="C3" s="262"/>
      <c r="D3" s="262"/>
      <c r="E3" s="262"/>
      <c r="F3" s="262"/>
      <c r="G3" s="262"/>
      <c r="H3" s="262"/>
      <c r="I3" s="262"/>
    </row>
    <row r="4" spans="1:9" x14ac:dyDescent="0.25">
      <c r="B4" s="262"/>
      <c r="C4" s="262"/>
      <c r="D4" s="262"/>
      <c r="E4" s="262"/>
      <c r="F4" s="262"/>
      <c r="G4" s="262"/>
    </row>
    <row r="6" spans="1:9" ht="15.75" thickBot="1" x14ac:dyDescent="0.3"/>
    <row r="7" spans="1:9" x14ac:dyDescent="0.25">
      <c r="E7" s="260" t="s">
        <v>14</v>
      </c>
      <c r="F7" s="261"/>
    </row>
    <row r="8" spans="1:9" ht="27" customHeight="1" x14ac:dyDescent="0.25">
      <c r="A8" s="45" t="s">
        <v>33</v>
      </c>
      <c r="B8" s="45" t="s">
        <v>28</v>
      </c>
      <c r="C8" s="45" t="s">
        <v>146</v>
      </c>
      <c r="D8" s="52" t="s">
        <v>27</v>
      </c>
      <c r="E8" s="49" t="s">
        <v>28</v>
      </c>
      <c r="F8" s="50" t="s">
        <v>147</v>
      </c>
      <c r="G8" s="51" t="s">
        <v>53</v>
      </c>
      <c r="H8" s="51" t="s">
        <v>54</v>
      </c>
    </row>
    <row r="9" spans="1:9" x14ac:dyDescent="0.25">
      <c r="A9" s="46">
        <f>'DIA 1'!B$6</f>
        <v>44501</v>
      </c>
      <c r="B9" s="199">
        <f>+'DIA 1'!G$46</f>
        <v>635.13052499999992</v>
      </c>
      <c r="C9" s="199">
        <f>+'DIA 1'!G$52</f>
        <v>0</v>
      </c>
      <c r="D9" s="203">
        <f>B9+C9</f>
        <v>635.13052499999992</v>
      </c>
      <c r="E9" s="204">
        <f>+'DIA 1'!K$46</f>
        <v>635.13</v>
      </c>
      <c r="F9" s="205">
        <f>+'DIA 1'!K$52</f>
        <v>0</v>
      </c>
      <c r="G9" s="206">
        <f>B9-E9</f>
        <v>5.2499999992505764E-4</v>
      </c>
      <c r="H9" s="206">
        <f>C9-F9</f>
        <v>0</v>
      </c>
    </row>
    <row r="10" spans="1:9" x14ac:dyDescent="0.25">
      <c r="A10" s="46">
        <f>'DIA 2'!B$6</f>
        <v>44502</v>
      </c>
      <c r="B10" s="199">
        <f>'DIA 2'!G$46</f>
        <v>1081.517325</v>
      </c>
      <c r="C10" s="199">
        <f>'DIA 2'!G$52</f>
        <v>0</v>
      </c>
      <c r="D10" s="203">
        <f t="shared" ref="D10:D39" si="0">B10+C10</f>
        <v>1081.517325</v>
      </c>
      <c r="E10" s="199">
        <f>'DIA 2'!K$46</f>
        <v>1081.52</v>
      </c>
      <c r="F10" s="199">
        <f>'DIA 2'!K$52</f>
        <v>0</v>
      </c>
      <c r="G10" s="206">
        <f t="shared" ref="G10:G39" si="1">B10-E10</f>
        <v>-2.6749999999537977E-3</v>
      </c>
      <c r="H10" s="206">
        <f t="shared" ref="H10:H39" si="2">C10-F10</f>
        <v>0</v>
      </c>
    </row>
    <row r="11" spans="1:9" x14ac:dyDescent="0.25">
      <c r="A11" s="46">
        <f>'DIA 3'!B$6</f>
        <v>44503</v>
      </c>
      <c r="B11" s="199">
        <f>'DIA 3'!G$46</f>
        <v>1056.43685</v>
      </c>
      <c r="C11" s="199">
        <f>'DIA 3'!G$52</f>
        <v>0</v>
      </c>
      <c r="D11" s="203">
        <f t="shared" si="0"/>
        <v>1056.43685</v>
      </c>
      <c r="E11" s="199">
        <f>'DIA 3'!K$46</f>
        <v>1056.44</v>
      </c>
      <c r="F11" s="199">
        <f>'DIA 3'!K$52</f>
        <v>0</v>
      </c>
      <c r="G11" s="206">
        <f t="shared" si="1"/>
        <v>-3.1500000000050932E-3</v>
      </c>
      <c r="H11" s="206">
        <f t="shared" si="2"/>
        <v>0</v>
      </c>
    </row>
    <row r="12" spans="1:9" x14ac:dyDescent="0.25">
      <c r="A12" s="46">
        <f>'DIA 4'!B$6</f>
        <v>44504</v>
      </c>
      <c r="B12" s="199">
        <f>'DIA 4'!G$46</f>
        <v>5.290025</v>
      </c>
      <c r="C12" s="199">
        <f>'DIA 4'!G$52</f>
        <v>0</v>
      </c>
      <c r="D12" s="203">
        <f t="shared" si="0"/>
        <v>5.290025</v>
      </c>
      <c r="E12" s="199">
        <f>'DIA 4'!K$46</f>
        <v>0</v>
      </c>
      <c r="F12" s="199">
        <f>'DIA 4'!K$52</f>
        <v>0</v>
      </c>
      <c r="G12" s="206">
        <f t="shared" si="1"/>
        <v>5.290025</v>
      </c>
      <c r="H12" s="206">
        <f t="shared" si="2"/>
        <v>0</v>
      </c>
    </row>
    <row r="13" spans="1:9" x14ac:dyDescent="0.25">
      <c r="A13" s="46">
        <f>'DIA 5'!B$6</f>
        <v>44505</v>
      </c>
      <c r="B13" s="199">
        <f>'DIA 5'!G$46</f>
        <v>1274.9952750000002</v>
      </c>
      <c r="C13" s="199">
        <f>'DIA 5'!G$52</f>
        <v>16.02862068965517</v>
      </c>
      <c r="D13" s="203">
        <f t="shared" si="0"/>
        <v>1291.0238956896553</v>
      </c>
      <c r="E13" s="199">
        <f>'DIA 5'!K$46</f>
        <v>0</v>
      </c>
      <c r="F13" s="199">
        <f>'DIA 5'!K$52</f>
        <v>0</v>
      </c>
      <c r="G13" s="206">
        <f t="shared" si="1"/>
        <v>1274.9952750000002</v>
      </c>
      <c r="H13" s="206">
        <f t="shared" si="2"/>
        <v>16.02862068965517</v>
      </c>
    </row>
    <row r="14" spans="1:9" x14ac:dyDescent="0.25">
      <c r="A14" s="46">
        <f>'DIA 6'!B$6</f>
        <v>44506</v>
      </c>
      <c r="B14" s="199">
        <f>'DIA 6'!G$46</f>
        <v>1154.2477249999999</v>
      </c>
      <c r="C14" s="199">
        <f>'DIA 6'!G$52</f>
        <v>0</v>
      </c>
      <c r="D14" s="203">
        <f t="shared" si="0"/>
        <v>1154.2477249999999</v>
      </c>
      <c r="E14" s="199">
        <f>'DIA 6'!K$46</f>
        <v>0</v>
      </c>
      <c r="F14" s="199">
        <f>'DIA 6'!K$52</f>
        <v>0</v>
      </c>
      <c r="G14" s="206">
        <f t="shared" si="1"/>
        <v>1154.2477249999999</v>
      </c>
      <c r="H14" s="206">
        <f t="shared" si="2"/>
        <v>0</v>
      </c>
    </row>
    <row r="15" spans="1:9" x14ac:dyDescent="0.25">
      <c r="A15" s="46">
        <f>'DIA 7'!B$6</f>
        <v>44507</v>
      </c>
      <c r="B15" s="199">
        <f>'DIA 7'!G$46</f>
        <v>1137.6332749999999</v>
      </c>
      <c r="C15" s="199">
        <f>'DIA 7'!G$52</f>
        <v>171.53419827586205</v>
      </c>
      <c r="D15" s="203">
        <f t="shared" si="0"/>
        <v>1309.167473275862</v>
      </c>
      <c r="E15" s="199">
        <f>'DIA 7'!K$46</f>
        <v>0</v>
      </c>
      <c r="F15" s="199">
        <f>'DIA 7'!K$52</f>
        <v>0</v>
      </c>
      <c r="G15" s="206">
        <f t="shared" si="1"/>
        <v>1137.6332749999999</v>
      </c>
      <c r="H15" s="206">
        <f t="shared" si="2"/>
        <v>171.53419827586205</v>
      </c>
    </row>
    <row r="16" spans="1:9" x14ac:dyDescent="0.25">
      <c r="A16" s="46">
        <f>'DIA 8'!B$6</f>
        <v>44508</v>
      </c>
      <c r="B16" s="199">
        <f>'DIA 8'!G$46</f>
        <v>610.40734999999995</v>
      </c>
      <c r="C16" s="199">
        <f>'DIA 8'!G$52</f>
        <v>0</v>
      </c>
      <c r="D16" s="203">
        <f t="shared" si="0"/>
        <v>610.40734999999995</v>
      </c>
      <c r="E16" s="199">
        <f>'DIA 8'!K$46</f>
        <v>0</v>
      </c>
      <c r="F16" s="199">
        <f>'DIA 8'!K$52</f>
        <v>0</v>
      </c>
      <c r="G16" s="206">
        <f t="shared" si="1"/>
        <v>610.40734999999995</v>
      </c>
      <c r="H16" s="206">
        <f t="shared" si="2"/>
        <v>0</v>
      </c>
    </row>
    <row r="17" spans="1:8" x14ac:dyDescent="0.25">
      <c r="A17" s="46">
        <f>'DIA 9'!B$6</f>
        <v>44509</v>
      </c>
      <c r="B17" s="199">
        <f>'DIA 9'!G$46</f>
        <v>745.79427499999997</v>
      </c>
      <c r="C17" s="199">
        <f>'DIA 9'!G$52</f>
        <v>0</v>
      </c>
      <c r="D17" s="203">
        <f t="shared" si="0"/>
        <v>745.79427499999997</v>
      </c>
      <c r="E17" s="199">
        <f>'DIA 9'!K$46</f>
        <v>0</v>
      </c>
      <c r="F17" s="199">
        <f>'DIA 9'!K$52</f>
        <v>0</v>
      </c>
      <c r="G17" s="206">
        <f t="shared" si="1"/>
        <v>745.79427499999997</v>
      </c>
      <c r="H17" s="206">
        <f t="shared" si="2"/>
        <v>0</v>
      </c>
    </row>
    <row r="18" spans="1:8" x14ac:dyDescent="0.25">
      <c r="A18" s="46">
        <f>'DIA 10'!B$6</f>
        <v>44479</v>
      </c>
      <c r="B18" s="199">
        <f>'DIA 10'!G$46</f>
        <v>928.00734999999997</v>
      </c>
      <c r="C18" s="199">
        <f>'DIA 10'!G$52</f>
        <v>114.85625</v>
      </c>
      <c r="D18" s="203">
        <f t="shared" si="0"/>
        <v>1042.8635999999999</v>
      </c>
      <c r="E18" s="199">
        <f>'DIA 10'!K$46</f>
        <v>0</v>
      </c>
      <c r="F18" s="199">
        <f>'DIA 10'!K$52</f>
        <v>0</v>
      </c>
      <c r="G18" s="206">
        <f t="shared" si="1"/>
        <v>928.00734999999997</v>
      </c>
      <c r="H18" s="206">
        <f t="shared" si="2"/>
        <v>114.85625</v>
      </c>
    </row>
    <row r="19" spans="1:8" x14ac:dyDescent="0.25">
      <c r="A19" s="46">
        <f>'DIA 11'!B$6</f>
        <v>44480</v>
      </c>
      <c r="B19" s="199">
        <f>'DIA 11'!G$46</f>
        <v>35.481875000000002</v>
      </c>
      <c r="C19" s="199">
        <f>'DIA 11'!G$52</f>
        <v>0</v>
      </c>
      <c r="D19" s="203">
        <f t="shared" si="0"/>
        <v>35.481875000000002</v>
      </c>
      <c r="E19" s="199">
        <f>'DIA 11'!K$46</f>
        <v>0</v>
      </c>
      <c r="F19" s="199">
        <f>'DIA 11'!K$52</f>
        <v>0</v>
      </c>
      <c r="G19" s="206">
        <f t="shared" si="1"/>
        <v>35.481875000000002</v>
      </c>
      <c r="H19" s="206">
        <f t="shared" si="2"/>
        <v>0</v>
      </c>
    </row>
    <row r="20" spans="1:8" x14ac:dyDescent="0.25">
      <c r="A20" s="46">
        <f>'DIA 12'!B$6</f>
        <v>44481</v>
      </c>
      <c r="B20" s="199">
        <f>'DIA 12'!G$46</f>
        <v>428.29352499999999</v>
      </c>
      <c r="C20" s="199">
        <f>'DIA 12'!G$52</f>
        <v>0</v>
      </c>
      <c r="D20" s="203">
        <f t="shared" si="0"/>
        <v>428.29352499999999</v>
      </c>
      <c r="E20" s="199">
        <f>'DIA 12'!K$46</f>
        <v>0</v>
      </c>
      <c r="F20" s="199">
        <f>'DIA 12'!K$52</f>
        <v>0</v>
      </c>
      <c r="G20" s="206">
        <f t="shared" si="1"/>
        <v>428.29352499999999</v>
      </c>
      <c r="H20" s="206">
        <f t="shared" si="2"/>
        <v>0</v>
      </c>
    </row>
    <row r="21" spans="1:8" x14ac:dyDescent="0.25">
      <c r="A21" s="46">
        <f>'DIA 13'!B$6</f>
        <v>44482</v>
      </c>
      <c r="B21" s="199">
        <f>'DIA 13'!G$46</f>
        <v>523.82164999999998</v>
      </c>
      <c r="C21" s="199">
        <f>'DIA 13'!G$52</f>
        <v>36.185543103448275</v>
      </c>
      <c r="D21" s="203">
        <f t="shared" si="0"/>
        <v>560.00719310344823</v>
      </c>
      <c r="E21" s="199">
        <f>'DIA 13'!K$46</f>
        <v>0</v>
      </c>
      <c r="F21" s="199">
        <f>'DIA 13'!K$52</f>
        <v>0</v>
      </c>
      <c r="G21" s="206">
        <f t="shared" si="1"/>
        <v>523.82164999999998</v>
      </c>
      <c r="H21" s="206">
        <f t="shared" si="2"/>
        <v>36.185543103448275</v>
      </c>
    </row>
    <row r="22" spans="1:8" x14ac:dyDescent="0.25">
      <c r="A22" s="46">
        <f>'DIA 14'!B$6</f>
        <v>44483</v>
      </c>
      <c r="B22" s="199">
        <f>'DIA 14'!G$46</f>
        <v>600.14490000000001</v>
      </c>
      <c r="C22" s="199">
        <f>'DIA 14'!G$52</f>
        <v>0</v>
      </c>
      <c r="D22" s="203">
        <f t="shared" si="0"/>
        <v>600.14490000000001</v>
      </c>
      <c r="E22" s="199">
        <f>'DIA 14'!K$46</f>
        <v>0</v>
      </c>
      <c r="F22" s="199">
        <f>'DIA 14'!K$52</f>
        <v>0</v>
      </c>
      <c r="G22" s="206">
        <f t="shared" si="1"/>
        <v>600.14490000000001</v>
      </c>
      <c r="H22" s="206">
        <f t="shared" si="2"/>
        <v>0</v>
      </c>
    </row>
    <row r="23" spans="1:8" x14ac:dyDescent="0.25">
      <c r="A23" s="46">
        <f>'DIA 15'!B$6</f>
        <v>44484</v>
      </c>
      <c r="B23" s="199">
        <f>'DIA 15'!G$46</f>
        <v>867.20680000000004</v>
      </c>
      <c r="C23" s="199">
        <f>'DIA 15'!G$52</f>
        <v>38.07729310344827</v>
      </c>
      <c r="D23" s="203">
        <f t="shared" si="0"/>
        <v>905.2840931034483</v>
      </c>
      <c r="E23" s="199">
        <f>'DIA 15'!K$46</f>
        <v>0</v>
      </c>
      <c r="F23" s="199">
        <f>'DIA 15'!K$52</f>
        <v>0</v>
      </c>
      <c r="G23" s="206">
        <f t="shared" si="1"/>
        <v>867.20680000000004</v>
      </c>
      <c r="H23" s="206">
        <f t="shared" si="2"/>
        <v>38.07729310344827</v>
      </c>
    </row>
    <row r="24" spans="1:8" x14ac:dyDescent="0.25">
      <c r="A24" s="46">
        <f>'DIA 16'!B$6</f>
        <v>44485</v>
      </c>
      <c r="B24" s="199">
        <f>'DIA 16'!G$46</f>
        <v>8.8530999999999995</v>
      </c>
      <c r="C24" s="199">
        <f>'DIA 16'!G$52</f>
        <v>0</v>
      </c>
      <c r="D24" s="203">
        <f t="shared" si="0"/>
        <v>8.8530999999999995</v>
      </c>
      <c r="E24" s="199">
        <f>'DIA 16'!K$46</f>
        <v>0</v>
      </c>
      <c r="F24" s="199">
        <f>'DIA 16'!K$52</f>
        <v>0</v>
      </c>
      <c r="G24" s="206">
        <f t="shared" si="1"/>
        <v>8.8530999999999995</v>
      </c>
      <c r="H24" s="206">
        <f t="shared" si="2"/>
        <v>0</v>
      </c>
    </row>
    <row r="25" spans="1:8" x14ac:dyDescent="0.25">
      <c r="A25" s="46">
        <f>'DIA 17'!B$6</f>
        <v>44486</v>
      </c>
      <c r="B25" s="199">
        <f>'DIA 17'!G$46</f>
        <v>0</v>
      </c>
      <c r="C25" s="199">
        <f>'DIA 17'!G$52</f>
        <v>0</v>
      </c>
      <c r="D25" s="203">
        <f t="shared" si="0"/>
        <v>0</v>
      </c>
      <c r="E25" s="199">
        <f>'DIA 17'!K$46</f>
        <v>0</v>
      </c>
      <c r="F25" s="199">
        <f>'DIA 17'!K$52</f>
        <v>0</v>
      </c>
      <c r="G25" s="206">
        <f t="shared" si="1"/>
        <v>0</v>
      </c>
      <c r="H25" s="206">
        <f t="shared" si="2"/>
        <v>0</v>
      </c>
    </row>
    <row r="26" spans="1:8" x14ac:dyDescent="0.25">
      <c r="A26" s="46">
        <f>'DIA 18'!B$6</f>
        <v>44122</v>
      </c>
      <c r="B26" s="199">
        <f>'DIA 18'!G$46</f>
        <v>588.56242499999996</v>
      </c>
      <c r="C26" s="199">
        <f>'DIA 18'!G$52</f>
        <v>30.314594827586209</v>
      </c>
      <c r="D26" s="203">
        <f t="shared" si="0"/>
        <v>618.8770198275862</v>
      </c>
      <c r="E26" s="199">
        <f>'DIA 18'!K$46</f>
        <v>0</v>
      </c>
      <c r="F26" s="199">
        <f>'DIA 18'!K$52</f>
        <v>0</v>
      </c>
      <c r="G26" s="206">
        <f t="shared" si="1"/>
        <v>588.56242499999996</v>
      </c>
      <c r="H26" s="206">
        <f t="shared" si="2"/>
        <v>30.314594827586209</v>
      </c>
    </row>
    <row r="27" spans="1:8" x14ac:dyDescent="0.25">
      <c r="A27" s="46">
        <f>'DIA 19'!B$6</f>
        <v>44488</v>
      </c>
      <c r="B27" s="199">
        <f>'DIA 19'!G$46</f>
        <v>1687.7462499999999</v>
      </c>
      <c r="C27" s="199">
        <f>'DIA 19'!G$52</f>
        <v>0</v>
      </c>
      <c r="D27" s="203">
        <f t="shared" si="0"/>
        <v>1687.7462499999999</v>
      </c>
      <c r="E27" s="199">
        <f>'DIA 19'!K$46</f>
        <v>0</v>
      </c>
      <c r="F27" s="199">
        <f>'DIA 19'!K$52</f>
        <v>0</v>
      </c>
      <c r="G27" s="206">
        <f t="shared" si="1"/>
        <v>1687.7462499999999</v>
      </c>
      <c r="H27" s="206">
        <f t="shared" si="2"/>
        <v>0</v>
      </c>
    </row>
    <row r="28" spans="1:8" x14ac:dyDescent="0.25">
      <c r="A28" s="46">
        <f>'DIA 20'!B$6</f>
        <v>44459</v>
      </c>
      <c r="B28" s="199">
        <f>'DIA 20'!G$46</f>
        <v>1145.00755</v>
      </c>
      <c r="C28" s="199">
        <f>'DIA 20'!G$52</f>
        <v>0</v>
      </c>
      <c r="D28" s="203">
        <f t="shared" si="0"/>
        <v>1145.00755</v>
      </c>
      <c r="E28" s="199">
        <f>'DIA 20'!K$46</f>
        <v>0</v>
      </c>
      <c r="F28" s="199">
        <f>'DIA 20'!K$52</f>
        <v>0</v>
      </c>
      <c r="G28" s="206">
        <f t="shared" si="1"/>
        <v>1145.00755</v>
      </c>
      <c r="H28" s="206">
        <f t="shared" si="2"/>
        <v>0</v>
      </c>
    </row>
    <row r="29" spans="1:8" x14ac:dyDescent="0.25">
      <c r="A29" s="46">
        <f>'DIA 21'!B$6</f>
        <v>44490</v>
      </c>
      <c r="B29" s="199">
        <f>'DIA 21'!G$46</f>
        <v>1359.397475</v>
      </c>
      <c r="C29" s="199">
        <f>'DIA 21'!G$52</f>
        <v>72.743844827586216</v>
      </c>
      <c r="D29" s="203">
        <f t="shared" si="0"/>
        <v>1432.1413198275861</v>
      </c>
      <c r="E29" s="199">
        <f>'DIA 21'!K$46</f>
        <v>0</v>
      </c>
      <c r="F29" s="199">
        <f>'DIA 21'!K$52</f>
        <v>0</v>
      </c>
      <c r="G29" s="206">
        <f t="shared" si="1"/>
        <v>1359.397475</v>
      </c>
      <c r="H29" s="206">
        <f t="shared" si="2"/>
        <v>72.743844827586216</v>
      </c>
    </row>
    <row r="30" spans="1:8" x14ac:dyDescent="0.25">
      <c r="A30" s="46">
        <f>'DIA 22'!B$6</f>
        <v>44491</v>
      </c>
      <c r="B30" s="199">
        <f>'DIA 22'!G$46</f>
        <v>729.15004999999996</v>
      </c>
      <c r="C30" s="199">
        <f>'DIA 22'!G$52</f>
        <v>0</v>
      </c>
      <c r="D30" s="203">
        <f t="shared" si="0"/>
        <v>729.15004999999996</v>
      </c>
      <c r="E30" s="199">
        <f>'DIA 22'!K$46</f>
        <v>0</v>
      </c>
      <c r="F30" s="199">
        <f>'DIA 22'!K$52</f>
        <v>0</v>
      </c>
      <c r="G30" s="206">
        <f t="shared" si="1"/>
        <v>729.15004999999996</v>
      </c>
      <c r="H30" s="206">
        <f t="shared" si="2"/>
        <v>0</v>
      </c>
    </row>
    <row r="31" spans="1:8" x14ac:dyDescent="0.25">
      <c r="A31" s="46">
        <f>'DIA 23'!B$6</f>
        <v>44492</v>
      </c>
      <c r="B31" s="199">
        <f>'DIA 23'!G$46</f>
        <v>2101.5989</v>
      </c>
      <c r="C31" s="199">
        <f>'DIA 23'!G$52</f>
        <v>39.298077586206894</v>
      </c>
      <c r="D31" s="203">
        <f t="shared" si="0"/>
        <v>2140.896977586207</v>
      </c>
      <c r="E31" s="199">
        <f>'DIA 23'!K$46</f>
        <v>0</v>
      </c>
      <c r="F31" s="199">
        <f>'DIA 23'!K$52</f>
        <v>0</v>
      </c>
      <c r="G31" s="206">
        <f t="shared" si="1"/>
        <v>2101.5989</v>
      </c>
      <c r="H31" s="206">
        <f t="shared" si="2"/>
        <v>39.298077586206894</v>
      </c>
    </row>
    <row r="32" spans="1:8" x14ac:dyDescent="0.25">
      <c r="A32" s="46">
        <f>'DIA 24'!B$6</f>
        <v>44493</v>
      </c>
      <c r="B32" s="199">
        <f>'DIA 24'!G$46</f>
        <v>987.94442500000014</v>
      </c>
      <c r="C32" s="199">
        <f>'DIA 24'!G$52</f>
        <v>108.69641379310345</v>
      </c>
      <c r="D32" s="203">
        <f t="shared" si="0"/>
        <v>1096.6408387931035</v>
      </c>
      <c r="E32" s="199">
        <f>'DIA 24'!K$46</f>
        <v>0</v>
      </c>
      <c r="F32" s="199">
        <f>'DIA 24'!K$52</f>
        <v>0</v>
      </c>
      <c r="G32" s="206">
        <f t="shared" si="1"/>
        <v>987.94442500000014</v>
      </c>
      <c r="H32" s="206">
        <f t="shared" si="2"/>
        <v>108.69641379310345</v>
      </c>
    </row>
    <row r="33" spans="1:8" x14ac:dyDescent="0.25">
      <c r="A33" s="46">
        <f>'DIA 25'!B$6</f>
        <v>44494</v>
      </c>
      <c r="B33" s="199">
        <f>'DIA 25'!G$46</f>
        <v>537.38912499999992</v>
      </c>
      <c r="C33" s="199">
        <f>'DIA 25'!G$52</f>
        <v>0</v>
      </c>
      <c r="D33" s="203">
        <f t="shared" si="0"/>
        <v>537.38912499999992</v>
      </c>
      <c r="E33" s="199">
        <f>'DIA 25'!K$46</f>
        <v>0</v>
      </c>
      <c r="F33" s="199">
        <f>'DIA 25'!K$52</f>
        <v>0</v>
      </c>
      <c r="G33" s="206">
        <f t="shared" si="1"/>
        <v>537.38912499999992</v>
      </c>
      <c r="H33" s="206">
        <f t="shared" si="2"/>
        <v>0</v>
      </c>
    </row>
    <row r="34" spans="1:8" x14ac:dyDescent="0.25">
      <c r="A34" s="46">
        <f>'DIA 26'!B$6</f>
        <v>44495</v>
      </c>
      <c r="B34" s="199">
        <f>'DIA 26'!G$46</f>
        <v>421.41550000000001</v>
      </c>
      <c r="C34" s="199">
        <f>'DIA 26'!G$52</f>
        <v>19.765525862068969</v>
      </c>
      <c r="D34" s="203">
        <f t="shared" si="0"/>
        <v>441.18102586206896</v>
      </c>
      <c r="E34" s="199">
        <f>'DIA 26'!K$46</f>
        <v>0</v>
      </c>
      <c r="F34" s="199">
        <f>'DIA 26'!K$52</f>
        <v>0</v>
      </c>
      <c r="G34" s="206">
        <f t="shared" si="1"/>
        <v>421.41550000000001</v>
      </c>
      <c r="H34" s="206">
        <f t="shared" si="2"/>
        <v>19.765525862068969</v>
      </c>
    </row>
    <row r="35" spans="1:8" x14ac:dyDescent="0.25">
      <c r="A35" s="46">
        <f>'DIA 27'!B$6</f>
        <v>44496</v>
      </c>
      <c r="B35" s="199">
        <f>'DIA 27'!G$46</f>
        <v>84.878599999999992</v>
      </c>
      <c r="C35" s="199">
        <f>'DIA 27'!G$52</f>
        <v>0</v>
      </c>
      <c r="D35" s="203">
        <f t="shared" si="0"/>
        <v>84.878599999999992</v>
      </c>
      <c r="E35" s="199">
        <f>'DIA 27'!K$46</f>
        <v>0</v>
      </c>
      <c r="F35" s="199">
        <f>'DIA 27'!K$52</f>
        <v>0</v>
      </c>
      <c r="G35" s="206">
        <f t="shared" si="1"/>
        <v>84.878599999999992</v>
      </c>
      <c r="H35" s="206">
        <f t="shared" si="2"/>
        <v>0</v>
      </c>
    </row>
    <row r="36" spans="1:8" x14ac:dyDescent="0.25">
      <c r="A36" s="46">
        <f>'DIA 28'!B$6</f>
        <v>44132</v>
      </c>
      <c r="B36" s="199">
        <f>'DIA 28'!G$46</f>
        <v>944.33397500000001</v>
      </c>
      <c r="C36" s="199">
        <f>'DIA 28'!G$52</f>
        <v>8.3777500000000007</v>
      </c>
      <c r="D36" s="203">
        <f t="shared" si="0"/>
        <v>952.711725</v>
      </c>
      <c r="E36" s="199">
        <f>'DIA 28'!K$46</f>
        <v>0</v>
      </c>
      <c r="F36" s="199">
        <f>'DIA 28'!K$52</f>
        <v>0</v>
      </c>
      <c r="G36" s="206">
        <f t="shared" si="1"/>
        <v>944.33397500000001</v>
      </c>
      <c r="H36" s="206">
        <f t="shared" si="2"/>
        <v>8.3777500000000007</v>
      </c>
    </row>
    <row r="37" spans="1:8" x14ac:dyDescent="0.25">
      <c r="A37" s="46">
        <f>'DIA 29'!B$6</f>
        <v>44133</v>
      </c>
      <c r="B37" s="199">
        <f>'DIA 29'!G$46</f>
        <v>1295.778225</v>
      </c>
      <c r="C37" s="199">
        <f>'DIA 29'!G$52</f>
        <v>0</v>
      </c>
      <c r="D37" s="203">
        <f t="shared" si="0"/>
        <v>1295.778225</v>
      </c>
      <c r="E37" s="199">
        <f>'DIA 29'!K$46</f>
        <v>0</v>
      </c>
      <c r="F37" s="199">
        <f>'DIA 29'!K$52</f>
        <v>0</v>
      </c>
      <c r="G37" s="206">
        <f t="shared" si="1"/>
        <v>1295.778225</v>
      </c>
      <c r="H37" s="206">
        <f t="shared" si="2"/>
        <v>0</v>
      </c>
    </row>
    <row r="38" spans="1:8" x14ac:dyDescent="0.25">
      <c r="A38" s="46">
        <f>'DIA 30'!B$6</f>
        <v>44499</v>
      </c>
      <c r="B38" s="199">
        <f>'DIA 30'!G$46</f>
        <v>2310.6293250000003</v>
      </c>
      <c r="C38" s="199">
        <f>'DIA 30'!G$52</f>
        <v>119.95372413793103</v>
      </c>
      <c r="D38" s="203">
        <f t="shared" si="0"/>
        <v>2430.5830491379315</v>
      </c>
      <c r="E38" s="199">
        <f>'DIA 30'!K$46</f>
        <v>0</v>
      </c>
      <c r="F38" s="199">
        <f>'DIA 30'!K$52</f>
        <v>0</v>
      </c>
      <c r="G38" s="206">
        <f t="shared" si="1"/>
        <v>2310.6293250000003</v>
      </c>
      <c r="H38" s="206">
        <f t="shared" si="2"/>
        <v>119.95372413793103</v>
      </c>
    </row>
    <row r="39" spans="1:8" x14ac:dyDescent="0.25">
      <c r="A39" s="46">
        <f>'DIA 31'!B$6</f>
        <v>44500</v>
      </c>
      <c r="B39" s="199">
        <f>'DIA 31'!G$46</f>
        <v>1324.6004249999999</v>
      </c>
      <c r="C39" s="199">
        <f>'DIA 31'!G$52</f>
        <v>14.72396551724138</v>
      </c>
      <c r="D39" s="203">
        <f t="shared" si="0"/>
        <v>1339.3243905172412</v>
      </c>
      <c r="E39" s="199">
        <f>'DIA 31'!K$46</f>
        <v>0</v>
      </c>
      <c r="F39" s="199">
        <f>'DIA 31'!K$52</f>
        <v>0</v>
      </c>
      <c r="G39" s="206">
        <f t="shared" si="1"/>
        <v>1324.6004249999999</v>
      </c>
      <c r="H39" s="206">
        <f t="shared" si="2"/>
        <v>14.72396551724138</v>
      </c>
    </row>
    <row r="40" spans="1:8" x14ac:dyDescent="0.25">
      <c r="A40" s="53" t="s">
        <v>38</v>
      </c>
      <c r="B40" s="133">
        <f>SUM(B9:B39)</f>
        <v>26611.694075000003</v>
      </c>
      <c r="C40" s="133">
        <f>SUM(C9:C38)</f>
        <v>775.8318362068967</v>
      </c>
      <c r="D40" s="133">
        <f>SUM(D9:D38)</f>
        <v>26062.925486206899</v>
      </c>
    </row>
  </sheetData>
  <mergeCells count="6">
    <mergeCell ref="A1:A3"/>
    <mergeCell ref="E7:F7"/>
    <mergeCell ref="B4:G4"/>
    <mergeCell ref="B1:I1"/>
    <mergeCell ref="B2:I2"/>
    <mergeCell ref="B3:I3"/>
  </mergeCells>
  <conditionalFormatting sqref="G9:G39">
    <cfRule type="cellIs" dxfId="94" priority="5" operator="greaterThan">
      <formula>" Bs.  0"</formula>
    </cfRule>
    <cfRule type="cellIs" dxfId="93" priority="6" operator="lessThan">
      <formula>" Bs.  -2,00 "</formula>
    </cfRule>
  </conditionalFormatting>
  <conditionalFormatting sqref="G9:G39">
    <cfRule type="expression" dxfId="92" priority="4">
      <formula>G9=0</formula>
    </cfRule>
  </conditionalFormatting>
  <conditionalFormatting sqref="H9:H39">
    <cfRule type="cellIs" dxfId="91" priority="2" operator="greaterThan">
      <formula>" Bs.  0"</formula>
    </cfRule>
    <cfRule type="cellIs" dxfId="90" priority="3" operator="lessThan">
      <formula>" Bs.  -2,00 "</formula>
    </cfRule>
  </conditionalFormatting>
  <conditionalFormatting sqref="H9:H39">
    <cfRule type="expression" dxfId="89" priority="1">
      <formula>H9=0</formula>
    </cfRule>
  </conditionalFormatting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31" zoomScale="90" zoomScaleNormal="90" workbookViewId="0">
      <selection activeCell="G46" sqref="G46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" style="85" customWidth="1"/>
    <col min="16" max="17" width="17" style="85" customWidth="1"/>
    <col min="18" max="18" width="18.140625" style="85" customWidth="1"/>
    <col min="19" max="19" width="14.140625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21.285156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59"/>
      <c r="B1" s="296"/>
      <c r="C1" s="296"/>
      <c r="D1" s="296"/>
      <c r="E1" s="296"/>
      <c r="F1" s="296"/>
      <c r="G1" s="296"/>
      <c r="H1" s="296"/>
      <c r="M1" s="76"/>
      <c r="N1" s="71"/>
    </row>
    <row r="2" spans="1:28" s="84" customFormat="1" ht="16.5" customHeight="1" x14ac:dyDescent="0.35">
      <c r="A2" s="259"/>
      <c r="B2" s="296" t="s">
        <v>12</v>
      </c>
      <c r="C2" s="296"/>
      <c r="D2" s="296"/>
      <c r="E2" s="296"/>
      <c r="F2" s="296"/>
      <c r="G2" s="296"/>
      <c r="H2" s="296"/>
      <c r="M2" s="76"/>
      <c r="N2" s="71"/>
    </row>
    <row r="3" spans="1:28" s="84" customFormat="1" ht="21.75" customHeight="1" x14ac:dyDescent="0.25">
      <c r="A3" s="259"/>
      <c r="B3" s="297" t="s">
        <v>21</v>
      </c>
      <c r="C3" s="297"/>
      <c r="D3" s="297"/>
      <c r="E3" s="297"/>
      <c r="F3" s="297"/>
      <c r="G3" s="297"/>
      <c r="H3" s="297"/>
      <c r="M3" s="76"/>
      <c r="N3" s="71"/>
    </row>
    <row r="4" spans="1:28" x14ac:dyDescent="0.25">
      <c r="B4" s="298" t="s">
        <v>188</v>
      </c>
      <c r="C4" s="298"/>
      <c r="D4" s="298"/>
      <c r="E4" s="298"/>
      <c r="F4" s="298"/>
      <c r="G4" s="298"/>
      <c r="H4" s="298"/>
    </row>
    <row r="6" spans="1:28" x14ac:dyDescent="0.25">
      <c r="A6" s="7" t="s">
        <v>22</v>
      </c>
      <c r="B6" s="72">
        <v>44481</v>
      </c>
      <c r="D6" s="85" t="s">
        <v>23</v>
      </c>
      <c r="E6" s="8" t="s">
        <v>166</v>
      </c>
      <c r="F6" s="9"/>
      <c r="G6" s="9"/>
    </row>
    <row r="8" spans="1:28" x14ac:dyDescent="0.25">
      <c r="A8" s="7" t="s">
        <v>77</v>
      </c>
      <c r="B8" s="108">
        <v>4.16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175.2</v>
      </c>
      <c r="C12" s="15"/>
      <c r="D12" s="56"/>
      <c r="E12" s="16"/>
      <c r="F12" s="56"/>
      <c r="G12" s="56"/>
      <c r="H12" s="17"/>
      <c r="I12" s="83">
        <v>175.2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>
        <v>126</v>
      </c>
      <c r="Q12" s="153">
        <v>7</v>
      </c>
      <c r="R12" s="154">
        <v>3</v>
      </c>
      <c r="S12" s="155"/>
      <c r="T12" s="155"/>
      <c r="U12" s="189">
        <f>((T12/U$10)*U$9)</f>
        <v>0</v>
      </c>
      <c r="V12" s="189">
        <f>R12*V$10</f>
        <v>2.2499999999999999E-2</v>
      </c>
      <c r="W12" s="189">
        <f>+S12*V$10</f>
        <v>0</v>
      </c>
      <c r="X12" s="189">
        <f>+T12*X$10</f>
        <v>0</v>
      </c>
      <c r="Y12" s="189">
        <f>R12-V12</f>
        <v>2.9775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932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932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>
        <v>127</v>
      </c>
      <c r="Q13" s="153">
        <v>7</v>
      </c>
      <c r="R13" s="154">
        <v>428.53</v>
      </c>
      <c r="S13" s="155"/>
      <c r="T13" s="157"/>
      <c r="U13" s="189">
        <f t="shared" ref="U13:U41" si="2">((T13/U$10)*U$9)</f>
        <v>0</v>
      </c>
      <c r="V13" s="189">
        <f t="shared" ref="V13:V41" si="3">R13*V$10</f>
        <v>3.2139749999999996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425.31602499999997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3877.1200000000003</v>
      </c>
      <c r="C14" s="15"/>
      <c r="D14" s="56"/>
      <c r="E14" s="16"/>
      <c r="F14" s="56"/>
      <c r="G14" s="56"/>
      <c r="H14" s="17"/>
      <c r="I14" s="83"/>
      <c r="J14" s="81">
        <f t="shared" si="0"/>
        <v>3877.1200000000003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932</v>
      </c>
      <c r="C19" s="95"/>
      <c r="D19" s="94"/>
      <c r="E19" s="96"/>
      <c r="F19" s="94"/>
      <c r="G19" s="94"/>
      <c r="H19" s="98"/>
      <c r="I19" s="99"/>
      <c r="J19" s="185">
        <f>B19-I19</f>
        <v>932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3877.1200000000003</v>
      </c>
      <c r="C20" s="95"/>
      <c r="D20" s="94"/>
      <c r="E20" s="96"/>
      <c r="F20" s="94"/>
      <c r="G20" s="94"/>
      <c r="H20" s="98"/>
      <c r="I20" s="99">
        <v>3877.12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3" t="s">
        <v>107</v>
      </c>
      <c r="O42" s="294"/>
      <c r="P42" s="294"/>
      <c r="Q42" s="295"/>
      <c r="R42" s="190">
        <f t="shared" ref="R42:AA42" si="8">SUM(R12:R41)</f>
        <v>431.53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3.2364749999999995</v>
      </c>
      <c r="W42" s="190">
        <f t="shared" si="8"/>
        <v>0</v>
      </c>
      <c r="X42" s="190">
        <f t="shared" si="8"/>
        <v>0</v>
      </c>
      <c r="Y42" s="190">
        <f t="shared" si="8"/>
        <v>428.29352499999999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431.53</v>
      </c>
      <c r="C46" s="116">
        <v>7.4999999999999997E-3</v>
      </c>
      <c r="D46" s="117">
        <f>B46*C46</f>
        <v>3.2364749999999995</v>
      </c>
      <c r="E46" s="172">
        <v>0</v>
      </c>
      <c r="F46" s="117">
        <f t="shared" ref="F46:F50" si="15">D46*E46</f>
        <v>0</v>
      </c>
      <c r="G46" s="117">
        <f t="shared" ref="G46:G51" si="16">B46-D46-F46</f>
        <v>428.29352499999999</v>
      </c>
      <c r="H46" s="173">
        <f>B$6+1</f>
        <v>44482</v>
      </c>
      <c r="I46" s="174"/>
      <c r="J46" s="81">
        <f t="shared" si="0"/>
        <v>431.53</v>
      </c>
      <c r="K46" s="80"/>
      <c r="L46" s="186">
        <f>K46-G46</f>
        <v>-428.29352499999999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44482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44482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7</v>
      </c>
      <c r="B49" s="117">
        <f>R75</f>
        <v>3170.27</v>
      </c>
      <c r="C49" s="116">
        <v>7.4999999999999997E-3</v>
      </c>
      <c r="D49" s="117">
        <f t="shared" si="17"/>
        <v>23.777024999999998</v>
      </c>
      <c r="E49" s="172">
        <v>0</v>
      </c>
      <c r="F49" s="117">
        <f t="shared" si="15"/>
        <v>0</v>
      </c>
      <c r="G49" s="117">
        <f t="shared" si="16"/>
        <v>3146.4929750000001</v>
      </c>
      <c r="H49" s="173">
        <f t="shared" si="19"/>
        <v>44482</v>
      </c>
      <c r="I49" s="176"/>
      <c r="J49" s="81">
        <f t="shared" si="0"/>
        <v>3170.27</v>
      </c>
      <c r="K49" s="80"/>
      <c r="L49" s="186">
        <f t="shared" si="18"/>
        <v>3146.4929750000001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34.65</v>
      </c>
      <c r="C50" s="116">
        <v>7.4999999999999997E-3</v>
      </c>
      <c r="D50" s="117">
        <f t="shared" si="17"/>
        <v>0.25987499999999997</v>
      </c>
      <c r="E50" s="172">
        <v>0</v>
      </c>
      <c r="F50" s="117">
        <f t="shared" si="15"/>
        <v>0</v>
      </c>
      <c r="G50" s="117">
        <f t="shared" si="16"/>
        <v>34.390124999999998</v>
      </c>
      <c r="H50" s="173">
        <f t="shared" si="19"/>
        <v>44482</v>
      </c>
      <c r="I50" s="175"/>
      <c r="J50" s="81">
        <f t="shared" si="0"/>
        <v>34.65</v>
      </c>
      <c r="K50" s="80"/>
      <c r="L50" s="186">
        <f t="shared" si="18"/>
        <v>34.390124999999998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235.92</v>
      </c>
      <c r="C51" s="116">
        <v>1.4999999999999999E-2</v>
      </c>
      <c r="D51" s="117">
        <f>+B51*C51</f>
        <v>3.5387999999999997</v>
      </c>
      <c r="E51" s="172">
        <v>0</v>
      </c>
      <c r="F51" s="117">
        <f>D51*E51</f>
        <v>0</v>
      </c>
      <c r="G51" s="117">
        <f t="shared" si="16"/>
        <v>232.38119999999998</v>
      </c>
      <c r="H51" s="173">
        <f t="shared" si="19"/>
        <v>44482</v>
      </c>
      <c r="I51" s="175"/>
      <c r="J51" s="81">
        <f t="shared" si="0"/>
        <v>235.92</v>
      </c>
      <c r="K51" s="80"/>
      <c r="L51" s="186">
        <f t="shared" si="18"/>
        <v>232.38119999999998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44482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44482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44482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44482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178</v>
      </c>
      <c r="B56" s="117">
        <f>T75</f>
        <v>136.79999999999998</v>
      </c>
      <c r="C56" s="116">
        <v>2.5000000000000001E-2</v>
      </c>
      <c r="D56" s="117">
        <f t="shared" si="20"/>
        <v>3.42</v>
      </c>
      <c r="E56" s="172">
        <v>0.05</v>
      </c>
      <c r="F56" s="117">
        <f t="shared" si="21"/>
        <v>5.8965517241379315</v>
      </c>
      <c r="G56" s="117">
        <f t="shared" si="22"/>
        <v>127.48344827586206</v>
      </c>
      <c r="H56" s="173">
        <f t="shared" si="19"/>
        <v>44482</v>
      </c>
      <c r="I56" s="176">
        <v>136.80000000000001</v>
      </c>
      <c r="J56" s="81">
        <f t="shared" si="0"/>
        <v>0</v>
      </c>
      <c r="K56" s="80"/>
      <c r="L56" s="186">
        <f t="shared" si="18"/>
        <v>127.48344827586206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44484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44486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44511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34.232174999999998</v>
      </c>
      <c r="E61" s="177"/>
      <c r="F61" s="57">
        <f>SUM(F46:F58)</f>
        <v>5.8965517241379315</v>
      </c>
      <c r="G61" s="57">
        <f>SUM(G46:G58)</f>
        <v>3969.0412732758618</v>
      </c>
      <c r="H61" s="173">
        <f t="shared" si="19"/>
        <v>44482</v>
      </c>
      <c r="I61" s="175"/>
      <c r="J61" s="81">
        <f t="shared" si="0"/>
        <v>0</v>
      </c>
      <c r="K61" s="80"/>
      <c r="L61" s="186">
        <f t="shared" si="18"/>
        <v>3969.0412732758618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44482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2" t="s">
        <v>109</v>
      </c>
      <c r="O63" s="282"/>
      <c r="P63" s="282"/>
      <c r="Q63" s="28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7938.0825465517237</v>
      </c>
      <c r="H64" s="184"/>
      <c r="I64" s="175"/>
      <c r="J64" s="81">
        <f t="shared" si="0"/>
        <v>0</v>
      </c>
      <c r="K64" s="80"/>
      <c r="L64" s="186">
        <f t="shared" si="18"/>
        <v>7938.0825465517237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8061.4900000000007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9" t="s">
        <v>20</v>
      </c>
      <c r="B67" s="300"/>
      <c r="F67" s="301" t="s">
        <v>136</v>
      </c>
      <c r="G67" s="301"/>
      <c r="H67" s="301"/>
      <c r="I67" s="302" t="s">
        <v>138</v>
      </c>
      <c r="J67" s="303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8030.73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8030.73</v>
      </c>
      <c r="C69" s="59"/>
      <c r="F69" s="87" t="s">
        <v>129</v>
      </c>
      <c r="G69" s="22"/>
      <c r="H69" s="89">
        <f>+G52</f>
        <v>0</v>
      </c>
      <c r="I69" s="136"/>
      <c r="J69" s="136">
        <f>K52</f>
        <v>0</v>
      </c>
      <c r="N69" s="282" t="s">
        <v>110</v>
      </c>
      <c r="O69" s="282"/>
      <c r="P69" s="283"/>
      <c r="Q69" s="28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B68-B67</f>
        <v>8030.73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185</v>
      </c>
      <c r="P70" s="229">
        <v>314</v>
      </c>
      <c r="Q70" s="229">
        <v>2003</v>
      </c>
      <c r="R70" s="222">
        <v>528.85</v>
      </c>
      <c r="S70" s="229"/>
      <c r="T70" s="222"/>
      <c r="U70" s="189">
        <f t="shared" ref="U70:U74" si="34">((T70/U$10)*U$9)</f>
        <v>0</v>
      </c>
      <c r="V70" s="189">
        <f t="shared" ref="V70:V74" si="35">R70*V$10</f>
        <v>3.9663750000000002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524.88362500000005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30.760000000001128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185</v>
      </c>
      <c r="P71" s="229" t="s">
        <v>221</v>
      </c>
      <c r="Q71" s="229">
        <v>2003</v>
      </c>
      <c r="R71" s="222">
        <v>495.04</v>
      </c>
      <c r="S71" s="229"/>
      <c r="T71" s="222">
        <v>3.38</v>
      </c>
      <c r="U71" s="189">
        <f t="shared" si="34"/>
        <v>0.14568965517241381</v>
      </c>
      <c r="V71" s="189">
        <f t="shared" si="35"/>
        <v>3.7128000000000001</v>
      </c>
      <c r="W71" s="189">
        <f t="shared" si="36"/>
        <v>0</v>
      </c>
      <c r="X71" s="189">
        <f t="shared" si="37"/>
        <v>8.4500000000000006E-2</v>
      </c>
      <c r="Y71" s="189">
        <f t="shared" si="38"/>
        <v>491.3272</v>
      </c>
      <c r="Z71" s="189">
        <f t="shared" si="38"/>
        <v>0</v>
      </c>
      <c r="AA71" s="189">
        <f t="shared" si="39"/>
        <v>3.1498103448275865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185</v>
      </c>
      <c r="P72" s="229">
        <v>410</v>
      </c>
      <c r="Q72" s="229">
        <v>2002</v>
      </c>
      <c r="R72" s="222">
        <v>617.86</v>
      </c>
      <c r="S72" s="229"/>
      <c r="T72" s="229"/>
      <c r="U72" s="189">
        <f t="shared" si="34"/>
        <v>0</v>
      </c>
      <c r="V72" s="189">
        <f t="shared" si="35"/>
        <v>4.6339499999999996</v>
      </c>
      <c r="W72" s="189">
        <f t="shared" si="36"/>
        <v>0</v>
      </c>
      <c r="X72" s="189">
        <f t="shared" si="37"/>
        <v>0</v>
      </c>
      <c r="Y72" s="189">
        <f t="shared" si="38"/>
        <v>613.22604999999999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192</v>
      </c>
      <c r="P73" s="229" t="s">
        <v>222</v>
      </c>
      <c r="Q73" s="229">
        <v>2002</v>
      </c>
      <c r="R73" s="222">
        <v>1110.3699999999999</v>
      </c>
      <c r="S73" s="229"/>
      <c r="T73" s="229">
        <v>133.41999999999999</v>
      </c>
      <c r="U73" s="189">
        <f t="shared" si="34"/>
        <v>5.7508620689655174</v>
      </c>
      <c r="V73" s="189">
        <f t="shared" si="35"/>
        <v>8.327774999999999</v>
      </c>
      <c r="W73" s="189">
        <f t="shared" si="36"/>
        <v>0</v>
      </c>
      <c r="X73" s="189">
        <f t="shared" si="37"/>
        <v>3.3354999999999997</v>
      </c>
      <c r="Y73" s="189">
        <f t="shared" si="38"/>
        <v>1102.0422249999999</v>
      </c>
      <c r="Z73" s="189">
        <f t="shared" si="38"/>
        <v>0</v>
      </c>
      <c r="AA73" s="189">
        <f t="shared" si="39"/>
        <v>124.33363793103447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192</v>
      </c>
      <c r="P74" s="229">
        <v>330</v>
      </c>
      <c r="Q74" s="229">
        <v>2002</v>
      </c>
      <c r="R74" s="222">
        <v>418.15</v>
      </c>
      <c r="S74" s="229"/>
      <c r="T74" s="229"/>
      <c r="U74" s="189">
        <f t="shared" si="34"/>
        <v>0</v>
      </c>
      <c r="V74" s="189">
        <f t="shared" si="35"/>
        <v>3.1361249999999998</v>
      </c>
      <c r="W74" s="189">
        <f t="shared" si="36"/>
        <v>0</v>
      </c>
      <c r="X74" s="189">
        <f t="shared" si="37"/>
        <v>0</v>
      </c>
      <c r="Y74" s="189">
        <f t="shared" si="38"/>
        <v>415.01387499999998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2" t="s">
        <v>128</v>
      </c>
      <c r="O75" s="282"/>
      <c r="P75" s="283"/>
      <c r="Q75" s="283"/>
      <c r="R75" s="192">
        <f>SUM(R70:R74)</f>
        <v>3170.27</v>
      </c>
      <c r="S75" s="192"/>
      <c r="T75" s="192">
        <f>SUM(T70:T74)</f>
        <v>136.79999999999998</v>
      </c>
      <c r="U75" s="192">
        <f>SUM(U70:U74)</f>
        <v>5.8965517241379315</v>
      </c>
      <c r="V75" s="192">
        <f t="shared" ref="V75:AA75" si="41">SUM(V70:V74)</f>
        <v>23.777024999999998</v>
      </c>
      <c r="W75" s="192">
        <f t="shared" si="41"/>
        <v>0</v>
      </c>
      <c r="X75" s="192">
        <f t="shared" si="41"/>
        <v>3.4199999999999995</v>
      </c>
      <c r="Y75" s="192">
        <f t="shared" si="41"/>
        <v>3146.4929750000001</v>
      </c>
      <c r="Z75" s="192">
        <f t="shared" si="41"/>
        <v>0</v>
      </c>
      <c r="AA75" s="193">
        <f t="shared" si="41"/>
        <v>127.48344827586206</v>
      </c>
      <c r="AB75" s="103"/>
    </row>
    <row r="76" spans="1:30" ht="15.75" x14ac:dyDescent="0.25">
      <c r="N76" s="284" t="s">
        <v>73</v>
      </c>
      <c r="O76" s="286" t="s">
        <v>67</v>
      </c>
      <c r="P76" s="282" t="s">
        <v>62</v>
      </c>
      <c r="Q76" s="282"/>
      <c r="R76" s="282"/>
      <c r="S76" s="282"/>
      <c r="T76" s="282"/>
      <c r="U76" s="288" t="s">
        <v>68</v>
      </c>
      <c r="V76" s="289"/>
      <c r="W76" s="289"/>
      <c r="X76" s="289"/>
      <c r="Y76" s="290"/>
      <c r="Z76" s="279" t="s">
        <v>54</v>
      </c>
      <c r="AA76" s="279" t="s">
        <v>64</v>
      </c>
      <c r="AB76" s="279" t="s">
        <v>124</v>
      </c>
      <c r="AC76" s="280" t="s">
        <v>127</v>
      </c>
      <c r="AD76" s="281" t="s">
        <v>65</v>
      </c>
    </row>
    <row r="77" spans="1:30" ht="60" x14ac:dyDescent="0.25">
      <c r="F77" s="291" t="s">
        <v>140</v>
      </c>
      <c r="G77" s="292"/>
      <c r="H77" s="141" t="s">
        <v>142</v>
      </c>
      <c r="N77" s="285"/>
      <c r="O77" s="287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79"/>
      <c r="AA77" s="279"/>
      <c r="AB77" s="279"/>
      <c r="AC77" s="280" t="s">
        <v>127</v>
      </c>
      <c r="AD77" s="281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4.22</v>
      </c>
      <c r="Q78" s="137">
        <v>30.43</v>
      </c>
      <c r="R78" s="82">
        <v>7.4999999999999997E-3</v>
      </c>
      <c r="S78" s="194">
        <f>+(P78+Q78)*R78</f>
        <v>0.25987499999999997</v>
      </c>
      <c r="T78" s="219">
        <f>+(P78+Q78)-S78</f>
        <v>34.390124999999998</v>
      </c>
      <c r="U78" s="211">
        <v>235.92</v>
      </c>
      <c r="V78" s="112"/>
      <c r="W78" s="113">
        <v>1.4999999999999999E-2</v>
      </c>
      <c r="X78" s="196">
        <f>+(U78+V78)*W78</f>
        <v>3.5387999999999997</v>
      </c>
      <c r="Y78" s="213">
        <f>+(U78+V78)-X78</f>
        <v>232.38119999999998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3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3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3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3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4.22</v>
      </c>
      <c r="Q98" s="195">
        <f>SUM(Q78:Q97)</f>
        <v>30.43</v>
      </c>
      <c r="R98" s="111"/>
      <c r="S98" s="195">
        <f>SUM(S78:S97)</f>
        <v>0.25987499999999997</v>
      </c>
      <c r="T98" s="195">
        <f>SUM(T78:T97)</f>
        <v>34.390124999999998</v>
      </c>
      <c r="U98" s="114">
        <f>SUM(U78:U97)</f>
        <v>235.92</v>
      </c>
      <c r="V98" s="114">
        <f>SUM(V78:V97)</f>
        <v>0</v>
      </c>
      <c r="W98" s="112"/>
      <c r="X98" s="197">
        <f>SUM(X78:X97)</f>
        <v>3.5387999999999997</v>
      </c>
      <c r="Y98" s="197">
        <f>SUM(Y78:Y97)</f>
        <v>232.38119999999998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Q101" s="215">
        <f t="shared" ref="Q101:Q106" si="50">P78+Q78+U78</f>
        <v>270.57</v>
      </c>
    </row>
    <row r="102" spans="14:30" x14ac:dyDescent="0.25">
      <c r="N102" s="85"/>
      <c r="Q102" s="215">
        <f t="shared" si="50"/>
        <v>0</v>
      </c>
    </row>
    <row r="103" spans="14:30" x14ac:dyDescent="0.25">
      <c r="N103" s="85"/>
      <c r="Q103" s="215">
        <f t="shared" si="50"/>
        <v>0</v>
      </c>
    </row>
    <row r="104" spans="14:30" x14ac:dyDescent="0.25">
      <c r="N104" s="85"/>
      <c r="Q104" s="215">
        <f t="shared" si="50"/>
        <v>0</v>
      </c>
    </row>
    <row r="105" spans="14:30" x14ac:dyDescent="0.25">
      <c r="N105" s="85"/>
      <c r="Q105" s="215">
        <f t="shared" si="50"/>
        <v>0</v>
      </c>
    </row>
    <row r="106" spans="14:30" x14ac:dyDescent="0.25">
      <c r="N106" s="85"/>
      <c r="Q106" s="215">
        <f t="shared" si="50"/>
        <v>0</v>
      </c>
    </row>
    <row r="107" spans="14:30" x14ac:dyDescent="0.25">
      <c r="N107" s="85"/>
      <c r="Q107" s="84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9" priority="1" operator="greaterThan">
      <formula>0</formula>
    </cfRule>
    <cfRule type="cellIs" dxfId="3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19" zoomScale="90" zoomScaleNormal="90" workbookViewId="0">
      <selection activeCell="G52" sqref="G52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20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85546875" style="85" customWidth="1"/>
    <col min="16" max="17" width="17" style="85" customWidth="1"/>
    <col min="18" max="18" width="18.140625" style="85" customWidth="1"/>
    <col min="19" max="19" width="15.8554687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20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59"/>
      <c r="B1" s="296"/>
      <c r="C1" s="296"/>
      <c r="D1" s="296"/>
      <c r="E1" s="296"/>
      <c r="F1" s="296"/>
      <c r="G1" s="296"/>
      <c r="H1" s="296"/>
      <c r="M1" s="76"/>
      <c r="N1" s="71"/>
    </row>
    <row r="2" spans="1:28" s="84" customFormat="1" ht="16.5" customHeight="1" x14ac:dyDescent="0.35">
      <c r="A2" s="259"/>
      <c r="B2" s="296" t="s">
        <v>12</v>
      </c>
      <c r="C2" s="296"/>
      <c r="D2" s="296"/>
      <c r="E2" s="296"/>
      <c r="F2" s="296"/>
      <c r="G2" s="296"/>
      <c r="H2" s="296"/>
      <c r="M2" s="76"/>
      <c r="N2" s="71"/>
    </row>
    <row r="3" spans="1:28" s="84" customFormat="1" ht="21.75" customHeight="1" x14ac:dyDescent="0.25">
      <c r="A3" s="259"/>
      <c r="B3" s="297" t="s">
        <v>21</v>
      </c>
      <c r="C3" s="297"/>
      <c r="D3" s="297"/>
      <c r="E3" s="297"/>
      <c r="F3" s="297"/>
      <c r="G3" s="297"/>
      <c r="H3" s="297"/>
      <c r="M3" s="76"/>
      <c r="N3" s="71"/>
    </row>
    <row r="4" spans="1:28" x14ac:dyDescent="0.25">
      <c r="B4" s="298" t="s">
        <v>188</v>
      </c>
      <c r="C4" s="298"/>
      <c r="D4" s="298"/>
      <c r="E4" s="298"/>
      <c r="F4" s="298"/>
      <c r="G4" s="298"/>
      <c r="H4" s="298"/>
    </row>
    <row r="6" spans="1:28" x14ac:dyDescent="0.25">
      <c r="A6" s="7" t="s">
        <v>22</v>
      </c>
      <c r="B6" s="72">
        <v>44482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4.16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229.7</v>
      </c>
      <c r="C12" s="15"/>
      <c r="D12" s="56"/>
      <c r="E12" s="16"/>
      <c r="F12" s="56"/>
      <c r="G12" s="56"/>
      <c r="H12" s="17"/>
      <c r="I12" s="83">
        <v>229.7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>
        <v>128</v>
      </c>
      <c r="Q12" s="153">
        <v>7</v>
      </c>
      <c r="R12" s="154">
        <v>527.78</v>
      </c>
      <c r="S12" s="155"/>
      <c r="T12" s="155">
        <v>38.83</v>
      </c>
      <c r="U12" s="189">
        <f>((T12/U$10)*U$9)</f>
        <v>1.6737068965517243</v>
      </c>
      <c r="V12" s="189">
        <f>R12*V$10</f>
        <v>3.9583499999999998</v>
      </c>
      <c r="W12" s="189">
        <f>+S12*V$10</f>
        <v>0</v>
      </c>
      <c r="X12" s="189">
        <f>+T12*X$10</f>
        <v>0.97075</v>
      </c>
      <c r="Y12" s="189">
        <f>R12-V12</f>
        <v>523.82164999999998</v>
      </c>
      <c r="Z12" s="189">
        <f>S12-W12</f>
        <v>0</v>
      </c>
      <c r="AA12" s="189">
        <f>T12-U12-X12</f>
        <v>36.185543103448275</v>
      </c>
      <c r="AB12" s="156"/>
    </row>
    <row r="13" spans="1:28" ht="15.75" x14ac:dyDescent="0.25">
      <c r="A13" s="86" t="s">
        <v>76</v>
      </c>
      <c r="B13" s="89">
        <v>1093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1093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4546.88</v>
      </c>
      <c r="C14" s="15"/>
      <c r="D14" s="56"/>
      <c r="E14" s="16"/>
      <c r="F14" s="56"/>
      <c r="G14" s="56"/>
      <c r="H14" s="17"/>
      <c r="I14" s="83"/>
      <c r="J14" s="81">
        <f t="shared" si="0"/>
        <v>4546.88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1093</v>
      </c>
      <c r="C19" s="95"/>
      <c r="D19" s="94"/>
      <c r="E19" s="96"/>
      <c r="F19" s="94"/>
      <c r="G19" s="94"/>
      <c r="H19" s="98"/>
      <c r="I19" s="99"/>
      <c r="J19" s="185">
        <f>B19-I19</f>
        <v>1093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4546.88</v>
      </c>
      <c r="C20" s="95"/>
      <c r="D20" s="94"/>
      <c r="E20" s="96"/>
      <c r="F20" s="94"/>
      <c r="G20" s="94"/>
      <c r="H20" s="98"/>
      <c r="I20" s="99">
        <v>4568.74</v>
      </c>
      <c r="J20" s="185">
        <f t="shared" si="0"/>
        <v>-21.859999999999673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3" t="s">
        <v>107</v>
      </c>
      <c r="O42" s="294"/>
      <c r="P42" s="294"/>
      <c r="Q42" s="295"/>
      <c r="R42" s="190">
        <f t="shared" ref="R42:AA42" si="8">SUM(R12:R41)</f>
        <v>527.78</v>
      </c>
      <c r="S42" s="190">
        <f t="shared" si="8"/>
        <v>0</v>
      </c>
      <c r="T42" s="190">
        <f t="shared" si="8"/>
        <v>38.83</v>
      </c>
      <c r="U42" s="190">
        <f t="shared" si="8"/>
        <v>1.6737068965517243</v>
      </c>
      <c r="V42" s="190">
        <f t="shared" si="8"/>
        <v>3.9583499999999998</v>
      </c>
      <c r="W42" s="190">
        <f t="shared" si="8"/>
        <v>0</v>
      </c>
      <c r="X42" s="190">
        <f t="shared" si="8"/>
        <v>0.97075</v>
      </c>
      <c r="Y42" s="190">
        <f t="shared" si="8"/>
        <v>523.82164999999998</v>
      </c>
      <c r="Z42" s="190">
        <f t="shared" si="8"/>
        <v>0</v>
      </c>
      <c r="AA42" s="190">
        <f t="shared" si="8"/>
        <v>36.185543103448275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527.78</v>
      </c>
      <c r="C46" s="116">
        <v>7.4999999999999997E-3</v>
      </c>
      <c r="D46" s="117">
        <f>B46*C46</f>
        <v>3.9583499999999998</v>
      </c>
      <c r="E46" s="172">
        <v>0</v>
      </c>
      <c r="F46" s="117">
        <f t="shared" ref="F46:F50" si="15">D46*E46</f>
        <v>0</v>
      </c>
      <c r="G46" s="117">
        <f t="shared" ref="G46:G51" si="16">B46-D46-F46</f>
        <v>523.82164999999998</v>
      </c>
      <c r="H46" s="173">
        <f>B$6+1</f>
        <v>44483</v>
      </c>
      <c r="I46" s="174"/>
      <c r="J46" s="81">
        <f t="shared" si="0"/>
        <v>527.78</v>
      </c>
      <c r="K46" s="80"/>
      <c r="L46" s="186">
        <f>K46-G46</f>
        <v>-523.82164999999998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44483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176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44483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184</v>
      </c>
      <c r="B49" s="117">
        <f>R75</f>
        <v>2874.8999999999996</v>
      </c>
      <c r="C49" s="116">
        <v>7.4999999999999997E-3</v>
      </c>
      <c r="D49" s="117">
        <f t="shared" si="17"/>
        <v>21.561749999999996</v>
      </c>
      <c r="E49" s="172">
        <v>0</v>
      </c>
      <c r="F49" s="117">
        <f t="shared" si="15"/>
        <v>0</v>
      </c>
      <c r="G49" s="117">
        <f t="shared" si="16"/>
        <v>2853.3382499999998</v>
      </c>
      <c r="H49" s="173">
        <f t="shared" si="19"/>
        <v>44483</v>
      </c>
      <c r="I49" s="176"/>
      <c r="J49" s="81">
        <f t="shared" si="0"/>
        <v>2874.8999999999996</v>
      </c>
      <c r="K49" s="80"/>
      <c r="L49" s="186">
        <f t="shared" si="18"/>
        <v>2853.3382499999998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44483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44483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38.83</v>
      </c>
      <c r="C52" s="116">
        <v>2.5000000000000001E-2</v>
      </c>
      <c r="D52" s="117">
        <f>B52*C52</f>
        <v>0.97075</v>
      </c>
      <c r="E52" s="172">
        <v>0.05</v>
      </c>
      <c r="F52" s="117">
        <f>(B52/E$10)*E52</f>
        <v>1.6737068965517243</v>
      </c>
      <c r="G52" s="117">
        <f>B52-D52-F52</f>
        <v>36.185543103448275</v>
      </c>
      <c r="H52" s="188">
        <f t="shared" si="19"/>
        <v>44483</v>
      </c>
      <c r="I52" s="176">
        <v>38.83</v>
      </c>
      <c r="J52" s="81">
        <f t="shared" si="0"/>
        <v>0</v>
      </c>
      <c r="K52" s="80"/>
      <c r="L52" s="186">
        <f>K52-G52</f>
        <v>-36.185543103448275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44483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44483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44483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171</v>
      </c>
      <c r="B56" s="117">
        <f>T75</f>
        <v>114.08000000000001</v>
      </c>
      <c r="C56" s="116">
        <v>2.5000000000000001E-2</v>
      </c>
      <c r="D56" s="117">
        <f t="shared" si="20"/>
        <v>2.8520000000000003</v>
      </c>
      <c r="E56" s="172">
        <v>0.05</v>
      </c>
      <c r="F56" s="117">
        <f t="shared" si="21"/>
        <v>4.9172413793103464</v>
      </c>
      <c r="G56" s="117">
        <f t="shared" si="22"/>
        <v>106.31075862068967</v>
      </c>
      <c r="H56" s="173">
        <f t="shared" si="19"/>
        <v>44483</v>
      </c>
      <c r="I56" s="176">
        <v>114.08</v>
      </c>
      <c r="J56" s="81">
        <f t="shared" si="0"/>
        <v>0</v>
      </c>
      <c r="K56" s="80"/>
      <c r="L56" s="186">
        <f t="shared" si="18"/>
        <v>106.31075862068967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44485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44487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44512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29.342849999999995</v>
      </c>
      <c r="E61" s="177"/>
      <c r="F61" s="57">
        <f>SUM(F46:F58)</f>
        <v>6.590948275862071</v>
      </c>
      <c r="G61" s="57">
        <f>SUM(G46:G58)</f>
        <v>3519.6562017241376</v>
      </c>
      <c r="H61" s="173">
        <f t="shared" si="19"/>
        <v>44483</v>
      </c>
      <c r="I61" s="175"/>
      <c r="J61" s="81">
        <f t="shared" si="0"/>
        <v>0</v>
      </c>
      <c r="K61" s="80"/>
      <c r="L61" s="186">
        <f t="shared" si="18"/>
        <v>3519.6562017241376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44483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2" t="s">
        <v>109</v>
      </c>
      <c r="O63" s="282"/>
      <c r="P63" s="282"/>
      <c r="Q63" s="28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7039.3124034482753</v>
      </c>
      <c r="H64" s="184"/>
      <c r="I64" s="175"/>
      <c r="J64" s="81">
        <f t="shared" si="0"/>
        <v>0</v>
      </c>
      <c r="K64" s="80"/>
      <c r="L64" s="186">
        <f t="shared" si="18"/>
        <v>7039.3124034482753</v>
      </c>
      <c r="M64" s="130"/>
      <c r="N64" s="87">
        <v>1</v>
      </c>
      <c r="O64" s="122" t="s">
        <v>172</v>
      </c>
      <c r="P64" s="87"/>
      <c r="Q64" s="87"/>
      <c r="R64" s="13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8332.17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9" t="s">
        <v>20</v>
      </c>
      <c r="B67" s="300"/>
      <c r="F67" s="301" t="s">
        <v>136</v>
      </c>
      <c r="G67" s="301"/>
      <c r="H67" s="301"/>
      <c r="I67" s="302" t="s">
        <v>138</v>
      </c>
      <c r="J67" s="303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8297.9599999999991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8297.9599999999991</v>
      </c>
      <c r="C69" s="59"/>
      <c r="F69" s="87" t="s">
        <v>129</v>
      </c>
      <c r="G69" s="22"/>
      <c r="H69" s="89"/>
      <c r="I69" s="136"/>
      <c r="J69" s="136">
        <f>K52</f>
        <v>0</v>
      </c>
      <c r="N69" s="282" t="s">
        <v>110</v>
      </c>
      <c r="O69" s="282"/>
      <c r="P69" s="283"/>
      <c r="Q69" s="28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B68-B67</f>
        <v>8297.9599999999991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189</v>
      </c>
      <c r="P70" s="87">
        <v>316</v>
      </c>
      <c r="Q70" s="87">
        <v>2003</v>
      </c>
      <c r="R70" s="137">
        <v>162.44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1.2182999999999999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161.2217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34.210000000000946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189</v>
      </c>
      <c r="P71" s="87">
        <v>317</v>
      </c>
      <c r="Q71" s="87">
        <v>2003</v>
      </c>
      <c r="R71" s="137">
        <v>738.85</v>
      </c>
      <c r="S71" s="87"/>
      <c r="T71" s="137"/>
      <c r="U71" s="189">
        <f t="shared" si="34"/>
        <v>0</v>
      </c>
      <c r="V71" s="189">
        <f t="shared" si="35"/>
        <v>5.5413750000000004</v>
      </c>
      <c r="W71" s="189">
        <f t="shared" si="36"/>
        <v>0</v>
      </c>
      <c r="X71" s="189">
        <f t="shared" si="37"/>
        <v>0</v>
      </c>
      <c r="Y71" s="189">
        <f t="shared" si="38"/>
        <v>733.30862500000001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189</v>
      </c>
      <c r="P72" s="87" t="s">
        <v>223</v>
      </c>
      <c r="Q72" s="87">
        <v>2002</v>
      </c>
      <c r="R72" s="137">
        <v>427.87</v>
      </c>
      <c r="S72" s="87"/>
      <c r="T72" s="87">
        <v>16.46</v>
      </c>
      <c r="U72" s="189">
        <f t="shared" si="34"/>
        <v>0.70948275862068977</v>
      </c>
      <c r="V72" s="189">
        <f t="shared" si="35"/>
        <v>3.209025</v>
      </c>
      <c r="W72" s="189">
        <f t="shared" si="36"/>
        <v>0</v>
      </c>
      <c r="X72" s="189">
        <f t="shared" si="37"/>
        <v>0.41150000000000003</v>
      </c>
      <c r="Y72" s="189">
        <f t="shared" si="38"/>
        <v>424.66097500000001</v>
      </c>
      <c r="Z72" s="189">
        <f t="shared" si="38"/>
        <v>0</v>
      </c>
      <c r="AA72" s="189">
        <f t="shared" si="39"/>
        <v>15.339017241379311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186</v>
      </c>
      <c r="P73" s="87">
        <v>333</v>
      </c>
      <c r="Q73" s="87">
        <v>2002</v>
      </c>
      <c r="R73" s="137">
        <v>804.49</v>
      </c>
      <c r="S73" s="87"/>
      <c r="T73" s="87">
        <v>97.62</v>
      </c>
      <c r="U73" s="189">
        <f t="shared" si="34"/>
        <v>4.2077586206896553</v>
      </c>
      <c r="V73" s="189">
        <f t="shared" si="35"/>
        <v>6.0336749999999997</v>
      </c>
      <c r="W73" s="189">
        <f t="shared" si="36"/>
        <v>0</v>
      </c>
      <c r="X73" s="189">
        <f t="shared" si="37"/>
        <v>2.4405000000000001</v>
      </c>
      <c r="Y73" s="189">
        <f t="shared" si="38"/>
        <v>798.45632499999999</v>
      </c>
      <c r="Z73" s="189">
        <f t="shared" si="38"/>
        <v>0</v>
      </c>
      <c r="AA73" s="189">
        <f t="shared" si="39"/>
        <v>90.971741379310345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186</v>
      </c>
      <c r="P74" s="87">
        <v>332</v>
      </c>
      <c r="Q74" s="87">
        <v>2002</v>
      </c>
      <c r="R74" s="137">
        <v>741.25</v>
      </c>
      <c r="S74" s="87"/>
      <c r="T74" s="87"/>
      <c r="U74" s="189">
        <f t="shared" si="34"/>
        <v>0</v>
      </c>
      <c r="V74" s="189">
        <f t="shared" si="35"/>
        <v>5.5593750000000002</v>
      </c>
      <c r="W74" s="189">
        <f t="shared" si="36"/>
        <v>0</v>
      </c>
      <c r="X74" s="189">
        <f t="shared" si="37"/>
        <v>0</v>
      </c>
      <c r="Y74" s="189">
        <f t="shared" si="38"/>
        <v>735.69062499999995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2" t="s">
        <v>128</v>
      </c>
      <c r="O75" s="282"/>
      <c r="P75" s="283"/>
      <c r="Q75" s="283"/>
      <c r="R75" s="192">
        <f>SUM(R70:R74)</f>
        <v>2874.8999999999996</v>
      </c>
      <c r="S75" s="192"/>
      <c r="T75" s="192">
        <f>SUM(T70:T74)</f>
        <v>114.08000000000001</v>
      </c>
      <c r="U75" s="192">
        <f>SUM(U70:U74)</f>
        <v>4.9172413793103456</v>
      </c>
      <c r="V75" s="192">
        <f t="shared" ref="V75:AA75" si="41">SUM(V70:V74)</f>
        <v>21.56175</v>
      </c>
      <c r="W75" s="192">
        <f t="shared" si="41"/>
        <v>0</v>
      </c>
      <c r="X75" s="192">
        <f t="shared" si="41"/>
        <v>2.8520000000000003</v>
      </c>
      <c r="Y75" s="192">
        <f t="shared" si="41"/>
        <v>2853.3382499999998</v>
      </c>
      <c r="Z75" s="192">
        <f t="shared" si="41"/>
        <v>0</v>
      </c>
      <c r="AA75" s="193">
        <f t="shared" si="41"/>
        <v>106.31075862068965</v>
      </c>
      <c r="AB75" s="103"/>
    </row>
    <row r="76" spans="1:30" ht="15.75" x14ac:dyDescent="0.25">
      <c r="N76" s="284" t="s">
        <v>73</v>
      </c>
      <c r="O76" s="286" t="s">
        <v>67</v>
      </c>
      <c r="P76" s="282" t="s">
        <v>62</v>
      </c>
      <c r="Q76" s="282"/>
      <c r="R76" s="282"/>
      <c r="S76" s="282"/>
      <c r="T76" s="282"/>
      <c r="U76" s="288" t="s">
        <v>68</v>
      </c>
      <c r="V76" s="289"/>
      <c r="W76" s="289"/>
      <c r="X76" s="289"/>
      <c r="Y76" s="290"/>
      <c r="Z76" s="279" t="s">
        <v>54</v>
      </c>
      <c r="AA76" s="279" t="s">
        <v>64</v>
      </c>
      <c r="AB76" s="279" t="s">
        <v>124</v>
      </c>
      <c r="AC76" s="280" t="s">
        <v>127</v>
      </c>
      <c r="AD76" s="281" t="s">
        <v>65</v>
      </c>
    </row>
    <row r="77" spans="1:30" ht="60" x14ac:dyDescent="0.25">
      <c r="F77" s="291" t="s">
        <v>140</v>
      </c>
      <c r="G77" s="292"/>
      <c r="H77" s="141" t="s">
        <v>142</v>
      </c>
      <c r="N77" s="285"/>
      <c r="O77" s="287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79"/>
      <c r="AA77" s="279"/>
      <c r="AB77" s="279"/>
      <c r="AC77" s="280" t="s">
        <v>127</v>
      </c>
      <c r="AD77" s="281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8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5">
        <f>P78+Q78+U78</f>
        <v>0</v>
      </c>
    </row>
    <row r="102" spans="14:30" x14ac:dyDescent="0.25">
      <c r="N102" s="85"/>
      <c r="P102" s="215">
        <f>P79+Q79+U79</f>
        <v>0</v>
      </c>
    </row>
    <row r="103" spans="14:30" x14ac:dyDescent="0.25">
      <c r="N103" s="85"/>
      <c r="P103" s="215">
        <f>P80+U80+Q80</f>
        <v>0</v>
      </c>
    </row>
    <row r="104" spans="14:30" x14ac:dyDescent="0.25">
      <c r="N104" s="85"/>
      <c r="P104" s="237">
        <f>Q81+U81+P81</f>
        <v>0</v>
      </c>
    </row>
    <row r="105" spans="14:30" x14ac:dyDescent="0.25">
      <c r="N105" s="85"/>
      <c r="P105" s="215"/>
    </row>
    <row r="106" spans="14:30" x14ac:dyDescent="0.25">
      <c r="N106" s="85"/>
      <c r="P106" s="237">
        <f>P83+Q83+U83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7" priority="1" operator="greaterThan">
      <formula>0</formula>
    </cfRule>
    <cfRule type="cellIs" dxfId="3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40" zoomScale="90" zoomScaleNormal="90" workbookViewId="0">
      <selection activeCell="G46" sqref="G46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42578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9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59"/>
      <c r="B1" s="296"/>
      <c r="C1" s="296"/>
      <c r="D1" s="296"/>
      <c r="E1" s="296"/>
      <c r="F1" s="296"/>
      <c r="G1" s="296"/>
      <c r="H1" s="296"/>
      <c r="M1" s="76"/>
      <c r="N1" s="71"/>
    </row>
    <row r="2" spans="1:28" s="84" customFormat="1" ht="16.5" customHeight="1" x14ac:dyDescent="0.35">
      <c r="A2" s="259"/>
      <c r="B2" s="296" t="s">
        <v>12</v>
      </c>
      <c r="C2" s="296"/>
      <c r="D2" s="296"/>
      <c r="E2" s="296"/>
      <c r="F2" s="296"/>
      <c r="G2" s="296"/>
      <c r="H2" s="296"/>
      <c r="M2" s="76"/>
      <c r="N2" s="71"/>
    </row>
    <row r="3" spans="1:28" s="84" customFormat="1" ht="21.75" customHeight="1" x14ac:dyDescent="0.25">
      <c r="A3" s="259"/>
      <c r="B3" s="297" t="s">
        <v>21</v>
      </c>
      <c r="C3" s="297"/>
      <c r="D3" s="297"/>
      <c r="E3" s="297"/>
      <c r="F3" s="297"/>
      <c r="G3" s="297"/>
      <c r="H3" s="297"/>
      <c r="M3" s="76"/>
      <c r="N3" s="71"/>
    </row>
    <row r="4" spans="1:28" x14ac:dyDescent="0.25">
      <c r="B4" s="298" t="s">
        <v>188</v>
      </c>
      <c r="C4" s="298"/>
      <c r="D4" s="298"/>
      <c r="E4" s="298"/>
      <c r="F4" s="298"/>
      <c r="G4" s="298"/>
      <c r="H4" s="298"/>
    </row>
    <row r="6" spans="1:28" x14ac:dyDescent="0.25">
      <c r="A6" s="7" t="s">
        <v>22</v>
      </c>
      <c r="B6" s="72">
        <v>44483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4.18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314.95</v>
      </c>
      <c r="C12" s="15"/>
      <c r="D12" s="56"/>
      <c r="E12" s="16"/>
      <c r="F12" s="56"/>
      <c r="G12" s="56"/>
      <c r="H12" s="17"/>
      <c r="I12" s="83">
        <v>314.95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>
        <v>129</v>
      </c>
      <c r="Q12" s="153">
        <v>7</v>
      </c>
      <c r="R12" s="154">
        <v>604.67999999999995</v>
      </c>
      <c r="S12" s="155"/>
      <c r="T12" s="155"/>
      <c r="U12" s="189">
        <f>((T12/U$10)*U$9)</f>
        <v>0</v>
      </c>
      <c r="V12" s="189">
        <f>R12*V$10</f>
        <v>4.535099999999999</v>
      </c>
      <c r="W12" s="189">
        <f>+S12*V$10</f>
        <v>0</v>
      </c>
      <c r="X12" s="189">
        <f>+T12*X$10</f>
        <v>0</v>
      </c>
      <c r="Y12" s="189">
        <f>R12-V12</f>
        <v>600.14490000000001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639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639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2671.02</v>
      </c>
      <c r="C14" s="15"/>
      <c r="D14" s="56"/>
      <c r="E14" s="16"/>
      <c r="F14" s="56"/>
      <c r="G14" s="56"/>
      <c r="H14" s="17"/>
      <c r="I14" s="83"/>
      <c r="J14" s="81">
        <f t="shared" si="0"/>
        <v>2671.02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639</v>
      </c>
      <c r="C19" s="95"/>
      <c r="D19" s="94"/>
      <c r="E19" s="96"/>
      <c r="F19" s="94"/>
      <c r="G19" s="94"/>
      <c r="H19" s="98"/>
      <c r="I19" s="99"/>
      <c r="J19" s="185">
        <f>B19-I19</f>
        <v>639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2671.02</v>
      </c>
      <c r="C20" s="95"/>
      <c r="D20" s="94"/>
      <c r="E20" s="96"/>
      <c r="F20" s="94"/>
      <c r="G20" s="94"/>
      <c r="H20" s="98"/>
      <c r="I20" s="99">
        <v>2658.24</v>
      </c>
      <c r="J20" s="185">
        <f t="shared" si="0"/>
        <v>12.7800000000002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>
        <v>20</v>
      </c>
      <c r="C29" s="100"/>
      <c r="D29" s="66"/>
      <c r="E29" s="67"/>
      <c r="F29" s="66"/>
      <c r="G29" s="66"/>
      <c r="H29" s="102"/>
      <c r="I29" s="79">
        <v>20</v>
      </c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83.6</v>
      </c>
      <c r="C30" s="100"/>
      <c r="D30" s="66"/>
      <c r="E30" s="67"/>
      <c r="F30" s="66"/>
      <c r="G30" s="66"/>
      <c r="H30" s="102"/>
      <c r="I30" s="79">
        <v>83.6</v>
      </c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20</v>
      </c>
      <c r="C35" s="95"/>
      <c r="D35" s="94"/>
      <c r="E35" s="96"/>
      <c r="F35" s="94"/>
      <c r="G35" s="94"/>
      <c r="H35" s="98"/>
      <c r="I35" s="99">
        <v>20</v>
      </c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83.6</v>
      </c>
      <c r="C36" s="95"/>
      <c r="D36" s="94"/>
      <c r="E36" s="96"/>
      <c r="F36" s="94"/>
      <c r="G36" s="94"/>
      <c r="H36" s="98"/>
      <c r="I36" s="99">
        <v>83.6</v>
      </c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3" t="s">
        <v>107</v>
      </c>
      <c r="O42" s="294"/>
      <c r="P42" s="294"/>
      <c r="Q42" s="295"/>
      <c r="R42" s="190">
        <f t="shared" ref="R42:AA42" si="8">SUM(R12:R41)</f>
        <v>604.67999999999995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4.535099999999999</v>
      </c>
      <c r="W42" s="190">
        <f t="shared" si="8"/>
        <v>0</v>
      </c>
      <c r="X42" s="190">
        <f t="shared" si="8"/>
        <v>0</v>
      </c>
      <c r="Y42" s="190">
        <f t="shared" si="8"/>
        <v>600.14490000000001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604.67999999999995</v>
      </c>
      <c r="C46" s="116">
        <v>7.4999999999999997E-3</v>
      </c>
      <c r="D46" s="117">
        <f>B46*C46</f>
        <v>4.535099999999999</v>
      </c>
      <c r="E46" s="172">
        <v>0</v>
      </c>
      <c r="F46" s="117">
        <f t="shared" ref="F46:F50" si="15">D46*E46</f>
        <v>0</v>
      </c>
      <c r="G46" s="117">
        <f t="shared" ref="G46:G51" si="16">B46-D46-F46</f>
        <v>600.14490000000001</v>
      </c>
      <c r="H46" s="173">
        <f>B$6+1</f>
        <v>44484</v>
      </c>
      <c r="I46" s="174"/>
      <c r="J46" s="81">
        <f t="shared" si="0"/>
        <v>604.67999999999995</v>
      </c>
      <c r="K46" s="80"/>
      <c r="L46" s="186">
        <f>K46-G46</f>
        <v>-600.14490000000001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44484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32.770000000000003</v>
      </c>
      <c r="C48" s="116">
        <v>7.4999999999999997E-3</v>
      </c>
      <c r="D48" s="117">
        <f t="shared" si="17"/>
        <v>0.24577500000000002</v>
      </c>
      <c r="E48" s="172">
        <v>0</v>
      </c>
      <c r="F48" s="117">
        <f t="shared" si="15"/>
        <v>0</v>
      </c>
      <c r="G48" s="117">
        <f t="shared" si="16"/>
        <v>32.524225000000001</v>
      </c>
      <c r="H48" s="173">
        <f t="shared" ref="H48:H61" si="19">B$6+1</f>
        <v>44484</v>
      </c>
      <c r="I48" s="176">
        <v>32.770000000000003</v>
      </c>
      <c r="J48" s="81">
        <f t="shared" si="0"/>
        <v>0</v>
      </c>
      <c r="K48" s="80"/>
      <c r="L48" s="186">
        <f t="shared" si="18"/>
        <v>32.524225000000001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2961.0299999999997</v>
      </c>
      <c r="C49" s="116">
        <v>7.4999999999999997E-3</v>
      </c>
      <c r="D49" s="117">
        <f t="shared" si="17"/>
        <v>22.207724999999996</v>
      </c>
      <c r="E49" s="172">
        <v>0</v>
      </c>
      <c r="F49" s="117">
        <f t="shared" si="15"/>
        <v>0</v>
      </c>
      <c r="G49" s="117">
        <f t="shared" si="16"/>
        <v>2938.8222749999995</v>
      </c>
      <c r="H49" s="173">
        <f t="shared" si="19"/>
        <v>44484</v>
      </c>
      <c r="I49" s="176"/>
      <c r="J49" s="81">
        <f t="shared" si="0"/>
        <v>2961.0299999999997</v>
      </c>
      <c r="K49" s="80"/>
      <c r="L49" s="186">
        <f t="shared" si="18"/>
        <v>2938.8222749999995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44484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44484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44484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44484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44484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44484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178</v>
      </c>
      <c r="B56" s="117">
        <f>T75</f>
        <v>18.95</v>
      </c>
      <c r="C56" s="116">
        <v>2.5000000000000001E-2</v>
      </c>
      <c r="D56" s="117">
        <f t="shared" si="20"/>
        <v>0.47375</v>
      </c>
      <c r="E56" s="172">
        <v>0.05</v>
      </c>
      <c r="F56" s="117">
        <f t="shared" si="21"/>
        <v>0.8168103448275863</v>
      </c>
      <c r="G56" s="117">
        <f t="shared" si="22"/>
        <v>17.659439655172413</v>
      </c>
      <c r="H56" s="173">
        <f t="shared" si="19"/>
        <v>44484</v>
      </c>
      <c r="I56" s="176">
        <v>18.95</v>
      </c>
      <c r="J56" s="81">
        <f t="shared" si="0"/>
        <v>0</v>
      </c>
      <c r="K56" s="80"/>
      <c r="L56" s="186">
        <f t="shared" si="18"/>
        <v>17.659439655172413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44486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44488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44513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27.462349999999994</v>
      </c>
      <c r="E61" s="177"/>
      <c r="F61" s="57">
        <f>SUM(F46:F58)</f>
        <v>0.8168103448275863</v>
      </c>
      <c r="G61" s="57">
        <f>SUM(G46:G58)</f>
        <v>3589.1508396551717</v>
      </c>
      <c r="H61" s="173">
        <f t="shared" si="19"/>
        <v>44484</v>
      </c>
      <c r="I61" s="175"/>
      <c r="J61" s="81">
        <f t="shared" si="0"/>
        <v>0</v>
      </c>
      <c r="K61" s="80"/>
      <c r="L61" s="186">
        <f t="shared" si="18"/>
        <v>3589.1508396551717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44484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2" t="s">
        <v>109</v>
      </c>
      <c r="O63" s="282"/>
      <c r="P63" s="282"/>
      <c r="Q63" s="28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7178.3016793103434</v>
      </c>
      <c r="H64" s="184"/>
      <c r="I64" s="175"/>
      <c r="J64" s="81">
        <f t="shared" si="0"/>
        <v>0</v>
      </c>
      <c r="K64" s="80"/>
      <c r="L64" s="186">
        <f t="shared" si="18"/>
        <v>7178.3016793103434</v>
      </c>
      <c r="M64" s="130"/>
      <c r="N64" s="87">
        <v>1</v>
      </c>
      <c r="O64" s="122" t="s">
        <v>225</v>
      </c>
      <c r="P64" s="87"/>
      <c r="Q64" s="87"/>
      <c r="R64" s="87">
        <v>32.770000000000003</v>
      </c>
      <c r="S64" s="87"/>
      <c r="T64" s="87"/>
      <c r="U64" s="189">
        <f t="shared" ref="U64:U68" si="27">((T64/U$10)*U$9)</f>
        <v>0</v>
      </c>
      <c r="V64" s="189">
        <f t="shared" ref="V64:V68" si="28">R64*V$10</f>
        <v>0.24577500000000002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32.524225000000001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6686.9999999999991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9" t="s">
        <v>20</v>
      </c>
      <c r="B67" s="300"/>
      <c r="F67" s="301" t="s">
        <v>136</v>
      </c>
      <c r="G67" s="301"/>
      <c r="H67" s="301"/>
      <c r="I67" s="302" t="s">
        <v>138</v>
      </c>
      <c r="J67" s="303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6678.25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6678.25</v>
      </c>
      <c r="C69" s="59"/>
      <c r="F69" s="87" t="s">
        <v>129</v>
      </c>
      <c r="G69" s="22"/>
      <c r="H69" s="89"/>
      <c r="I69" s="136"/>
      <c r="J69" s="136">
        <f>K52</f>
        <v>0</v>
      </c>
      <c r="N69" s="282" t="s">
        <v>110</v>
      </c>
      <c r="O69" s="282"/>
      <c r="P69" s="283"/>
      <c r="Q69" s="283"/>
      <c r="R69" s="192">
        <f>SUM(R64:R68)</f>
        <v>32.770000000000003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0.24577500000000002</v>
      </c>
      <c r="W69" s="192">
        <f t="shared" si="33"/>
        <v>0</v>
      </c>
      <c r="X69" s="192">
        <f t="shared" si="33"/>
        <v>0</v>
      </c>
      <c r="Y69" s="192">
        <f t="shared" si="33"/>
        <v>32.524225000000001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B68-B67</f>
        <v>6678.25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189</v>
      </c>
      <c r="P70" s="229">
        <v>318</v>
      </c>
      <c r="Q70" s="229">
        <v>2003</v>
      </c>
      <c r="R70" s="222">
        <v>442.19</v>
      </c>
      <c r="S70" s="229"/>
      <c r="T70" s="229"/>
      <c r="U70" s="189">
        <f t="shared" ref="U70:U74" si="34">((T70/U$10)*U$9)</f>
        <v>0</v>
      </c>
      <c r="V70" s="189">
        <f t="shared" ref="V70:V74" si="35">R70*V$10</f>
        <v>3.3164249999999997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438.87357500000002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8.7499999999990905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189</v>
      </c>
      <c r="P71" s="229" t="s">
        <v>224</v>
      </c>
      <c r="Q71" s="229">
        <v>2002</v>
      </c>
      <c r="R71" s="222">
        <v>381.71</v>
      </c>
      <c r="S71" s="229"/>
      <c r="T71" s="229">
        <v>18.95</v>
      </c>
      <c r="U71" s="189">
        <f t="shared" si="34"/>
        <v>0.8168103448275863</v>
      </c>
      <c r="V71" s="189">
        <f t="shared" si="35"/>
        <v>2.862825</v>
      </c>
      <c r="W71" s="189">
        <f t="shared" si="36"/>
        <v>0</v>
      </c>
      <c r="X71" s="189">
        <f t="shared" si="37"/>
        <v>0.47375</v>
      </c>
      <c r="Y71" s="189">
        <f t="shared" si="38"/>
        <v>378.84717499999999</v>
      </c>
      <c r="Z71" s="189">
        <f t="shared" si="38"/>
        <v>0</v>
      </c>
      <c r="AA71" s="189">
        <f t="shared" si="39"/>
        <v>17.659439655172413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189</v>
      </c>
      <c r="P72" s="229">
        <v>412</v>
      </c>
      <c r="Q72" s="229">
        <v>2002</v>
      </c>
      <c r="R72" s="229">
        <v>820.34</v>
      </c>
      <c r="S72" s="229"/>
      <c r="T72" s="229"/>
      <c r="U72" s="189">
        <f t="shared" si="34"/>
        <v>0</v>
      </c>
      <c r="V72" s="189">
        <f t="shared" si="35"/>
        <v>6.1525499999999997</v>
      </c>
      <c r="W72" s="189">
        <f t="shared" si="36"/>
        <v>0</v>
      </c>
      <c r="X72" s="189">
        <f t="shared" si="37"/>
        <v>0</v>
      </c>
      <c r="Y72" s="189">
        <f t="shared" si="38"/>
        <v>814.18745000000001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186</v>
      </c>
      <c r="P73" s="229">
        <v>334</v>
      </c>
      <c r="Q73" s="229">
        <v>2002</v>
      </c>
      <c r="R73" s="222">
        <v>1316.79</v>
      </c>
      <c r="S73" s="229"/>
      <c r="T73" s="229"/>
      <c r="U73" s="189">
        <f t="shared" si="34"/>
        <v>0</v>
      </c>
      <c r="V73" s="189">
        <f t="shared" si="35"/>
        <v>9.8759249999999987</v>
      </c>
      <c r="W73" s="189">
        <f t="shared" si="36"/>
        <v>0</v>
      </c>
      <c r="X73" s="189">
        <f t="shared" si="37"/>
        <v>0</v>
      </c>
      <c r="Y73" s="189">
        <f t="shared" si="38"/>
        <v>1306.9140749999999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186</v>
      </c>
      <c r="P74" s="229"/>
      <c r="Q74" s="229"/>
      <c r="R74" s="222"/>
      <c r="S74" s="229"/>
      <c r="T74" s="229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2" t="s">
        <v>128</v>
      </c>
      <c r="O75" s="282"/>
      <c r="P75" s="283"/>
      <c r="Q75" s="283"/>
      <c r="R75" s="192">
        <f>SUM(R70:R74)</f>
        <v>2961.0299999999997</v>
      </c>
      <c r="S75" s="192"/>
      <c r="T75" s="192">
        <f>SUM(T70:T74)</f>
        <v>18.95</v>
      </c>
      <c r="U75" s="192">
        <f>SUM(U70:U74)</f>
        <v>0.8168103448275863</v>
      </c>
      <c r="V75" s="192">
        <f t="shared" ref="V75:AA75" si="41">SUM(V70:V74)</f>
        <v>22.207724999999996</v>
      </c>
      <c r="W75" s="192">
        <f t="shared" si="41"/>
        <v>0</v>
      </c>
      <c r="X75" s="192">
        <f t="shared" si="41"/>
        <v>0.47375</v>
      </c>
      <c r="Y75" s="192">
        <f t="shared" si="41"/>
        <v>2938.8222749999995</v>
      </c>
      <c r="Z75" s="192">
        <f t="shared" si="41"/>
        <v>0</v>
      </c>
      <c r="AA75" s="193">
        <f t="shared" si="41"/>
        <v>17.659439655172413</v>
      </c>
      <c r="AB75" s="103"/>
    </row>
    <row r="76" spans="1:30" ht="15.75" x14ac:dyDescent="0.25">
      <c r="N76" s="284" t="s">
        <v>73</v>
      </c>
      <c r="O76" s="286" t="s">
        <v>67</v>
      </c>
      <c r="P76" s="282" t="s">
        <v>62</v>
      </c>
      <c r="Q76" s="282"/>
      <c r="R76" s="282"/>
      <c r="S76" s="282"/>
      <c r="T76" s="282"/>
      <c r="U76" s="288" t="s">
        <v>68</v>
      </c>
      <c r="V76" s="289"/>
      <c r="W76" s="289"/>
      <c r="X76" s="289"/>
      <c r="Y76" s="290"/>
      <c r="Z76" s="279" t="s">
        <v>54</v>
      </c>
      <c r="AA76" s="279" t="s">
        <v>64</v>
      </c>
      <c r="AB76" s="279" t="s">
        <v>124</v>
      </c>
      <c r="AC76" s="280" t="s">
        <v>127</v>
      </c>
      <c r="AD76" s="281" t="s">
        <v>65</v>
      </c>
    </row>
    <row r="77" spans="1:30" ht="60" x14ac:dyDescent="0.25">
      <c r="F77" s="291" t="s">
        <v>140</v>
      </c>
      <c r="G77" s="292"/>
      <c r="H77" s="141" t="s">
        <v>142</v>
      </c>
      <c r="N77" s="285"/>
      <c r="O77" s="287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79"/>
      <c r="AA77" s="279"/>
      <c r="AB77" s="279"/>
      <c r="AC77" s="280" t="s">
        <v>127</v>
      </c>
      <c r="AD77" s="281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220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  <c r="Q102" s="212">
        <f>P78+U78+Q78</f>
        <v>0</v>
      </c>
    </row>
    <row r="103" spans="14:30" x14ac:dyDescent="0.25">
      <c r="N103" s="85"/>
      <c r="Q103" s="215">
        <f>Q79+P79+U79</f>
        <v>0</v>
      </c>
    </row>
    <row r="104" spans="14:30" x14ac:dyDescent="0.25">
      <c r="N104" s="85"/>
      <c r="Q104" s="215">
        <f>Q81+P81+U81</f>
        <v>0</v>
      </c>
    </row>
    <row r="105" spans="14:30" x14ac:dyDescent="0.25">
      <c r="N105" s="85"/>
      <c r="Q105" s="215">
        <f>P82+Q82+U82</f>
        <v>0</v>
      </c>
    </row>
    <row r="106" spans="14:30" x14ac:dyDescent="0.25">
      <c r="N106" s="85"/>
      <c r="Q106" s="215">
        <f>P83+Q83+U83</f>
        <v>0</v>
      </c>
    </row>
    <row r="107" spans="14:30" x14ac:dyDescent="0.25">
      <c r="N107" s="85"/>
      <c r="Q107" s="215">
        <f>P80+Q80+U80</f>
        <v>0</v>
      </c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5" priority="1" operator="greaterThan">
      <formula>0</formula>
    </cfRule>
    <cfRule type="cellIs" dxfId="3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37" zoomScale="90" zoomScaleNormal="90" workbookViewId="0">
      <selection activeCell="G46" sqref="G46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5703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29" width="15.140625" style="85" customWidth="1"/>
    <col min="30" max="16384" width="11.42578125" style="85"/>
  </cols>
  <sheetData>
    <row r="1" spans="1:28" s="84" customFormat="1" ht="16.5" customHeight="1" x14ac:dyDescent="0.35">
      <c r="A1" s="259"/>
      <c r="B1" s="296"/>
      <c r="C1" s="296"/>
      <c r="D1" s="296"/>
      <c r="E1" s="296"/>
      <c r="F1" s="296"/>
      <c r="G1" s="296"/>
      <c r="H1" s="296"/>
      <c r="M1" s="76"/>
      <c r="N1" s="71"/>
    </row>
    <row r="2" spans="1:28" s="84" customFormat="1" ht="16.5" customHeight="1" x14ac:dyDescent="0.35">
      <c r="A2" s="259"/>
      <c r="B2" s="296" t="s">
        <v>12</v>
      </c>
      <c r="C2" s="296"/>
      <c r="D2" s="296"/>
      <c r="E2" s="296"/>
      <c r="F2" s="296"/>
      <c r="G2" s="296"/>
      <c r="H2" s="296"/>
      <c r="M2" s="76"/>
      <c r="N2" s="71"/>
    </row>
    <row r="3" spans="1:28" s="84" customFormat="1" ht="21.75" customHeight="1" x14ac:dyDescent="0.25">
      <c r="A3" s="259"/>
      <c r="B3" s="297" t="s">
        <v>21</v>
      </c>
      <c r="C3" s="297"/>
      <c r="D3" s="297"/>
      <c r="E3" s="297"/>
      <c r="F3" s="297"/>
      <c r="G3" s="297"/>
      <c r="H3" s="297"/>
      <c r="M3" s="76"/>
      <c r="N3" s="71"/>
    </row>
    <row r="4" spans="1:28" x14ac:dyDescent="0.25">
      <c r="B4" s="298" t="s">
        <v>191</v>
      </c>
      <c r="C4" s="298"/>
      <c r="D4" s="298"/>
      <c r="E4" s="298"/>
      <c r="F4" s="298"/>
      <c r="G4" s="298"/>
      <c r="H4" s="298"/>
    </row>
    <row r="6" spans="1:28" x14ac:dyDescent="0.25">
      <c r="A6" s="7" t="s">
        <v>22</v>
      </c>
      <c r="B6" s="72">
        <v>44484</v>
      </c>
      <c r="D6" s="85" t="s">
        <v>23</v>
      </c>
      <c r="E6" s="8" t="s">
        <v>166</v>
      </c>
      <c r="F6" s="9"/>
      <c r="G6" s="9"/>
    </row>
    <row r="8" spans="1:28" x14ac:dyDescent="0.25">
      <c r="A8" s="7" t="s">
        <v>77</v>
      </c>
      <c r="B8" s="108">
        <v>4.16</v>
      </c>
      <c r="C8" s="85" t="s">
        <v>94</v>
      </c>
      <c r="D8" s="108"/>
    </row>
    <row r="9" spans="1:28" x14ac:dyDescent="0.25">
      <c r="A9" s="7" t="s">
        <v>78</v>
      </c>
      <c r="B9" s="108">
        <v>4.18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548.45000000000005</v>
      </c>
      <c r="C12" s="15"/>
      <c r="D12" s="56"/>
      <c r="E12" s="16"/>
      <c r="F12" s="56"/>
      <c r="G12" s="56"/>
      <c r="H12" s="17"/>
      <c r="I12" s="83">
        <v>548.45000000000005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>
        <v>130</v>
      </c>
      <c r="Q12" s="153">
        <v>7</v>
      </c>
      <c r="R12" s="154">
        <v>247.11</v>
      </c>
      <c r="S12" s="155"/>
      <c r="T12" s="155"/>
      <c r="U12" s="189">
        <f>((T12/U$10)*U$9)</f>
        <v>0</v>
      </c>
      <c r="V12" s="189">
        <f>R12*V$10</f>
        <v>1.8533250000000001</v>
      </c>
      <c r="W12" s="189">
        <f>+S12*V$10</f>
        <v>0</v>
      </c>
      <c r="X12" s="189">
        <f>+T12*X$10</f>
        <v>0</v>
      </c>
      <c r="Y12" s="189">
        <f>R12-V12</f>
        <v>245.256675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926</v>
      </c>
      <c r="C13" s="15"/>
      <c r="D13" s="56"/>
      <c r="E13" s="16"/>
      <c r="F13" s="56"/>
      <c r="G13" s="56"/>
      <c r="H13" s="17"/>
      <c r="I13" s="83">
        <v>927</v>
      </c>
      <c r="J13" s="81">
        <f t="shared" ref="J13:J64" si="0">B13-I13</f>
        <v>-1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>
        <v>131</v>
      </c>
      <c r="Q13" s="153">
        <v>7</v>
      </c>
      <c r="R13" s="154">
        <v>626.65</v>
      </c>
      <c r="S13" s="155"/>
      <c r="T13" s="157">
        <v>40.86</v>
      </c>
      <c r="U13" s="189">
        <f t="shared" ref="U13:U41" si="2">((T13/U$10)*U$9)</f>
        <v>1.7612068965517242</v>
      </c>
      <c r="V13" s="189">
        <f t="shared" ref="V13:V41" si="3">R13*V$10</f>
        <v>4.6998749999999996</v>
      </c>
      <c r="W13" s="189">
        <f t="shared" ref="W13:W41" si="4">+S13*V$10</f>
        <v>0</v>
      </c>
      <c r="X13" s="189">
        <f t="shared" ref="X13:X41" si="5">+T13*X$10</f>
        <v>1.0215000000000001</v>
      </c>
      <c r="Y13" s="189">
        <f t="shared" ref="Y13:Z41" si="6">R13-V13</f>
        <v>621.95012499999996</v>
      </c>
      <c r="Z13" s="189">
        <f t="shared" si="6"/>
        <v>0</v>
      </c>
      <c r="AA13" s="189">
        <f t="shared" ref="AA13:AA41" si="7">T13-U13-X13</f>
        <v>38.07729310344827</v>
      </c>
      <c r="AB13" s="156"/>
    </row>
    <row r="14" spans="1:28" ht="15.75" x14ac:dyDescent="0.25">
      <c r="A14" s="86" t="s">
        <v>83</v>
      </c>
      <c r="B14" s="57">
        <f>B13*B8</f>
        <v>3852.1600000000003</v>
      </c>
      <c r="C14" s="15"/>
      <c r="D14" s="56"/>
      <c r="E14" s="16"/>
      <c r="F14" s="56"/>
      <c r="G14" s="56"/>
      <c r="H14" s="17"/>
      <c r="I14" s="83">
        <v>3856.32</v>
      </c>
      <c r="J14" s="81">
        <f t="shared" si="0"/>
        <v>-4.1599999999998545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1</v>
      </c>
      <c r="C15" s="15"/>
      <c r="D15" s="56"/>
      <c r="E15" s="16"/>
      <c r="F15" s="56"/>
      <c r="G15" s="56"/>
      <c r="H15" s="17"/>
      <c r="I15" s="83"/>
      <c r="J15" s="81">
        <f t="shared" si="0"/>
        <v>1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4.18</v>
      </c>
      <c r="C16" s="15"/>
      <c r="D16" s="56"/>
      <c r="E16" s="16"/>
      <c r="F16" s="56"/>
      <c r="G16" s="56"/>
      <c r="H16" s="17"/>
      <c r="I16" s="83"/>
      <c r="J16" s="81">
        <f t="shared" si="0"/>
        <v>4.18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927</v>
      </c>
      <c r="C19" s="95"/>
      <c r="D19" s="94"/>
      <c r="E19" s="96"/>
      <c r="F19" s="94"/>
      <c r="G19" s="94"/>
      <c r="H19" s="98"/>
      <c r="I19" s="99">
        <v>927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3856.34</v>
      </c>
      <c r="C20" s="95"/>
      <c r="D20" s="94"/>
      <c r="E20" s="96"/>
      <c r="F20" s="94"/>
      <c r="G20" s="94"/>
      <c r="H20" s="98"/>
      <c r="I20" s="99">
        <v>3856.32</v>
      </c>
      <c r="J20" s="185">
        <f t="shared" si="0"/>
        <v>1.999999999998181E-2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3" t="s">
        <v>107</v>
      </c>
      <c r="O42" s="294"/>
      <c r="P42" s="294"/>
      <c r="Q42" s="295"/>
      <c r="R42" s="190">
        <f t="shared" ref="R42:AA42" si="8">SUM(R12:R41)</f>
        <v>873.76</v>
      </c>
      <c r="S42" s="190">
        <f t="shared" si="8"/>
        <v>0</v>
      </c>
      <c r="T42" s="190">
        <f t="shared" si="8"/>
        <v>40.86</v>
      </c>
      <c r="U42" s="190">
        <f t="shared" si="8"/>
        <v>1.7612068965517242</v>
      </c>
      <c r="V42" s="190">
        <f t="shared" si="8"/>
        <v>6.5531999999999995</v>
      </c>
      <c r="W42" s="190">
        <f t="shared" si="8"/>
        <v>0</v>
      </c>
      <c r="X42" s="190">
        <f t="shared" si="8"/>
        <v>1.0215000000000001</v>
      </c>
      <c r="Y42" s="190">
        <f t="shared" si="8"/>
        <v>867.20679999999993</v>
      </c>
      <c r="Z42" s="190">
        <f t="shared" si="8"/>
        <v>0</v>
      </c>
      <c r="AA42" s="190">
        <f t="shared" si="8"/>
        <v>38.07729310344827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873.76</v>
      </c>
      <c r="C46" s="116">
        <v>7.4999999999999997E-3</v>
      </c>
      <c r="D46" s="117">
        <f>B46*C46</f>
        <v>6.5531999999999995</v>
      </c>
      <c r="E46" s="172">
        <v>0</v>
      </c>
      <c r="F46" s="117">
        <f t="shared" ref="F46:F50" si="15">D46*E46</f>
        <v>0</v>
      </c>
      <c r="G46" s="117">
        <f t="shared" ref="G46:G51" si="16">B46-D46-F46</f>
        <v>867.20680000000004</v>
      </c>
      <c r="H46" s="173">
        <f>B$6+1</f>
        <v>44485</v>
      </c>
      <c r="I46" s="174"/>
      <c r="J46" s="81">
        <f t="shared" si="0"/>
        <v>873.76</v>
      </c>
      <c r="K46" s="80"/>
      <c r="L46" s="186">
        <f>K46-G46</f>
        <v>-867.20680000000004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44485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44485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7</v>
      </c>
      <c r="B49" s="117">
        <f>R75</f>
        <v>4408.78</v>
      </c>
      <c r="C49" s="116">
        <v>7.4999999999999997E-3</v>
      </c>
      <c r="D49" s="117">
        <f t="shared" si="17"/>
        <v>33.065849999999998</v>
      </c>
      <c r="E49" s="172">
        <v>0</v>
      </c>
      <c r="F49" s="117">
        <f t="shared" si="15"/>
        <v>0</v>
      </c>
      <c r="G49" s="117">
        <f t="shared" si="16"/>
        <v>4375.7141499999998</v>
      </c>
      <c r="H49" s="173">
        <f t="shared" si="19"/>
        <v>44485</v>
      </c>
      <c r="I49" s="176"/>
      <c r="J49" s="81">
        <f t="shared" si="0"/>
        <v>4408.78</v>
      </c>
      <c r="K49" s="80"/>
      <c r="L49" s="186">
        <f t="shared" si="18"/>
        <v>4375.7141499999998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44485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44485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40.86</v>
      </c>
      <c r="C52" s="116">
        <v>2.5000000000000001E-2</v>
      </c>
      <c r="D52" s="117">
        <f>B52*C52</f>
        <v>1.0215000000000001</v>
      </c>
      <c r="E52" s="172">
        <v>0.05</v>
      </c>
      <c r="F52" s="117">
        <f>(B52/E$10)*E52</f>
        <v>1.7612068965517242</v>
      </c>
      <c r="G52" s="117">
        <f>B52-D52-F52</f>
        <v>38.07729310344827</v>
      </c>
      <c r="H52" s="188">
        <f t="shared" si="19"/>
        <v>44485</v>
      </c>
      <c r="I52" s="176">
        <v>40.86</v>
      </c>
      <c r="J52" s="81">
        <f t="shared" si="0"/>
        <v>0</v>
      </c>
      <c r="K52" s="80"/>
      <c r="L52" s="186">
        <f>K52-G52</f>
        <v>-38.07729310344827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44485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44485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44485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23</v>
      </c>
      <c r="C56" s="116">
        <v>2.5000000000000001E-2</v>
      </c>
      <c r="D56" s="117">
        <f t="shared" si="20"/>
        <v>0.57500000000000007</v>
      </c>
      <c r="E56" s="172">
        <v>0.05</v>
      </c>
      <c r="F56" s="117">
        <f t="shared" si="21"/>
        <v>0.99137931034482762</v>
      </c>
      <c r="G56" s="117">
        <f t="shared" si="22"/>
        <v>21.433620689655172</v>
      </c>
      <c r="H56" s="173">
        <f t="shared" si="19"/>
        <v>44485</v>
      </c>
      <c r="I56" s="176">
        <v>28.86</v>
      </c>
      <c r="J56" s="81">
        <f t="shared" si="0"/>
        <v>-5.8599999999999994</v>
      </c>
      <c r="K56" s="80"/>
      <c r="L56" s="186">
        <f t="shared" si="18"/>
        <v>21.433620689655172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44487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44489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44514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41.21555</v>
      </c>
      <c r="E61" s="177"/>
      <c r="F61" s="57">
        <f>SUM(F46:F58)</f>
        <v>2.7525862068965519</v>
      </c>
      <c r="G61" s="57">
        <f>SUM(G46:G58)</f>
        <v>5302.4318637931028</v>
      </c>
      <c r="H61" s="173">
        <f t="shared" si="19"/>
        <v>44485</v>
      </c>
      <c r="I61" s="175"/>
      <c r="J61" s="81">
        <f t="shared" si="0"/>
        <v>0</v>
      </c>
      <c r="K61" s="80"/>
      <c r="L61" s="186">
        <f t="shared" si="18"/>
        <v>5302.4318637931028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44485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2" t="s">
        <v>109</v>
      </c>
      <c r="O63" s="282"/>
      <c r="P63" s="282"/>
      <c r="Q63" s="28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10604.863727586206</v>
      </c>
      <c r="H64" s="184"/>
      <c r="I64" s="175"/>
      <c r="J64" s="81">
        <f t="shared" si="0"/>
        <v>0</v>
      </c>
      <c r="K64" s="80"/>
      <c r="L64" s="186">
        <f t="shared" si="18"/>
        <v>10604.863727586206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9751.19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9" t="s">
        <v>20</v>
      </c>
      <c r="B67" s="300"/>
      <c r="F67" s="301" t="s">
        <v>136</v>
      </c>
      <c r="G67" s="301"/>
      <c r="H67" s="301"/>
      <c r="I67" s="302" t="s">
        <v>138</v>
      </c>
      <c r="J67" s="303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9740.08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9740.08</v>
      </c>
      <c r="C69" s="59"/>
      <c r="F69" s="87" t="s">
        <v>129</v>
      </c>
      <c r="G69" s="22"/>
      <c r="H69" s="89">
        <f>+G52</f>
        <v>38.07729310344827</v>
      </c>
      <c r="I69" s="136"/>
      <c r="J69" s="136">
        <f>K52</f>
        <v>0</v>
      </c>
      <c r="N69" s="282" t="s">
        <v>110</v>
      </c>
      <c r="O69" s="282"/>
      <c r="P69" s="283"/>
      <c r="Q69" s="28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B68-B67</f>
        <v>9740.08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185</v>
      </c>
      <c r="P70" s="87" t="s">
        <v>226</v>
      </c>
      <c r="Q70" s="87">
        <v>2003</v>
      </c>
      <c r="R70" s="137">
        <v>234.95</v>
      </c>
      <c r="S70" s="87"/>
      <c r="T70" s="87">
        <v>23</v>
      </c>
      <c r="U70" s="189">
        <f t="shared" ref="U70:U74" si="34">((T70/U$10)*U$9)</f>
        <v>0.99137931034482762</v>
      </c>
      <c r="V70" s="189">
        <f t="shared" ref="V70:V74" si="35">R70*V$10</f>
        <v>1.7621249999999999</v>
      </c>
      <c r="W70" s="189">
        <f t="shared" ref="W70:W74" si="36">+S70*V$10</f>
        <v>0</v>
      </c>
      <c r="X70" s="189">
        <f t="shared" ref="X70:X74" si="37">+T70*X$10</f>
        <v>0.57500000000000007</v>
      </c>
      <c r="Y70" s="189">
        <f t="shared" ref="Y70:Z74" si="38">R70-V70</f>
        <v>233.18787499999999</v>
      </c>
      <c r="Z70" s="189">
        <f t="shared" si="38"/>
        <v>0</v>
      </c>
      <c r="AA70" s="189">
        <f t="shared" ref="AA70:AA74" si="39">T70-U70-X70</f>
        <v>21.433620689655172</v>
      </c>
      <c r="AB70" s="87"/>
    </row>
    <row r="71" spans="1:30" ht="28.5" customHeight="1" thickBot="1" x14ac:dyDescent="0.3">
      <c r="A71" s="25" t="s">
        <v>57</v>
      </c>
      <c r="B71" s="70">
        <f>(B65-B69)-B72</f>
        <v>11.110000000000582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-38.07729310344827</v>
      </c>
      <c r="N71" s="87">
        <v>2</v>
      </c>
      <c r="O71" s="122" t="s">
        <v>185</v>
      </c>
      <c r="P71" s="87" t="s">
        <v>227</v>
      </c>
      <c r="Q71" s="87">
        <v>2003</v>
      </c>
      <c r="R71" s="137">
        <f>24.44+768.9</f>
        <v>793.34</v>
      </c>
      <c r="S71" s="87"/>
      <c r="T71" s="137"/>
      <c r="U71" s="189">
        <f t="shared" si="34"/>
        <v>0</v>
      </c>
      <c r="V71" s="189">
        <f t="shared" si="35"/>
        <v>5.9500500000000001</v>
      </c>
      <c r="W71" s="189">
        <f t="shared" si="36"/>
        <v>0</v>
      </c>
      <c r="X71" s="189">
        <f t="shared" si="37"/>
        <v>0</v>
      </c>
      <c r="Y71" s="189">
        <f t="shared" si="38"/>
        <v>787.38995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185</v>
      </c>
      <c r="P72" s="87" t="s">
        <v>228</v>
      </c>
      <c r="Q72" s="87">
        <v>2003</v>
      </c>
      <c r="R72" s="87">
        <f>645.23+1125.48</f>
        <v>1770.71</v>
      </c>
      <c r="S72" s="87"/>
      <c r="T72" s="87"/>
      <c r="U72" s="189">
        <f t="shared" si="34"/>
        <v>0</v>
      </c>
      <c r="V72" s="189">
        <f t="shared" si="35"/>
        <v>13.280324999999999</v>
      </c>
      <c r="W72" s="189">
        <f t="shared" si="36"/>
        <v>0</v>
      </c>
      <c r="X72" s="189">
        <f t="shared" si="37"/>
        <v>0</v>
      </c>
      <c r="Y72" s="189">
        <f t="shared" si="38"/>
        <v>1757.4296750000001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186</v>
      </c>
      <c r="P73" s="87">
        <v>336</v>
      </c>
      <c r="Q73" s="87">
        <v>2002</v>
      </c>
      <c r="R73" s="137">
        <v>884.41</v>
      </c>
      <c r="S73" s="87"/>
      <c r="T73" s="87"/>
      <c r="U73" s="189">
        <f t="shared" si="34"/>
        <v>0</v>
      </c>
      <c r="V73" s="189">
        <f t="shared" si="35"/>
        <v>6.6330749999999998</v>
      </c>
      <c r="W73" s="189">
        <f t="shared" si="36"/>
        <v>0</v>
      </c>
      <c r="X73" s="189">
        <f t="shared" si="37"/>
        <v>0</v>
      </c>
      <c r="Y73" s="189">
        <f t="shared" si="38"/>
        <v>877.77692500000001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38.07729310344827</v>
      </c>
      <c r="N74" s="87">
        <v>5</v>
      </c>
      <c r="O74" s="122" t="s">
        <v>186</v>
      </c>
      <c r="P74" s="87">
        <v>335</v>
      </c>
      <c r="Q74" s="87">
        <v>2002</v>
      </c>
      <c r="R74" s="137">
        <v>725.37</v>
      </c>
      <c r="S74" s="87"/>
      <c r="T74" s="87"/>
      <c r="U74" s="189">
        <f t="shared" si="34"/>
        <v>0</v>
      </c>
      <c r="V74" s="189">
        <f t="shared" si="35"/>
        <v>5.4402749999999997</v>
      </c>
      <c r="W74" s="189">
        <f t="shared" si="36"/>
        <v>0</v>
      </c>
      <c r="X74" s="189">
        <f t="shared" si="37"/>
        <v>0</v>
      </c>
      <c r="Y74" s="189">
        <f t="shared" si="38"/>
        <v>719.92972499999996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2" t="s">
        <v>128</v>
      </c>
      <c r="O75" s="282"/>
      <c r="P75" s="283"/>
      <c r="Q75" s="283"/>
      <c r="R75" s="192">
        <f>SUM(R70:R74)</f>
        <v>4408.78</v>
      </c>
      <c r="S75" s="192"/>
      <c r="T75" s="192">
        <f>SUM(T70:T74)</f>
        <v>23</v>
      </c>
      <c r="U75" s="192">
        <f>SUM(U70:U74)</f>
        <v>0.99137931034482762</v>
      </c>
      <c r="V75" s="192">
        <f t="shared" ref="V75:AA75" si="41">SUM(V70:V74)</f>
        <v>33.065849999999998</v>
      </c>
      <c r="W75" s="192">
        <f t="shared" si="41"/>
        <v>0</v>
      </c>
      <c r="X75" s="192">
        <f t="shared" si="41"/>
        <v>0.57500000000000007</v>
      </c>
      <c r="Y75" s="192">
        <f t="shared" si="41"/>
        <v>4375.7141499999998</v>
      </c>
      <c r="Z75" s="192">
        <f t="shared" si="41"/>
        <v>0</v>
      </c>
      <c r="AA75" s="193">
        <f t="shared" si="41"/>
        <v>21.433620689655172</v>
      </c>
      <c r="AB75" s="103"/>
    </row>
    <row r="76" spans="1:30" ht="15.75" x14ac:dyDescent="0.25">
      <c r="N76" s="284" t="s">
        <v>73</v>
      </c>
      <c r="O76" s="286" t="s">
        <v>67</v>
      </c>
      <c r="P76" s="282" t="s">
        <v>62</v>
      </c>
      <c r="Q76" s="282"/>
      <c r="R76" s="282"/>
      <c r="S76" s="282"/>
      <c r="T76" s="282"/>
      <c r="U76" s="288" t="s">
        <v>68</v>
      </c>
      <c r="V76" s="289"/>
      <c r="W76" s="289"/>
      <c r="X76" s="289"/>
      <c r="Y76" s="290"/>
      <c r="Z76" s="279" t="s">
        <v>54</v>
      </c>
      <c r="AA76" s="279" t="s">
        <v>64</v>
      </c>
      <c r="AB76" s="279" t="s">
        <v>124</v>
      </c>
      <c r="AC76" s="280" t="s">
        <v>127</v>
      </c>
      <c r="AD76" s="281" t="s">
        <v>65</v>
      </c>
    </row>
    <row r="77" spans="1:30" ht="60" x14ac:dyDescent="0.25">
      <c r="F77" s="291" t="s">
        <v>140</v>
      </c>
      <c r="G77" s="292"/>
      <c r="H77" s="141" t="s">
        <v>142</v>
      </c>
      <c r="N77" s="285"/>
      <c r="O77" s="287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79"/>
      <c r="AA77" s="279"/>
      <c r="AB77" s="279"/>
      <c r="AC77" s="280" t="s">
        <v>127</v>
      </c>
      <c r="AD77" s="281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38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38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3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223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137"/>
      <c r="Q84" s="137"/>
      <c r="R84" s="82">
        <v>7.4999999999999997E-3</v>
      </c>
      <c r="S84" s="194">
        <f t="shared" si="43"/>
        <v>0</v>
      </c>
      <c r="T84" s="219">
        <f t="shared" si="44"/>
        <v>0</v>
      </c>
      <c r="U84" s="211"/>
      <c r="V84" s="112"/>
      <c r="W84" s="113">
        <v>1.4999999999999999E-2</v>
      </c>
      <c r="X84" s="196">
        <f t="shared" si="45"/>
        <v>0</v>
      </c>
      <c r="Y84" s="217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137"/>
      <c r="R87" s="82">
        <v>7.4999999999999997E-3</v>
      </c>
      <c r="S87" s="194">
        <f t="shared" si="43"/>
        <v>0</v>
      </c>
      <c r="T87" s="216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217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R101" s="215">
        <f>P78+Q78+U78</f>
        <v>0</v>
      </c>
    </row>
    <row r="102" spans="14:30" x14ac:dyDescent="0.25">
      <c r="N102" s="85"/>
      <c r="R102" s="215">
        <f>P79+U79+Q79</f>
        <v>0</v>
      </c>
    </row>
    <row r="103" spans="14:30" x14ac:dyDescent="0.25">
      <c r="N103" s="85"/>
      <c r="R103" s="215">
        <f>P80+Q80+U80</f>
        <v>0</v>
      </c>
    </row>
    <row r="104" spans="14:30" x14ac:dyDescent="0.25">
      <c r="N104" s="85"/>
      <c r="R104" s="215">
        <f>P81+U81+Q81</f>
        <v>0</v>
      </c>
    </row>
    <row r="105" spans="14:30" x14ac:dyDescent="0.25">
      <c r="N105" s="85"/>
      <c r="R105" s="215">
        <f>P82+U82</f>
        <v>0</v>
      </c>
    </row>
    <row r="106" spans="14:30" x14ac:dyDescent="0.25">
      <c r="N106" s="85"/>
      <c r="R106" s="215">
        <f>P83+Q83+U83</f>
        <v>0</v>
      </c>
    </row>
    <row r="107" spans="14:30" x14ac:dyDescent="0.25">
      <c r="N107" s="85"/>
      <c r="R107" s="215">
        <f>P84+Q84+U84</f>
        <v>0</v>
      </c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3" priority="1" operator="greaterThan">
      <formula>0</formula>
    </cfRule>
    <cfRule type="cellIs" dxfId="3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31" zoomScale="90" zoomScaleNormal="90" workbookViewId="0">
      <selection activeCell="G46" sqref="G46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140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20.8554687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59"/>
      <c r="B1" s="296"/>
      <c r="C1" s="296"/>
      <c r="D1" s="296"/>
      <c r="E1" s="296"/>
      <c r="F1" s="296"/>
      <c r="G1" s="296"/>
      <c r="H1" s="296"/>
      <c r="M1" s="76"/>
      <c r="N1" s="71"/>
    </row>
    <row r="2" spans="1:28" s="84" customFormat="1" ht="16.5" customHeight="1" x14ac:dyDescent="0.35">
      <c r="A2" s="259"/>
      <c r="B2" s="296" t="s">
        <v>12</v>
      </c>
      <c r="C2" s="296"/>
      <c r="D2" s="296"/>
      <c r="E2" s="296"/>
      <c r="F2" s="296"/>
      <c r="G2" s="296"/>
      <c r="H2" s="296"/>
      <c r="M2" s="76"/>
      <c r="N2" s="71"/>
    </row>
    <row r="3" spans="1:28" s="84" customFormat="1" ht="21.75" customHeight="1" x14ac:dyDescent="0.25">
      <c r="A3" s="259"/>
      <c r="B3" s="297" t="s">
        <v>21</v>
      </c>
      <c r="C3" s="297"/>
      <c r="D3" s="297"/>
      <c r="E3" s="297"/>
      <c r="F3" s="297"/>
      <c r="G3" s="297"/>
      <c r="H3" s="297"/>
      <c r="M3" s="76"/>
      <c r="N3" s="71"/>
    </row>
    <row r="4" spans="1:28" x14ac:dyDescent="0.25">
      <c r="B4" s="298" t="s">
        <v>188</v>
      </c>
      <c r="C4" s="298"/>
      <c r="D4" s="298"/>
      <c r="E4" s="298"/>
      <c r="F4" s="298"/>
      <c r="G4" s="298"/>
      <c r="H4" s="298"/>
    </row>
    <row r="6" spans="1:28" x14ac:dyDescent="0.25">
      <c r="A6" s="7" t="s">
        <v>22</v>
      </c>
      <c r="B6" s="72">
        <v>44485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4.16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447.02</v>
      </c>
      <c r="C12" s="15"/>
      <c r="D12" s="56"/>
      <c r="E12" s="16"/>
      <c r="F12" s="56"/>
      <c r="G12" s="56"/>
      <c r="H12" s="17"/>
      <c r="I12" s="83"/>
      <c r="J12" s="81">
        <f>B12-I12</f>
        <v>447.02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>
        <v>132</v>
      </c>
      <c r="Q12" s="153">
        <v>7</v>
      </c>
      <c r="R12" s="154">
        <v>8.92</v>
      </c>
      <c r="S12" s="155"/>
      <c r="T12" s="155"/>
      <c r="U12" s="189">
        <f>((T12/U$10)*U$9)</f>
        <v>0</v>
      </c>
      <c r="V12" s="189">
        <f>R12*V$10</f>
        <v>6.6900000000000001E-2</v>
      </c>
      <c r="W12" s="189">
        <f>+S12*V$10</f>
        <v>0</v>
      </c>
      <c r="X12" s="189">
        <f>+T12*X$10</f>
        <v>0</v>
      </c>
      <c r="Y12" s="189">
        <f>R12-V12</f>
        <v>8.8530999999999995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1645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1645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6843.2</v>
      </c>
      <c r="C14" s="15"/>
      <c r="D14" s="56"/>
      <c r="E14" s="16"/>
      <c r="F14" s="56"/>
      <c r="G14" s="56"/>
      <c r="H14" s="17"/>
      <c r="I14" s="83"/>
      <c r="J14" s="81">
        <f t="shared" si="0"/>
        <v>6843.2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1645</v>
      </c>
      <c r="C19" s="95"/>
      <c r="D19" s="94"/>
      <c r="E19" s="96"/>
      <c r="F19" s="94"/>
      <c r="G19" s="94"/>
      <c r="H19" s="98"/>
      <c r="I19" s="99"/>
      <c r="J19" s="185">
        <f>B19-I19</f>
        <v>1645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6843.2</v>
      </c>
      <c r="C20" s="95"/>
      <c r="D20" s="94"/>
      <c r="E20" s="96"/>
      <c r="F20" s="94"/>
      <c r="G20" s="94"/>
      <c r="H20" s="98"/>
      <c r="I20" s="99"/>
      <c r="J20" s="185">
        <f t="shared" si="0"/>
        <v>6843.2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3" t="s">
        <v>107</v>
      </c>
      <c r="O42" s="294"/>
      <c r="P42" s="294"/>
      <c r="Q42" s="295"/>
      <c r="R42" s="190">
        <f t="shared" ref="R42:AA42" si="8">SUM(R12:R41)</f>
        <v>8.92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6.6900000000000001E-2</v>
      </c>
      <c r="W42" s="190">
        <f t="shared" si="8"/>
        <v>0</v>
      </c>
      <c r="X42" s="190">
        <f t="shared" si="8"/>
        <v>0</v>
      </c>
      <c r="Y42" s="190">
        <f t="shared" si="8"/>
        <v>8.8530999999999995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8.92</v>
      </c>
      <c r="C46" s="116">
        <v>7.4999999999999997E-3</v>
      </c>
      <c r="D46" s="117">
        <f>B46*C46</f>
        <v>6.6900000000000001E-2</v>
      </c>
      <c r="E46" s="172">
        <v>0</v>
      </c>
      <c r="F46" s="117">
        <f t="shared" ref="F46:F50" si="15">D46*E46</f>
        <v>0</v>
      </c>
      <c r="G46" s="117">
        <f t="shared" ref="G46:G51" si="16">B46-D46-F46</f>
        <v>8.8530999999999995</v>
      </c>
      <c r="H46" s="173">
        <f>B$6+1</f>
        <v>44486</v>
      </c>
      <c r="I46" s="174"/>
      <c r="J46" s="81">
        <f t="shared" si="0"/>
        <v>8.92</v>
      </c>
      <c r="K46" s="80"/>
      <c r="L46" s="186">
        <f>K46-G46</f>
        <v>-8.8530999999999995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44486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44486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7</v>
      </c>
      <c r="B49" s="117">
        <f>R75</f>
        <v>6559.9899999999989</v>
      </c>
      <c r="C49" s="116">
        <v>7.4999999999999997E-3</v>
      </c>
      <c r="D49" s="117">
        <f t="shared" si="17"/>
        <v>49.199924999999993</v>
      </c>
      <c r="E49" s="172">
        <v>0</v>
      </c>
      <c r="F49" s="117">
        <f t="shared" si="15"/>
        <v>0</v>
      </c>
      <c r="G49" s="117">
        <f t="shared" si="16"/>
        <v>6510.790074999999</v>
      </c>
      <c r="H49" s="173">
        <f t="shared" si="19"/>
        <v>44486</v>
      </c>
      <c r="I49" s="176"/>
      <c r="J49" s="81">
        <f t="shared" si="0"/>
        <v>6559.9899999999989</v>
      </c>
      <c r="K49" s="80"/>
      <c r="L49" s="186">
        <f t="shared" si="18"/>
        <v>6510.790074999999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44486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44486</v>
      </c>
      <c r="I51" s="175"/>
      <c r="J51" s="81">
        <f t="shared" si="0"/>
        <v>0</v>
      </c>
      <c r="K51" s="80">
        <v>151742489.27000001</v>
      </c>
      <c r="L51" s="186">
        <f t="shared" si="18"/>
        <v>-151742489.27000001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44486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44486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44486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44486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28.84</v>
      </c>
      <c r="C56" s="116">
        <v>2.5000000000000001E-2</v>
      </c>
      <c r="D56" s="117">
        <f t="shared" si="20"/>
        <v>0.72100000000000009</v>
      </c>
      <c r="E56" s="172">
        <v>0.05</v>
      </c>
      <c r="F56" s="117">
        <f t="shared" si="21"/>
        <v>1.2431034482758623</v>
      </c>
      <c r="G56" s="117">
        <f t="shared" si="22"/>
        <v>26.875896551724139</v>
      </c>
      <c r="H56" s="173">
        <f t="shared" si="19"/>
        <v>44486</v>
      </c>
      <c r="I56" s="176"/>
      <c r="J56" s="81">
        <f t="shared" si="0"/>
        <v>28.84</v>
      </c>
      <c r="K56" s="80"/>
      <c r="L56" s="186">
        <f t="shared" si="18"/>
        <v>26.875896551724139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44488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44490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44515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49.987824999999987</v>
      </c>
      <c r="E61" s="177"/>
      <c r="F61" s="57">
        <f>SUM(F46:F58)</f>
        <v>1.2431034482758623</v>
      </c>
      <c r="G61" s="57">
        <f>SUM(G46:G58)</f>
        <v>6546.5190715517238</v>
      </c>
      <c r="H61" s="173">
        <f t="shared" si="19"/>
        <v>44486</v>
      </c>
      <c r="I61" s="175"/>
      <c r="J61" s="81">
        <f t="shared" si="0"/>
        <v>0</v>
      </c>
      <c r="K61" s="80"/>
      <c r="L61" s="186">
        <f t="shared" si="18"/>
        <v>6546.5190715517238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44486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2" t="s">
        <v>109</v>
      </c>
      <c r="O63" s="282"/>
      <c r="P63" s="282"/>
      <c r="Q63" s="28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13093.038143103448</v>
      </c>
      <c r="H64" s="184"/>
      <c r="I64" s="175"/>
      <c r="J64" s="81">
        <f t="shared" si="0"/>
        <v>0</v>
      </c>
      <c r="K64" s="80"/>
      <c r="L64" s="186">
        <f t="shared" si="18"/>
        <v>13093.038143103448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13887.969999999998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9" t="s">
        <v>20</v>
      </c>
      <c r="B67" s="300"/>
      <c r="F67" s="301" t="s">
        <v>136</v>
      </c>
      <c r="G67" s="301"/>
      <c r="H67" s="301"/>
      <c r="I67" s="302" t="s">
        <v>138</v>
      </c>
      <c r="J67" s="303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13841.61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13841.61</v>
      </c>
      <c r="C69" s="59"/>
      <c r="F69" s="87" t="s">
        <v>129</v>
      </c>
      <c r="G69" s="22"/>
      <c r="H69" s="89"/>
      <c r="I69" s="136"/>
      <c r="J69" s="136">
        <f>K52</f>
        <v>0</v>
      </c>
      <c r="N69" s="282" t="s">
        <v>110</v>
      </c>
      <c r="O69" s="282"/>
      <c r="P69" s="283"/>
      <c r="Q69" s="28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B68-B67</f>
        <v>13841.61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189</v>
      </c>
      <c r="P70" s="87">
        <v>322</v>
      </c>
      <c r="Q70" s="87">
        <v>2003</v>
      </c>
      <c r="R70" s="137">
        <v>1059.3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7.9447499999999991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1051.3552500000001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46.359999999996944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189</v>
      </c>
      <c r="P71" s="87">
        <v>323</v>
      </c>
      <c r="Q71" s="87">
        <v>2003</v>
      </c>
      <c r="R71" s="137">
        <v>1037.98</v>
      </c>
      <c r="S71" s="87"/>
      <c r="T71" s="87"/>
      <c r="U71" s="189">
        <f t="shared" si="34"/>
        <v>0</v>
      </c>
      <c r="V71" s="189">
        <f t="shared" si="35"/>
        <v>7.7848499999999996</v>
      </c>
      <c r="W71" s="189">
        <f t="shared" si="36"/>
        <v>0</v>
      </c>
      <c r="X71" s="189">
        <f t="shared" si="37"/>
        <v>0</v>
      </c>
      <c r="Y71" s="189">
        <f t="shared" si="38"/>
        <v>1030.19515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189</v>
      </c>
      <c r="P72" s="87" t="s">
        <v>229</v>
      </c>
      <c r="Q72" s="87">
        <v>2002</v>
      </c>
      <c r="R72" s="137">
        <f>1226.56+980.21</f>
        <v>2206.77</v>
      </c>
      <c r="S72" s="87"/>
      <c r="T72" s="87">
        <v>28.84</v>
      </c>
      <c r="U72" s="189">
        <f t="shared" si="34"/>
        <v>1.2431034482758623</v>
      </c>
      <c r="V72" s="189">
        <f t="shared" si="35"/>
        <v>16.550774999999998</v>
      </c>
      <c r="W72" s="189">
        <f t="shared" si="36"/>
        <v>0</v>
      </c>
      <c r="X72" s="189">
        <f t="shared" si="37"/>
        <v>0.72100000000000009</v>
      </c>
      <c r="Y72" s="189">
        <f t="shared" si="38"/>
        <v>2190.2192249999998</v>
      </c>
      <c r="Z72" s="189">
        <f t="shared" si="38"/>
        <v>0</v>
      </c>
      <c r="AA72" s="189">
        <f t="shared" si="39"/>
        <v>26.875896551724136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192</v>
      </c>
      <c r="P73" s="87">
        <v>338</v>
      </c>
      <c r="Q73" s="87">
        <v>2002</v>
      </c>
      <c r="R73" s="137">
        <v>1085.6099999999999</v>
      </c>
      <c r="S73" s="87"/>
      <c r="T73" s="87"/>
      <c r="U73" s="189">
        <f t="shared" si="34"/>
        <v>0</v>
      </c>
      <c r="V73" s="189">
        <f t="shared" si="35"/>
        <v>8.1420749999999984</v>
      </c>
      <c r="W73" s="189">
        <f t="shared" si="36"/>
        <v>0</v>
      </c>
      <c r="X73" s="189">
        <f t="shared" si="37"/>
        <v>0</v>
      </c>
      <c r="Y73" s="189">
        <f t="shared" si="38"/>
        <v>1077.4679249999999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192</v>
      </c>
      <c r="P74" s="87">
        <v>337</v>
      </c>
      <c r="Q74" s="87">
        <v>2002</v>
      </c>
      <c r="R74" s="87">
        <v>1170.33</v>
      </c>
      <c r="S74" s="87"/>
      <c r="T74" s="87"/>
      <c r="U74" s="189">
        <f t="shared" si="34"/>
        <v>0</v>
      </c>
      <c r="V74" s="189">
        <f t="shared" si="35"/>
        <v>8.777474999999999</v>
      </c>
      <c r="W74" s="189">
        <f t="shared" si="36"/>
        <v>0</v>
      </c>
      <c r="X74" s="189">
        <f t="shared" si="37"/>
        <v>0</v>
      </c>
      <c r="Y74" s="189">
        <f t="shared" si="38"/>
        <v>1161.5525249999998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2" t="s">
        <v>128</v>
      </c>
      <c r="O75" s="282"/>
      <c r="P75" s="283"/>
      <c r="Q75" s="283"/>
      <c r="R75" s="192">
        <f>SUM(R70:R74)</f>
        <v>6559.9899999999989</v>
      </c>
      <c r="S75" s="192"/>
      <c r="T75" s="192">
        <f>SUM(T70:T74)</f>
        <v>28.84</v>
      </c>
      <c r="U75" s="192">
        <f>SUM(U70:U74)</f>
        <v>1.2431034482758623</v>
      </c>
      <c r="V75" s="192">
        <f t="shared" ref="V75:AA75" si="41">SUM(V70:V74)</f>
        <v>49.199924999999993</v>
      </c>
      <c r="W75" s="192">
        <f t="shared" si="41"/>
        <v>0</v>
      </c>
      <c r="X75" s="192">
        <f t="shared" si="41"/>
        <v>0.72100000000000009</v>
      </c>
      <c r="Y75" s="192">
        <f t="shared" si="41"/>
        <v>6510.7900749999999</v>
      </c>
      <c r="Z75" s="192">
        <f t="shared" si="41"/>
        <v>0</v>
      </c>
      <c r="AA75" s="193">
        <f t="shared" si="41"/>
        <v>26.875896551724136</v>
      </c>
      <c r="AB75" s="103"/>
    </row>
    <row r="76" spans="1:30" ht="15.75" x14ac:dyDescent="0.25">
      <c r="N76" s="284" t="s">
        <v>73</v>
      </c>
      <c r="O76" s="286" t="s">
        <v>67</v>
      </c>
      <c r="P76" s="282" t="s">
        <v>62</v>
      </c>
      <c r="Q76" s="282"/>
      <c r="R76" s="282"/>
      <c r="S76" s="282"/>
      <c r="T76" s="282"/>
      <c r="U76" s="288" t="s">
        <v>68</v>
      </c>
      <c r="V76" s="289"/>
      <c r="W76" s="289"/>
      <c r="X76" s="289"/>
      <c r="Y76" s="290"/>
      <c r="Z76" s="279" t="s">
        <v>54</v>
      </c>
      <c r="AA76" s="279" t="s">
        <v>64</v>
      </c>
      <c r="AB76" s="279" t="s">
        <v>124</v>
      </c>
      <c r="AC76" s="280" t="s">
        <v>127</v>
      </c>
      <c r="AD76" s="281" t="s">
        <v>65</v>
      </c>
    </row>
    <row r="77" spans="1:30" ht="60" x14ac:dyDescent="0.25">
      <c r="F77" s="291" t="s">
        <v>140</v>
      </c>
      <c r="G77" s="292"/>
      <c r="H77" s="141" t="s">
        <v>142</v>
      </c>
      <c r="N77" s="285"/>
      <c r="O77" s="287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79"/>
      <c r="AA77" s="279"/>
      <c r="AB77" s="279"/>
      <c r="AC77" s="280" t="s">
        <v>127</v>
      </c>
      <c r="AD77" s="281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38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38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3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19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220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220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Q101" s="215">
        <f t="shared" ref="Q101:Q106" si="50">P78+Q78+U78</f>
        <v>0</v>
      </c>
    </row>
    <row r="102" spans="14:30" x14ac:dyDescent="0.25">
      <c r="N102" s="85"/>
      <c r="Q102" s="215">
        <f t="shared" si="50"/>
        <v>0</v>
      </c>
    </row>
    <row r="103" spans="14:30" x14ac:dyDescent="0.25">
      <c r="N103" s="85"/>
      <c r="Q103" s="215">
        <f t="shared" si="50"/>
        <v>0</v>
      </c>
    </row>
    <row r="104" spans="14:30" x14ac:dyDescent="0.25">
      <c r="N104" s="85"/>
      <c r="Q104" s="215">
        <f t="shared" si="50"/>
        <v>0</v>
      </c>
    </row>
    <row r="105" spans="14:30" x14ac:dyDescent="0.25">
      <c r="N105" s="85"/>
      <c r="Q105" s="215">
        <f t="shared" si="50"/>
        <v>0</v>
      </c>
    </row>
    <row r="106" spans="14:30" x14ac:dyDescent="0.25">
      <c r="N106" s="85"/>
      <c r="Q106" s="237">
        <f t="shared" si="50"/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1" priority="1" operator="greaterThan">
      <formula>0</formula>
    </cfRule>
    <cfRule type="cellIs" dxfId="3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22" zoomScale="90" zoomScaleNormal="90" workbookViewId="0">
      <selection activeCell="I53" sqref="I53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9" style="85" customWidth="1"/>
    <col min="13" max="13" width="17.42578125" style="76" customWidth="1"/>
    <col min="14" max="14" width="5.140625" style="71" customWidth="1"/>
    <col min="15" max="15" width="22.5703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9.1406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59"/>
      <c r="B1" s="296"/>
      <c r="C1" s="296"/>
      <c r="D1" s="296"/>
      <c r="E1" s="296"/>
      <c r="F1" s="296"/>
      <c r="G1" s="296"/>
      <c r="H1" s="296"/>
      <c r="M1" s="76"/>
      <c r="N1" s="71"/>
    </row>
    <row r="2" spans="1:28" s="84" customFormat="1" ht="16.5" customHeight="1" x14ac:dyDescent="0.35">
      <c r="A2" s="259"/>
      <c r="B2" s="296" t="s">
        <v>12</v>
      </c>
      <c r="C2" s="296"/>
      <c r="D2" s="296"/>
      <c r="E2" s="296"/>
      <c r="F2" s="296"/>
      <c r="G2" s="296"/>
      <c r="H2" s="296"/>
      <c r="M2" s="76"/>
      <c r="N2" s="71"/>
    </row>
    <row r="3" spans="1:28" s="84" customFormat="1" ht="21.75" customHeight="1" x14ac:dyDescent="0.25">
      <c r="A3" s="259"/>
      <c r="B3" s="297" t="s">
        <v>21</v>
      </c>
      <c r="C3" s="297"/>
      <c r="D3" s="297"/>
      <c r="E3" s="297"/>
      <c r="F3" s="297"/>
      <c r="G3" s="297"/>
      <c r="H3" s="297"/>
      <c r="M3" s="76"/>
      <c r="N3" s="71"/>
    </row>
    <row r="4" spans="1:28" x14ac:dyDescent="0.25">
      <c r="B4" s="298" t="s">
        <v>191</v>
      </c>
      <c r="C4" s="298"/>
      <c r="D4" s="298"/>
      <c r="E4" s="298"/>
      <c r="F4" s="298"/>
      <c r="G4" s="298"/>
      <c r="H4" s="298"/>
    </row>
    <row r="6" spans="1:28" x14ac:dyDescent="0.25">
      <c r="A6" s="7" t="s">
        <v>22</v>
      </c>
      <c r="B6" s="72">
        <v>44486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4.16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718.3</v>
      </c>
      <c r="C12" s="15"/>
      <c r="D12" s="56"/>
      <c r="E12" s="16"/>
      <c r="F12" s="56"/>
      <c r="G12" s="56"/>
      <c r="H12" s="17"/>
      <c r="I12" s="83">
        <v>718.3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/>
      <c r="Q12" s="153"/>
      <c r="R12" s="154"/>
      <c r="S12" s="155"/>
      <c r="T12" s="155"/>
      <c r="U12" s="189">
        <f>((T12/U$10)*U$9)</f>
        <v>0</v>
      </c>
      <c r="V12" s="189">
        <f>R12*V$10</f>
        <v>0</v>
      </c>
      <c r="W12" s="189">
        <f>+S12*V$10</f>
        <v>0</v>
      </c>
      <c r="X12" s="189">
        <f>+T12*X$10</f>
        <v>0</v>
      </c>
      <c r="Y12" s="189">
        <f>R12-V12</f>
        <v>0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1337</v>
      </c>
      <c r="C13" s="15"/>
      <c r="D13" s="56"/>
      <c r="E13" s="16"/>
      <c r="F13" s="56"/>
      <c r="G13" s="56"/>
      <c r="H13" s="17"/>
      <c r="I13" s="83">
        <v>1337</v>
      </c>
      <c r="J13" s="81">
        <f t="shared" ref="J13:J64" si="0">B13-I13</f>
        <v>0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5561.92</v>
      </c>
      <c r="C14" s="15"/>
      <c r="D14" s="56"/>
      <c r="E14" s="16"/>
      <c r="F14" s="56"/>
      <c r="G14" s="56"/>
      <c r="H14" s="17"/>
      <c r="I14" s="83"/>
      <c r="J14" s="81">
        <f t="shared" si="0"/>
        <v>5561.92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1337</v>
      </c>
      <c r="C19" s="95"/>
      <c r="D19" s="94"/>
      <c r="E19" s="96"/>
      <c r="F19" s="94"/>
      <c r="G19" s="94"/>
      <c r="H19" s="98"/>
      <c r="I19" s="99">
        <v>1337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5561.92</v>
      </c>
      <c r="C20" s="95"/>
      <c r="D20" s="94"/>
      <c r="E20" s="96"/>
      <c r="F20" s="94"/>
      <c r="G20" s="94"/>
      <c r="H20" s="98"/>
      <c r="I20" s="99"/>
      <c r="J20" s="185">
        <f t="shared" si="0"/>
        <v>5561.92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 t="s">
        <v>167</v>
      </c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3" t="s">
        <v>107</v>
      </c>
      <c r="O42" s="294"/>
      <c r="P42" s="294"/>
      <c r="Q42" s="295"/>
      <c r="R42" s="190">
        <f t="shared" ref="R42:AA42" si="8">SUM(R12:R41)</f>
        <v>0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</v>
      </c>
      <c r="W42" s="190">
        <f t="shared" si="8"/>
        <v>0</v>
      </c>
      <c r="X42" s="190">
        <f t="shared" si="8"/>
        <v>0</v>
      </c>
      <c r="Y42" s="190">
        <f t="shared" si="8"/>
        <v>0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0</v>
      </c>
      <c r="C46" s="116">
        <v>7.4999999999999997E-3</v>
      </c>
      <c r="D46" s="117">
        <f>B46*C46</f>
        <v>0</v>
      </c>
      <c r="E46" s="172">
        <v>0</v>
      </c>
      <c r="F46" s="117">
        <f t="shared" ref="F46:F50" si="15">D46*E46</f>
        <v>0</v>
      </c>
      <c r="G46" s="117">
        <f t="shared" ref="G46:G51" si="16">B46-D46-F46</f>
        <v>0</v>
      </c>
      <c r="H46" s="173">
        <f>B$6+1</f>
        <v>44487</v>
      </c>
      <c r="I46" s="174"/>
      <c r="J46" s="81">
        <f t="shared" si="0"/>
        <v>0</v>
      </c>
      <c r="K46" s="80"/>
      <c r="L46" s="186">
        <f>K46-G46</f>
        <v>0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44487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44487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7</v>
      </c>
      <c r="B49" s="117">
        <f>R75</f>
        <v>3706.41</v>
      </c>
      <c r="C49" s="116">
        <v>7.4999999999999997E-3</v>
      </c>
      <c r="D49" s="117">
        <f t="shared" si="17"/>
        <v>27.798074999999997</v>
      </c>
      <c r="E49" s="172">
        <v>0</v>
      </c>
      <c r="F49" s="117">
        <f t="shared" si="15"/>
        <v>0</v>
      </c>
      <c r="G49" s="117">
        <f t="shared" si="16"/>
        <v>3678.6119249999997</v>
      </c>
      <c r="H49" s="173">
        <f t="shared" si="19"/>
        <v>44487</v>
      </c>
      <c r="I49" s="176"/>
      <c r="J49" s="81">
        <f t="shared" si="0"/>
        <v>3706.41</v>
      </c>
      <c r="K49" s="80"/>
      <c r="L49" s="186">
        <f t="shared" si="18"/>
        <v>3678.6119249999997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44487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44487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44487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44487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44487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44487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16.72</v>
      </c>
      <c r="C56" s="116">
        <v>2.5000000000000001E-2</v>
      </c>
      <c r="D56" s="117">
        <f t="shared" si="20"/>
        <v>0.41799999999999998</v>
      </c>
      <c r="E56" s="172">
        <v>0.05</v>
      </c>
      <c r="F56" s="117">
        <f t="shared" si="21"/>
        <v>0.72068965517241379</v>
      </c>
      <c r="G56" s="117">
        <f t="shared" si="22"/>
        <v>15.581310344827585</v>
      </c>
      <c r="H56" s="173">
        <f t="shared" si="19"/>
        <v>44487</v>
      </c>
      <c r="I56" s="176"/>
      <c r="J56" s="81">
        <f t="shared" si="0"/>
        <v>16.72</v>
      </c>
      <c r="K56" s="80"/>
      <c r="L56" s="186">
        <f t="shared" si="18"/>
        <v>15.581310344827585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44489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44491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44516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28.216074999999996</v>
      </c>
      <c r="E61" s="177"/>
      <c r="F61" s="57">
        <f>SUM(F46:F58)</f>
        <v>0.72068965517241379</v>
      </c>
      <c r="G61" s="57">
        <f>SUM(G46:G58)</f>
        <v>3694.1932353448274</v>
      </c>
      <c r="H61" s="173">
        <f t="shared" si="19"/>
        <v>44487</v>
      </c>
      <c r="I61" s="175"/>
      <c r="J61" s="81">
        <f t="shared" si="0"/>
        <v>0</v>
      </c>
      <c r="K61" s="80"/>
      <c r="L61" s="186">
        <f t="shared" si="18"/>
        <v>3694.1932353448274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44487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2" t="s">
        <v>109</v>
      </c>
      <c r="O63" s="282"/>
      <c r="P63" s="282"/>
      <c r="Q63" s="28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7388.3864706896547</v>
      </c>
      <c r="H64" s="184"/>
      <c r="I64" s="175"/>
      <c r="J64" s="81">
        <f t="shared" si="0"/>
        <v>0</v>
      </c>
      <c r="K64" s="80"/>
      <c r="L64" s="186">
        <f t="shared" si="18"/>
        <v>7388.3864706896547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10003.35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9" t="s">
        <v>20</v>
      </c>
      <c r="B67" s="300"/>
      <c r="F67" s="301" t="s">
        <v>136</v>
      </c>
      <c r="G67" s="301"/>
      <c r="H67" s="301"/>
      <c r="I67" s="302" t="s">
        <v>138</v>
      </c>
      <c r="J67" s="303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9931.43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172</v>
      </c>
      <c r="P68" s="87"/>
      <c r="Q68" s="87"/>
      <c r="R68" s="13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9931.43</v>
      </c>
      <c r="C69" s="59"/>
      <c r="F69" s="87" t="s">
        <v>129</v>
      </c>
      <c r="G69" s="22"/>
      <c r="H69" s="89"/>
      <c r="I69" s="136"/>
      <c r="J69" s="136">
        <f>K52</f>
        <v>0</v>
      </c>
      <c r="N69" s="282" t="s">
        <v>110</v>
      </c>
      <c r="O69" s="282"/>
      <c r="P69" s="283"/>
      <c r="Q69" s="28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B68-B67</f>
        <v>9931.43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189</v>
      </c>
      <c r="P70" s="87">
        <v>324</v>
      </c>
      <c r="Q70" s="87">
        <v>2003</v>
      </c>
      <c r="R70" s="137">
        <v>774.52</v>
      </c>
      <c r="S70" s="87"/>
      <c r="T70" s="87">
        <v>5.86</v>
      </c>
      <c r="U70" s="189">
        <f t="shared" ref="U70:U74" si="34">((T70/U$10)*U$9)</f>
        <v>0.25258620689655176</v>
      </c>
      <c r="V70" s="189">
        <f t="shared" ref="V70:V74" si="35">R70*V$10</f>
        <v>5.8088999999999995</v>
      </c>
      <c r="W70" s="189">
        <f t="shared" ref="W70:W74" si="36">+S70*V$10</f>
        <v>0</v>
      </c>
      <c r="X70" s="189">
        <f t="shared" ref="X70:X74" si="37">+T70*X$10</f>
        <v>0.14650000000000002</v>
      </c>
      <c r="Y70" s="189">
        <f t="shared" ref="Y70:Z74" si="38">R70-V70</f>
        <v>768.71109999999999</v>
      </c>
      <c r="Z70" s="189">
        <f t="shared" si="38"/>
        <v>0</v>
      </c>
      <c r="AA70" s="189">
        <f t="shared" ref="AA70:AA74" si="39">T70-U70-X70</f>
        <v>5.4609137931034493</v>
      </c>
      <c r="AB70" s="87"/>
    </row>
    <row r="71" spans="1:30" ht="28.5" customHeight="1" thickBot="1" x14ac:dyDescent="0.3">
      <c r="A71" s="25" t="s">
        <v>57</v>
      </c>
      <c r="B71" s="70">
        <f>(B65-B69)-B72</f>
        <v>71.920000000000073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189</v>
      </c>
      <c r="P71" s="87">
        <v>325</v>
      </c>
      <c r="Q71" s="87">
        <v>2003</v>
      </c>
      <c r="R71" s="137">
        <v>219.86</v>
      </c>
      <c r="S71" s="87"/>
      <c r="T71" s="87"/>
      <c r="U71" s="189">
        <f t="shared" si="34"/>
        <v>0</v>
      </c>
      <c r="V71" s="189">
        <f t="shared" si="35"/>
        <v>1.6489500000000001</v>
      </c>
      <c r="W71" s="189">
        <f t="shared" si="36"/>
        <v>0</v>
      </c>
      <c r="X71" s="189">
        <f t="shared" si="37"/>
        <v>0</v>
      </c>
      <c r="Y71" s="189">
        <f t="shared" si="38"/>
        <v>218.21105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189</v>
      </c>
      <c r="P72" s="87" t="s">
        <v>230</v>
      </c>
      <c r="Q72" s="87">
        <v>2002</v>
      </c>
      <c r="R72" s="137">
        <v>1198.7</v>
      </c>
      <c r="S72" s="87"/>
      <c r="T72" s="87">
        <v>10.86</v>
      </c>
      <c r="U72" s="189">
        <f t="shared" si="34"/>
        <v>0.46810344827586214</v>
      </c>
      <c r="V72" s="189">
        <f t="shared" si="35"/>
        <v>8.9902499999999996</v>
      </c>
      <c r="W72" s="189">
        <f t="shared" si="36"/>
        <v>0</v>
      </c>
      <c r="X72" s="189">
        <f t="shared" si="37"/>
        <v>0.27150000000000002</v>
      </c>
      <c r="Y72" s="189">
        <f t="shared" si="38"/>
        <v>1189.70975</v>
      </c>
      <c r="Z72" s="189">
        <f t="shared" si="38"/>
        <v>0</v>
      </c>
      <c r="AA72" s="189">
        <f t="shared" si="39"/>
        <v>10.120396551724138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186</v>
      </c>
      <c r="P73" s="87">
        <v>340</v>
      </c>
      <c r="Q73" s="87">
        <v>2002</v>
      </c>
      <c r="R73" s="137">
        <v>243.23</v>
      </c>
      <c r="S73" s="87"/>
      <c r="T73" s="87"/>
      <c r="U73" s="189">
        <f t="shared" si="34"/>
        <v>0</v>
      </c>
      <c r="V73" s="189">
        <f t="shared" si="35"/>
        <v>1.8242249999999998</v>
      </c>
      <c r="W73" s="189">
        <f t="shared" si="36"/>
        <v>0</v>
      </c>
      <c r="X73" s="189">
        <f t="shared" si="37"/>
        <v>0</v>
      </c>
      <c r="Y73" s="189">
        <f t="shared" si="38"/>
        <v>241.40577499999998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186</v>
      </c>
      <c r="P74" s="87">
        <v>339</v>
      </c>
      <c r="Q74" s="87">
        <v>2002</v>
      </c>
      <c r="R74" s="137">
        <v>1270.0999999999999</v>
      </c>
      <c r="S74" s="87"/>
      <c r="T74" s="87"/>
      <c r="U74" s="189">
        <f t="shared" si="34"/>
        <v>0</v>
      </c>
      <c r="V74" s="189">
        <f t="shared" si="35"/>
        <v>9.5257499999999986</v>
      </c>
      <c r="W74" s="189">
        <f t="shared" si="36"/>
        <v>0</v>
      </c>
      <c r="X74" s="189">
        <f t="shared" si="37"/>
        <v>0</v>
      </c>
      <c r="Y74" s="189">
        <f t="shared" si="38"/>
        <v>1260.5742499999999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2" t="s">
        <v>128</v>
      </c>
      <c r="O75" s="282"/>
      <c r="P75" s="283"/>
      <c r="Q75" s="283"/>
      <c r="R75" s="192">
        <f>SUM(R70:R74)</f>
        <v>3706.41</v>
      </c>
      <c r="S75" s="192"/>
      <c r="T75" s="192">
        <f>SUM(T70:T74)</f>
        <v>16.72</v>
      </c>
      <c r="U75" s="192">
        <f>SUM(U70:U74)</f>
        <v>0.7206896551724139</v>
      </c>
      <c r="V75" s="192">
        <f t="shared" ref="V75:AA75" si="41">SUM(V70:V74)</f>
        <v>27.798074999999997</v>
      </c>
      <c r="W75" s="192">
        <f t="shared" si="41"/>
        <v>0</v>
      </c>
      <c r="X75" s="192">
        <f t="shared" si="41"/>
        <v>0.41800000000000004</v>
      </c>
      <c r="Y75" s="192">
        <f t="shared" si="41"/>
        <v>3678.6119250000002</v>
      </c>
      <c r="Z75" s="192">
        <f t="shared" si="41"/>
        <v>0</v>
      </c>
      <c r="AA75" s="193">
        <f t="shared" si="41"/>
        <v>15.581310344827587</v>
      </c>
      <c r="AB75" s="103"/>
    </row>
    <row r="76" spans="1:30" ht="15.75" x14ac:dyDescent="0.25">
      <c r="N76" s="284" t="s">
        <v>73</v>
      </c>
      <c r="O76" s="286" t="s">
        <v>67</v>
      </c>
      <c r="P76" s="282" t="s">
        <v>62</v>
      </c>
      <c r="Q76" s="282"/>
      <c r="R76" s="282"/>
      <c r="S76" s="282"/>
      <c r="T76" s="282"/>
      <c r="U76" s="288" t="s">
        <v>68</v>
      </c>
      <c r="V76" s="289"/>
      <c r="W76" s="289"/>
      <c r="X76" s="289"/>
      <c r="Y76" s="290"/>
      <c r="Z76" s="279" t="s">
        <v>54</v>
      </c>
      <c r="AA76" s="279" t="s">
        <v>64</v>
      </c>
      <c r="AB76" s="279" t="s">
        <v>124</v>
      </c>
      <c r="AC76" s="280" t="s">
        <v>127</v>
      </c>
      <c r="AD76" s="281" t="s">
        <v>65</v>
      </c>
    </row>
    <row r="77" spans="1:30" ht="60" x14ac:dyDescent="0.25">
      <c r="F77" s="291" t="s">
        <v>140</v>
      </c>
      <c r="G77" s="292"/>
      <c r="H77" s="141" t="s">
        <v>142</v>
      </c>
      <c r="N77" s="285"/>
      <c r="O77" s="287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79"/>
      <c r="AA77" s="279"/>
      <c r="AB77" s="279"/>
      <c r="AC77" s="280" t="s">
        <v>127</v>
      </c>
      <c r="AD77" s="281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8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87"/>
      <c r="Q79" s="8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3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87"/>
      <c r="Q80" s="8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38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87"/>
      <c r="Q81" s="8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38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8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3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Q100" s="212">
        <f>P78+Q78+U78</f>
        <v>0</v>
      </c>
    </row>
    <row r="101" spans="14:30" x14ac:dyDescent="0.25">
      <c r="N101" s="85"/>
    </row>
    <row r="102" spans="14:30" x14ac:dyDescent="0.25">
      <c r="N102" s="85"/>
    </row>
    <row r="103" spans="14:30" x14ac:dyDescent="0.25">
      <c r="N103" s="85"/>
    </row>
    <row r="104" spans="14:30" x14ac:dyDescent="0.25">
      <c r="N104" s="85"/>
    </row>
    <row r="105" spans="14:30" x14ac:dyDescent="0.25">
      <c r="N105" s="85"/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29" priority="1" operator="greaterThan">
      <formula>0</formula>
    </cfRule>
    <cfRule type="cellIs" dxfId="2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31" zoomScale="90" zoomScaleNormal="90" workbookViewId="0">
      <selection activeCell="G52" sqref="G52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3.140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9.8554687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59"/>
      <c r="B1" s="296"/>
      <c r="C1" s="296"/>
      <c r="D1" s="296"/>
      <c r="E1" s="296"/>
      <c r="F1" s="296"/>
      <c r="G1" s="296"/>
      <c r="H1" s="296"/>
      <c r="M1" s="76"/>
      <c r="N1" s="71"/>
    </row>
    <row r="2" spans="1:28" s="84" customFormat="1" ht="16.5" customHeight="1" x14ac:dyDescent="0.35">
      <c r="A2" s="259"/>
      <c r="B2" s="296" t="s">
        <v>12</v>
      </c>
      <c r="C2" s="296"/>
      <c r="D2" s="296"/>
      <c r="E2" s="296"/>
      <c r="F2" s="296"/>
      <c r="G2" s="296"/>
      <c r="H2" s="296"/>
      <c r="M2" s="76"/>
      <c r="N2" s="71"/>
    </row>
    <row r="3" spans="1:28" s="84" customFormat="1" ht="21.75" customHeight="1" x14ac:dyDescent="0.25">
      <c r="A3" s="259"/>
      <c r="B3" s="297" t="s">
        <v>21</v>
      </c>
      <c r="C3" s="297"/>
      <c r="D3" s="297"/>
      <c r="E3" s="297"/>
      <c r="F3" s="297"/>
      <c r="G3" s="297"/>
      <c r="H3" s="297"/>
      <c r="M3" s="76"/>
      <c r="N3" s="71"/>
    </row>
    <row r="4" spans="1:28" x14ac:dyDescent="0.25">
      <c r="B4" s="298" t="s">
        <v>193</v>
      </c>
      <c r="C4" s="298"/>
      <c r="D4" s="298"/>
      <c r="E4" s="298"/>
      <c r="F4" s="298"/>
      <c r="G4" s="298"/>
      <c r="H4" s="298"/>
    </row>
    <row r="6" spans="1:28" x14ac:dyDescent="0.25">
      <c r="A6" s="7" t="s">
        <v>22</v>
      </c>
      <c r="B6" s="72">
        <v>44122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4.16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277.58999999999997</v>
      </c>
      <c r="C12" s="15"/>
      <c r="D12" s="56"/>
      <c r="E12" s="16"/>
      <c r="F12" s="56"/>
      <c r="G12" s="56"/>
      <c r="H12" s="17"/>
      <c r="I12" s="83">
        <v>277.58999999999997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>
        <v>133</v>
      </c>
      <c r="Q12" s="153">
        <v>7</v>
      </c>
      <c r="R12" s="154">
        <v>593.01</v>
      </c>
      <c r="S12" s="155"/>
      <c r="T12" s="155">
        <v>32.53</v>
      </c>
      <c r="U12" s="189">
        <f>((T12/U$10)*U$9)</f>
        <v>1.4021551724137933</v>
      </c>
      <c r="V12" s="189">
        <f>R12*V$10</f>
        <v>4.4475749999999996</v>
      </c>
      <c r="W12" s="189">
        <f>+S12*V$10</f>
        <v>0</v>
      </c>
      <c r="X12" s="189">
        <f>+T12*X$10</f>
        <v>0.81325000000000003</v>
      </c>
      <c r="Y12" s="189">
        <f>R12-V12</f>
        <v>588.56242499999996</v>
      </c>
      <c r="Z12" s="189">
        <f>S12-W12</f>
        <v>0</v>
      </c>
      <c r="AA12" s="189">
        <f>T12-U12-X12</f>
        <v>30.314594827586209</v>
      </c>
      <c r="AB12" s="156"/>
    </row>
    <row r="13" spans="1:28" ht="15.75" x14ac:dyDescent="0.25">
      <c r="A13" s="86" t="s">
        <v>76</v>
      </c>
      <c r="B13" s="89">
        <v>856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856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3560.96</v>
      </c>
      <c r="C14" s="15"/>
      <c r="D14" s="56"/>
      <c r="E14" s="16"/>
      <c r="F14" s="56"/>
      <c r="G14" s="56"/>
      <c r="H14" s="17"/>
      <c r="I14" s="83"/>
      <c r="J14" s="81">
        <f t="shared" si="0"/>
        <v>3560.96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856</v>
      </c>
      <c r="C19" s="95"/>
      <c r="D19" s="94"/>
      <c r="E19" s="96"/>
      <c r="F19" s="94"/>
      <c r="G19" s="94"/>
      <c r="H19" s="98"/>
      <c r="I19" s="99"/>
      <c r="J19" s="185">
        <f>B19-I19</f>
        <v>856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3560.96</v>
      </c>
      <c r="C20" s="95"/>
      <c r="D20" s="94"/>
      <c r="E20" s="96"/>
      <c r="F20" s="94"/>
      <c r="G20" s="94"/>
      <c r="H20" s="98"/>
      <c r="I20" s="99">
        <v>3552.4</v>
      </c>
      <c r="J20" s="185">
        <f t="shared" si="0"/>
        <v>8.5599999999999454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3" t="s">
        <v>107</v>
      </c>
      <c r="O42" s="294"/>
      <c r="P42" s="294"/>
      <c r="Q42" s="295"/>
      <c r="R42" s="190">
        <f t="shared" ref="R42:AA42" si="8">SUM(R12:R41)</f>
        <v>593.01</v>
      </c>
      <c r="S42" s="190">
        <f t="shared" si="8"/>
        <v>0</v>
      </c>
      <c r="T42" s="190">
        <f t="shared" si="8"/>
        <v>32.53</v>
      </c>
      <c r="U42" s="190">
        <f t="shared" si="8"/>
        <v>1.4021551724137933</v>
      </c>
      <c r="V42" s="190">
        <f t="shared" si="8"/>
        <v>4.4475749999999996</v>
      </c>
      <c r="W42" s="190">
        <f t="shared" si="8"/>
        <v>0</v>
      </c>
      <c r="X42" s="190">
        <f t="shared" si="8"/>
        <v>0.81325000000000003</v>
      </c>
      <c r="Y42" s="190">
        <f t="shared" si="8"/>
        <v>588.56242499999996</v>
      </c>
      <c r="Z42" s="190">
        <f t="shared" si="8"/>
        <v>0</v>
      </c>
      <c r="AA42" s="190">
        <f t="shared" si="8"/>
        <v>30.314594827586209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593.01</v>
      </c>
      <c r="C46" s="116">
        <v>7.4999999999999997E-3</v>
      </c>
      <c r="D46" s="117">
        <f>B46*C46</f>
        <v>4.4475749999999996</v>
      </c>
      <c r="E46" s="172">
        <v>0</v>
      </c>
      <c r="F46" s="117">
        <f t="shared" ref="F46:F50" si="15">D46*E46</f>
        <v>0</v>
      </c>
      <c r="G46" s="117">
        <f t="shared" ref="G46:G51" si="16">B46-D46-F46</f>
        <v>588.56242499999996</v>
      </c>
      <c r="H46" s="173">
        <f>B$6+1</f>
        <v>44123</v>
      </c>
      <c r="I46" s="174"/>
      <c r="J46" s="81">
        <f t="shared" si="0"/>
        <v>593.01</v>
      </c>
      <c r="K46" s="80"/>
      <c r="L46" s="186">
        <f>K46-G46</f>
        <v>-588.56242499999996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44123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1.4999999999999999E-2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44123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3682.67</v>
      </c>
      <c r="C49" s="116">
        <v>7.4999999999999997E-3</v>
      </c>
      <c r="D49" s="117">
        <f t="shared" si="17"/>
        <v>27.620024999999998</v>
      </c>
      <c r="E49" s="172">
        <v>0</v>
      </c>
      <c r="F49" s="117">
        <f t="shared" si="15"/>
        <v>0</v>
      </c>
      <c r="G49" s="117">
        <f t="shared" si="16"/>
        <v>3655.0499749999999</v>
      </c>
      <c r="H49" s="173">
        <f t="shared" si="19"/>
        <v>44123</v>
      </c>
      <c r="I49" s="176"/>
      <c r="J49" s="81">
        <f t="shared" si="0"/>
        <v>3682.67</v>
      </c>
      <c r="K49" s="80"/>
      <c r="L49" s="186">
        <f t="shared" si="18"/>
        <v>3655.0499749999999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44123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44123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32.53</v>
      </c>
      <c r="C52" s="116">
        <v>2.5000000000000001E-2</v>
      </c>
      <c r="D52" s="117">
        <f>B52*C52</f>
        <v>0.81325000000000003</v>
      </c>
      <c r="E52" s="172">
        <v>0.05</v>
      </c>
      <c r="F52" s="117">
        <f>(B52/E$10)*E52</f>
        <v>1.4021551724137933</v>
      </c>
      <c r="G52" s="117">
        <f>B52-D52-F52</f>
        <v>30.314594827586209</v>
      </c>
      <c r="H52" s="188">
        <f t="shared" si="19"/>
        <v>44123</v>
      </c>
      <c r="I52" s="176">
        <v>32.53</v>
      </c>
      <c r="J52" s="81">
        <f t="shared" si="0"/>
        <v>0</v>
      </c>
      <c r="K52" s="80"/>
      <c r="L52" s="186">
        <f>K52-G52</f>
        <v>-30.314594827586209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44123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44123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44123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17.64</v>
      </c>
      <c r="C56" s="116">
        <v>2.5000000000000001E-2</v>
      </c>
      <c r="D56" s="117">
        <f t="shared" si="20"/>
        <v>0.44100000000000006</v>
      </c>
      <c r="E56" s="172">
        <v>0.05</v>
      </c>
      <c r="F56" s="117">
        <f t="shared" si="21"/>
        <v>0.76034482758620703</v>
      </c>
      <c r="G56" s="117">
        <f t="shared" si="22"/>
        <v>16.438655172413796</v>
      </c>
      <c r="H56" s="173">
        <f t="shared" si="19"/>
        <v>44123</v>
      </c>
      <c r="I56" s="176">
        <v>17.64</v>
      </c>
      <c r="J56" s="81">
        <f t="shared" si="0"/>
        <v>0</v>
      </c>
      <c r="K56" s="80"/>
      <c r="L56" s="186">
        <f t="shared" si="18"/>
        <v>16.438655172413796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44125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44127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44152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33.321849999999998</v>
      </c>
      <c r="E61" s="177"/>
      <c r="F61" s="57">
        <f>SUM(F46:F58)</f>
        <v>2.1625000000000005</v>
      </c>
      <c r="G61" s="57">
        <f>SUM(G46:G58)</f>
        <v>4290.3656499999997</v>
      </c>
      <c r="H61" s="173">
        <f t="shared" si="19"/>
        <v>44123</v>
      </c>
      <c r="I61" s="175"/>
      <c r="J61" s="81">
        <f t="shared" si="0"/>
        <v>0</v>
      </c>
      <c r="K61" s="80"/>
      <c r="L61" s="186">
        <f t="shared" si="18"/>
        <v>4290.3656499999997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44123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2" t="s">
        <v>109</v>
      </c>
      <c r="O63" s="282"/>
      <c r="P63" s="282"/>
      <c r="Q63" s="28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8580.7312999999995</v>
      </c>
      <c r="H64" s="184"/>
      <c r="I64" s="175"/>
      <c r="J64" s="81">
        <f t="shared" si="0"/>
        <v>0</v>
      </c>
      <c r="K64" s="80"/>
      <c r="L64" s="186">
        <f t="shared" si="18"/>
        <v>8580.7312999999995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8164.4000000000005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9" t="s">
        <v>20</v>
      </c>
      <c r="B67" s="300"/>
      <c r="F67" s="301" t="s">
        <v>136</v>
      </c>
      <c r="G67" s="301"/>
      <c r="H67" s="301"/>
      <c r="I67" s="302" t="s">
        <v>138</v>
      </c>
      <c r="J67" s="303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8156.31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8156.31</v>
      </c>
      <c r="C69" s="59"/>
      <c r="F69" s="87" t="s">
        <v>129</v>
      </c>
      <c r="G69" s="22"/>
      <c r="H69" s="89"/>
      <c r="I69" s="136"/>
      <c r="J69" s="136">
        <f>K52</f>
        <v>0</v>
      </c>
      <c r="N69" s="282" t="s">
        <v>110</v>
      </c>
      <c r="O69" s="282"/>
      <c r="P69" s="283"/>
      <c r="Q69" s="28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B68-B67</f>
        <v>8156.31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194</v>
      </c>
      <c r="P70" s="87">
        <v>326</v>
      </c>
      <c r="Q70" s="87">
        <v>2003</v>
      </c>
      <c r="R70" s="239">
        <v>980.17</v>
      </c>
      <c r="S70" s="87"/>
      <c r="T70" s="137"/>
      <c r="U70" s="189">
        <f t="shared" ref="U70:U74" si="34">((T70/U$10)*U$9)</f>
        <v>0</v>
      </c>
      <c r="V70" s="189">
        <f t="shared" ref="V70:V74" si="35">R70*V$10</f>
        <v>7.3512749999999993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972.81872499999997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8.0900000000001455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194</v>
      </c>
      <c r="P71" s="87">
        <v>327</v>
      </c>
      <c r="Q71" s="87">
        <v>2003</v>
      </c>
      <c r="R71" s="239">
        <v>1198.8699999999999</v>
      </c>
      <c r="S71" s="87"/>
      <c r="T71" s="87"/>
      <c r="U71" s="189">
        <f t="shared" si="34"/>
        <v>0</v>
      </c>
      <c r="V71" s="189">
        <f t="shared" si="35"/>
        <v>8.9915249999999993</v>
      </c>
      <c r="W71" s="189">
        <f t="shared" si="36"/>
        <v>0</v>
      </c>
      <c r="X71" s="189">
        <f t="shared" si="37"/>
        <v>0</v>
      </c>
      <c r="Y71" s="189">
        <f t="shared" si="38"/>
        <v>1189.878475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194</v>
      </c>
      <c r="P72" s="87">
        <v>419</v>
      </c>
      <c r="Q72" s="87">
        <v>2002</v>
      </c>
      <c r="R72" s="239">
        <v>787.08</v>
      </c>
      <c r="S72" s="87"/>
      <c r="T72" s="137"/>
      <c r="U72" s="189">
        <f t="shared" si="34"/>
        <v>0</v>
      </c>
      <c r="V72" s="189">
        <f t="shared" si="35"/>
        <v>5.9031000000000002</v>
      </c>
      <c r="W72" s="189">
        <f t="shared" si="36"/>
        <v>0</v>
      </c>
      <c r="X72" s="189">
        <f t="shared" si="37"/>
        <v>0</v>
      </c>
      <c r="Y72" s="189">
        <f t="shared" si="38"/>
        <v>781.17690000000005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186</v>
      </c>
      <c r="P73" s="87"/>
      <c r="Q73" s="87"/>
      <c r="R73" s="137"/>
      <c r="S73" s="87"/>
      <c r="T73" s="8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186</v>
      </c>
      <c r="P74" s="87">
        <v>341</v>
      </c>
      <c r="Q74" s="87">
        <v>2002</v>
      </c>
      <c r="R74" s="239">
        <v>716.55</v>
      </c>
      <c r="S74" s="87"/>
      <c r="T74" s="87">
        <v>17.64</v>
      </c>
      <c r="U74" s="189">
        <f t="shared" si="34"/>
        <v>0.76034482758620703</v>
      </c>
      <c r="V74" s="189">
        <f t="shared" si="35"/>
        <v>5.3741249999999994</v>
      </c>
      <c r="W74" s="189">
        <f t="shared" si="36"/>
        <v>0</v>
      </c>
      <c r="X74" s="189">
        <f t="shared" si="37"/>
        <v>0.44100000000000006</v>
      </c>
      <c r="Y74" s="189">
        <f t="shared" si="38"/>
        <v>711.17587499999991</v>
      </c>
      <c r="Z74" s="189">
        <f t="shared" si="38"/>
        <v>0</v>
      </c>
      <c r="AA74" s="189">
        <f t="shared" si="39"/>
        <v>16.438655172413796</v>
      </c>
      <c r="AB74" s="87"/>
    </row>
    <row r="75" spans="1:30" ht="15.75" x14ac:dyDescent="0.25">
      <c r="N75" s="282" t="s">
        <v>128</v>
      </c>
      <c r="O75" s="282"/>
      <c r="P75" s="283"/>
      <c r="Q75" s="283"/>
      <c r="R75" s="192">
        <f>SUM(R70:R74)</f>
        <v>3682.67</v>
      </c>
      <c r="S75" s="192"/>
      <c r="T75" s="192">
        <f>SUM(T70:T74)</f>
        <v>17.64</v>
      </c>
      <c r="U75" s="192">
        <f>SUM(U70:U74)</f>
        <v>0.76034482758620703</v>
      </c>
      <c r="V75" s="192">
        <f t="shared" ref="V75:AA75" si="41">SUM(V70:V74)</f>
        <v>27.620024999999998</v>
      </c>
      <c r="W75" s="192">
        <f t="shared" si="41"/>
        <v>0</v>
      </c>
      <c r="X75" s="192">
        <f t="shared" si="41"/>
        <v>0.44100000000000006</v>
      </c>
      <c r="Y75" s="192">
        <f t="shared" si="41"/>
        <v>3655.0499749999999</v>
      </c>
      <c r="Z75" s="192">
        <f t="shared" si="41"/>
        <v>0</v>
      </c>
      <c r="AA75" s="193">
        <f t="shared" si="41"/>
        <v>16.438655172413796</v>
      </c>
      <c r="AB75" s="103"/>
    </row>
    <row r="76" spans="1:30" ht="15.75" x14ac:dyDescent="0.25">
      <c r="N76" s="284" t="s">
        <v>73</v>
      </c>
      <c r="O76" s="286" t="s">
        <v>67</v>
      </c>
      <c r="P76" s="282" t="s">
        <v>62</v>
      </c>
      <c r="Q76" s="282"/>
      <c r="R76" s="282"/>
      <c r="S76" s="282"/>
      <c r="T76" s="282"/>
      <c r="U76" s="288" t="s">
        <v>68</v>
      </c>
      <c r="V76" s="289"/>
      <c r="W76" s="289"/>
      <c r="X76" s="289"/>
      <c r="Y76" s="290"/>
      <c r="Z76" s="279" t="s">
        <v>54</v>
      </c>
      <c r="AA76" s="279" t="s">
        <v>64</v>
      </c>
      <c r="AB76" s="279" t="s">
        <v>124</v>
      </c>
      <c r="AC76" s="280" t="s">
        <v>127</v>
      </c>
      <c r="AD76" s="281" t="s">
        <v>65</v>
      </c>
    </row>
    <row r="77" spans="1:30" ht="60" x14ac:dyDescent="0.25">
      <c r="F77" s="291" t="s">
        <v>140</v>
      </c>
      <c r="G77" s="292"/>
      <c r="H77" s="141" t="s">
        <v>142</v>
      </c>
      <c r="N77" s="285"/>
      <c r="O77" s="287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79"/>
      <c r="AA77" s="279"/>
      <c r="AB77" s="279"/>
      <c r="AC77" s="280" t="s">
        <v>127</v>
      </c>
      <c r="AD77" s="281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/>
      <c r="R78" s="82">
        <v>7.4999999999999997E-3</v>
      </c>
      <c r="S78" s="216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217">
        <f>+(U78+V78)*W78</f>
        <v>0</v>
      </c>
      <c r="Y78" s="236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137"/>
      <c r="Q79" s="137"/>
      <c r="R79" s="82">
        <v>7.4999999999999997E-3</v>
      </c>
      <c r="S79" s="216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217">
        <f t="shared" ref="X79:X97" si="45">+(U79+V79)*W79</f>
        <v>0</v>
      </c>
      <c r="Y79" s="236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/>
      <c r="R80" s="82">
        <v>7.4999999999999997E-3</v>
      </c>
      <c r="S80" s="216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217">
        <f t="shared" si="45"/>
        <v>0</v>
      </c>
      <c r="Y80" s="236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216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217">
        <f t="shared" si="45"/>
        <v>0</v>
      </c>
      <c r="Y81" s="236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216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217">
        <f t="shared" si="45"/>
        <v>0</v>
      </c>
      <c r="Y82" s="236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216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217">
        <f t="shared" si="45"/>
        <v>0</v>
      </c>
      <c r="Y83" s="236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216">
        <f t="shared" si="43"/>
        <v>0</v>
      </c>
      <c r="T84" s="224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2">
        <f t="shared" ref="P101:P106" si="50">P78+Q78+U78</f>
        <v>0</v>
      </c>
    </row>
    <row r="102" spans="14:30" x14ac:dyDescent="0.25">
      <c r="N102" s="85"/>
      <c r="P102" s="212">
        <f>P79+Q79+U79</f>
        <v>0</v>
      </c>
    </row>
    <row r="103" spans="14:30" x14ac:dyDescent="0.25">
      <c r="N103" s="85"/>
      <c r="P103" s="212">
        <f t="shared" si="50"/>
        <v>0</v>
      </c>
    </row>
    <row r="104" spans="14:30" x14ac:dyDescent="0.25">
      <c r="N104" s="85"/>
      <c r="P104" s="212">
        <f t="shared" si="50"/>
        <v>0</v>
      </c>
    </row>
    <row r="105" spans="14:30" x14ac:dyDescent="0.25">
      <c r="N105" s="85"/>
      <c r="P105" s="212">
        <f t="shared" si="50"/>
        <v>0</v>
      </c>
    </row>
    <row r="106" spans="14:30" x14ac:dyDescent="0.25">
      <c r="N106" s="85"/>
      <c r="P106" s="212">
        <f t="shared" si="50"/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27" priority="1" operator="greaterThan">
      <formula>0</formula>
    </cfRule>
    <cfRule type="cellIs" dxfId="2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31" zoomScale="90" zoomScaleNormal="90" workbookViewId="0">
      <selection activeCell="G46" sqref="G46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28515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9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59"/>
      <c r="B1" s="296"/>
      <c r="C1" s="296"/>
      <c r="D1" s="296"/>
      <c r="E1" s="296"/>
      <c r="F1" s="296"/>
      <c r="G1" s="296"/>
      <c r="H1" s="296"/>
      <c r="M1" s="76"/>
      <c r="N1" s="71"/>
    </row>
    <row r="2" spans="1:28" s="84" customFormat="1" ht="16.5" customHeight="1" x14ac:dyDescent="0.35">
      <c r="A2" s="259"/>
      <c r="B2" s="296" t="s">
        <v>12</v>
      </c>
      <c r="C2" s="296"/>
      <c r="D2" s="296"/>
      <c r="E2" s="296"/>
      <c r="F2" s="296"/>
      <c r="G2" s="296"/>
      <c r="H2" s="296"/>
      <c r="M2" s="76"/>
      <c r="N2" s="71"/>
    </row>
    <row r="3" spans="1:28" s="84" customFormat="1" ht="21.75" customHeight="1" x14ac:dyDescent="0.25">
      <c r="A3" s="259"/>
      <c r="B3" s="297" t="s">
        <v>21</v>
      </c>
      <c r="C3" s="297"/>
      <c r="D3" s="297"/>
      <c r="E3" s="297"/>
      <c r="F3" s="297"/>
      <c r="G3" s="297"/>
      <c r="H3" s="297"/>
      <c r="M3" s="76"/>
      <c r="N3" s="71"/>
    </row>
    <row r="4" spans="1:28" x14ac:dyDescent="0.25">
      <c r="B4" s="298" t="s">
        <v>193</v>
      </c>
      <c r="C4" s="298"/>
      <c r="D4" s="298"/>
      <c r="E4" s="298"/>
      <c r="F4" s="298"/>
      <c r="G4" s="298"/>
      <c r="H4" s="298"/>
    </row>
    <row r="6" spans="1:28" x14ac:dyDescent="0.25">
      <c r="A6" s="7" t="s">
        <v>22</v>
      </c>
      <c r="B6" s="72">
        <v>44488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4.16</v>
      </c>
      <c r="C8" s="85" t="s">
        <v>94</v>
      </c>
      <c r="D8" s="108"/>
    </row>
    <row r="9" spans="1:28" x14ac:dyDescent="0.25">
      <c r="A9" s="7" t="s">
        <v>78</v>
      </c>
      <c r="B9" s="108">
        <v>4.1500000000000004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131.65</v>
      </c>
      <c r="C12" s="15"/>
      <c r="D12" s="56"/>
      <c r="E12" s="16"/>
      <c r="F12" s="56"/>
      <c r="G12" s="56"/>
      <c r="H12" s="17"/>
      <c r="I12" s="83">
        <v>131.65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8">
        <v>134</v>
      </c>
      <c r="Q12" s="158">
        <v>7</v>
      </c>
      <c r="R12" s="159">
        <v>1700.5</v>
      </c>
      <c r="S12" s="160"/>
      <c r="T12" s="160"/>
      <c r="U12" s="189">
        <f>((T12/U$10)*U$9)</f>
        <v>0</v>
      </c>
      <c r="V12" s="189">
        <f>R12*V$10</f>
        <v>12.75375</v>
      </c>
      <c r="W12" s="189">
        <f>+S12*V$10</f>
        <v>0</v>
      </c>
      <c r="X12" s="189">
        <f>+T12*X$10</f>
        <v>0</v>
      </c>
      <c r="Y12" s="189">
        <f>R12-V12</f>
        <v>1687.7462499999999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131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131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8"/>
      <c r="Q13" s="158"/>
      <c r="R13" s="159"/>
      <c r="S13" s="160"/>
      <c r="T13" s="161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544.96</v>
      </c>
      <c r="C14" s="15"/>
      <c r="D14" s="56"/>
      <c r="E14" s="16"/>
      <c r="F14" s="56"/>
      <c r="G14" s="56"/>
      <c r="H14" s="17"/>
      <c r="I14" s="83"/>
      <c r="J14" s="81">
        <f t="shared" si="0"/>
        <v>544.96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668</v>
      </c>
      <c r="C15" s="15"/>
      <c r="D15" s="56"/>
      <c r="E15" s="16"/>
      <c r="F15" s="56"/>
      <c r="G15" s="56"/>
      <c r="H15" s="17"/>
      <c r="I15" s="83"/>
      <c r="J15" s="81">
        <f t="shared" si="0"/>
        <v>668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2772.2000000000003</v>
      </c>
      <c r="C16" s="15"/>
      <c r="D16" s="56"/>
      <c r="E16" s="16"/>
      <c r="F16" s="56"/>
      <c r="G16" s="56"/>
      <c r="H16" s="17"/>
      <c r="I16" s="83"/>
      <c r="J16" s="81">
        <f t="shared" si="0"/>
        <v>2772.2000000000003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799</v>
      </c>
      <c r="C19" s="95"/>
      <c r="D19" s="94"/>
      <c r="E19" s="96"/>
      <c r="F19" s="94"/>
      <c r="G19" s="94"/>
      <c r="H19" s="98"/>
      <c r="I19" s="99"/>
      <c r="J19" s="185">
        <f>B19-I19</f>
        <v>799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3317.1600000000003</v>
      </c>
      <c r="C20" s="95"/>
      <c r="D20" s="94"/>
      <c r="E20" s="96"/>
      <c r="F20" s="94"/>
      <c r="G20" s="94"/>
      <c r="H20" s="98"/>
      <c r="I20" s="99">
        <v>3315.85</v>
      </c>
      <c r="J20" s="185">
        <f t="shared" si="0"/>
        <v>1.3100000000004002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3" t="s">
        <v>107</v>
      </c>
      <c r="O42" s="294"/>
      <c r="P42" s="294"/>
      <c r="Q42" s="295"/>
      <c r="R42" s="190">
        <f t="shared" ref="R42:AA42" si="8">SUM(R12:R41)</f>
        <v>1700.5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12.75375</v>
      </c>
      <c r="W42" s="190">
        <f t="shared" si="8"/>
        <v>0</v>
      </c>
      <c r="X42" s="190">
        <f t="shared" si="8"/>
        <v>0</v>
      </c>
      <c r="Y42" s="190">
        <f t="shared" si="8"/>
        <v>1687.7462499999999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1700.5</v>
      </c>
      <c r="C46" s="116">
        <v>7.4999999999999997E-3</v>
      </c>
      <c r="D46" s="117">
        <f>B46*C46</f>
        <v>12.75375</v>
      </c>
      <c r="E46" s="172">
        <v>0</v>
      </c>
      <c r="F46" s="117">
        <f t="shared" ref="F46:F50" si="15">D46*E46</f>
        <v>0</v>
      </c>
      <c r="G46" s="117">
        <f t="shared" ref="G46:G51" si="16">B46-D46-F46</f>
        <v>1687.7462499999999</v>
      </c>
      <c r="H46" s="173">
        <f>B$6+1</f>
        <v>44489</v>
      </c>
      <c r="I46" s="174"/>
      <c r="J46" s="81">
        <f t="shared" si="0"/>
        <v>1700.5</v>
      </c>
      <c r="K46" s="80"/>
      <c r="L46" s="186">
        <f>K46-G46</f>
        <v>-1687.7462499999999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44489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44489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7</v>
      </c>
      <c r="B49" s="117">
        <f>R75</f>
        <v>2590.1800000000003</v>
      </c>
      <c r="C49" s="116">
        <v>7.4999999999999997E-3</v>
      </c>
      <c r="D49" s="117">
        <f t="shared" si="17"/>
        <v>19.426350000000003</v>
      </c>
      <c r="E49" s="172">
        <v>0</v>
      </c>
      <c r="F49" s="117">
        <f t="shared" si="15"/>
        <v>0</v>
      </c>
      <c r="G49" s="117">
        <f t="shared" si="16"/>
        <v>2570.7536500000001</v>
      </c>
      <c r="H49" s="173">
        <f t="shared" si="19"/>
        <v>44489</v>
      </c>
      <c r="I49" s="176"/>
      <c r="J49" s="81">
        <f t="shared" si="0"/>
        <v>2590.1800000000003</v>
      </c>
      <c r="K49" s="80"/>
      <c r="L49" s="186">
        <f t="shared" si="18"/>
        <v>2570.7536500000001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44489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44489</v>
      </c>
      <c r="I51" s="175"/>
      <c r="J51" s="81">
        <f t="shared" si="0"/>
        <v>0</v>
      </c>
      <c r="K51" s="80"/>
      <c r="L51" s="186">
        <f t="shared" si="18"/>
        <v>0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44489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44489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44489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44489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195</v>
      </c>
      <c r="B56" s="117">
        <f>T75</f>
        <v>112.51</v>
      </c>
      <c r="C56" s="116">
        <v>2.5000000000000001E-2</v>
      </c>
      <c r="D56" s="117">
        <f t="shared" si="20"/>
        <v>2.8127500000000003</v>
      </c>
      <c r="E56" s="172">
        <v>0.05</v>
      </c>
      <c r="F56" s="117">
        <f t="shared" si="21"/>
        <v>4.8495689655172427</v>
      </c>
      <c r="G56" s="117">
        <f t="shared" si="22"/>
        <v>104.84768103448278</v>
      </c>
      <c r="H56" s="173">
        <f t="shared" si="19"/>
        <v>44489</v>
      </c>
      <c r="I56" s="176">
        <v>112.51</v>
      </c>
      <c r="J56" s="81">
        <f t="shared" si="0"/>
        <v>0</v>
      </c>
      <c r="K56" s="80"/>
      <c r="L56" s="186">
        <f t="shared" si="18"/>
        <v>104.84768103448278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44491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44493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44518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34.992850000000004</v>
      </c>
      <c r="E61" s="177"/>
      <c r="F61" s="57">
        <f>SUM(F46:F58)</f>
        <v>4.8495689655172427</v>
      </c>
      <c r="G61" s="57">
        <f>SUM(G46:G58)</f>
        <v>4363.3475810344826</v>
      </c>
      <c r="H61" s="173">
        <f t="shared" si="19"/>
        <v>44489</v>
      </c>
      <c r="I61" s="175"/>
      <c r="J61" s="81">
        <f t="shared" si="0"/>
        <v>0</v>
      </c>
      <c r="K61" s="80"/>
      <c r="L61" s="186">
        <f t="shared" si="18"/>
        <v>4363.3475810344826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44489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2" t="s">
        <v>109</v>
      </c>
      <c r="O63" s="282"/>
      <c r="P63" s="282"/>
      <c r="Q63" s="28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8726.6951620689651</v>
      </c>
      <c r="H64" s="184"/>
      <c r="I64" s="175"/>
      <c r="J64" s="81">
        <f t="shared" si="0"/>
        <v>0</v>
      </c>
      <c r="K64" s="80"/>
      <c r="L64" s="186">
        <f t="shared" si="18"/>
        <v>8726.6951620689651</v>
      </c>
      <c r="M64" s="130"/>
      <c r="N64" s="87">
        <v>1</v>
      </c>
      <c r="O64" s="122" t="s">
        <v>172</v>
      </c>
      <c r="P64" s="87"/>
      <c r="Q64" s="87"/>
      <c r="R64" s="222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7852.0000000000009</v>
      </c>
      <c r="G65" s="22"/>
      <c r="L65" s="132"/>
      <c r="M65" s="131"/>
      <c r="N65" s="87">
        <v>2</v>
      </c>
      <c r="O65" s="122" t="s">
        <v>172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172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9" t="s">
        <v>20</v>
      </c>
      <c r="B67" s="300"/>
      <c r="F67" s="301" t="s">
        <v>136</v>
      </c>
      <c r="G67" s="301"/>
      <c r="H67" s="301"/>
      <c r="I67" s="302" t="s">
        <v>138</v>
      </c>
      <c r="J67" s="303"/>
      <c r="K67" s="138"/>
      <c r="N67" s="87">
        <v>4</v>
      </c>
      <c r="O67" s="122" t="s">
        <v>172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7826.12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7826.12</v>
      </c>
      <c r="C69" s="59"/>
      <c r="F69" s="87" t="s">
        <v>129</v>
      </c>
      <c r="G69" s="22"/>
      <c r="H69" s="89"/>
      <c r="I69" s="136"/>
      <c r="J69" s="136">
        <f>K52</f>
        <v>0</v>
      </c>
      <c r="N69" s="282" t="s">
        <v>110</v>
      </c>
      <c r="O69" s="282"/>
      <c r="P69" s="283"/>
      <c r="Q69" s="28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B68-B67</f>
        <v>7826.12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189</v>
      </c>
      <c r="P70" s="229" t="s">
        <v>231</v>
      </c>
      <c r="Q70" s="229">
        <v>2003</v>
      </c>
      <c r="R70" s="222">
        <v>752.09</v>
      </c>
      <c r="S70" s="229"/>
      <c r="T70" s="229">
        <v>2</v>
      </c>
      <c r="U70" s="189">
        <f t="shared" ref="U70:U74" si="34">((T70/U$10)*U$9)</f>
        <v>8.6206896551724144E-2</v>
      </c>
      <c r="V70" s="189">
        <f t="shared" ref="V70:V74" si="35">R70*V$10</f>
        <v>5.6406749999999999</v>
      </c>
      <c r="W70" s="189">
        <f t="shared" ref="W70:W74" si="36">+S70*V$10</f>
        <v>0</v>
      </c>
      <c r="X70" s="189">
        <f t="shared" ref="X70:X74" si="37">+T70*X$10</f>
        <v>0.05</v>
      </c>
      <c r="Y70" s="189">
        <f t="shared" ref="Y70:Z74" si="38">R70-V70</f>
        <v>746.44932500000004</v>
      </c>
      <c r="Z70" s="189">
        <f t="shared" si="38"/>
        <v>0</v>
      </c>
      <c r="AA70" s="189">
        <f t="shared" ref="AA70:AA74" si="39">T70-U70-X70</f>
        <v>1.8637931034482758</v>
      </c>
      <c r="AB70" s="87"/>
    </row>
    <row r="71" spans="1:30" ht="28.5" customHeight="1" thickBot="1" x14ac:dyDescent="0.3">
      <c r="A71" s="25" t="s">
        <v>57</v>
      </c>
      <c r="B71" s="70">
        <f>(B65-B69)-B72</f>
        <v>25.880000000001019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189</v>
      </c>
      <c r="P71" s="229" t="s">
        <v>232</v>
      </c>
      <c r="Q71" s="229">
        <v>2002</v>
      </c>
      <c r="R71" s="222">
        <v>782.27</v>
      </c>
      <c r="S71" s="229"/>
      <c r="T71" s="229">
        <v>10</v>
      </c>
      <c r="U71" s="189">
        <f t="shared" si="34"/>
        <v>0.43103448275862077</v>
      </c>
      <c r="V71" s="189">
        <f t="shared" si="35"/>
        <v>5.8670249999999999</v>
      </c>
      <c r="W71" s="189">
        <f t="shared" si="36"/>
        <v>0</v>
      </c>
      <c r="X71" s="189">
        <f t="shared" si="37"/>
        <v>0.25</v>
      </c>
      <c r="Y71" s="189">
        <f t="shared" si="38"/>
        <v>776.40297499999997</v>
      </c>
      <c r="Z71" s="189">
        <f t="shared" si="38"/>
        <v>0</v>
      </c>
      <c r="AA71" s="189">
        <f t="shared" si="39"/>
        <v>9.318965517241379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189</v>
      </c>
      <c r="P72" s="229" t="s">
        <v>233</v>
      </c>
      <c r="Q72" s="229">
        <v>2003</v>
      </c>
      <c r="R72" s="222">
        <v>631.13</v>
      </c>
      <c r="S72" s="229"/>
      <c r="T72" s="222">
        <v>100.51</v>
      </c>
      <c r="U72" s="189">
        <f t="shared" si="34"/>
        <v>4.3323275862068966</v>
      </c>
      <c r="V72" s="189">
        <f t="shared" si="35"/>
        <v>4.7334749999999994</v>
      </c>
      <c r="W72" s="189">
        <f t="shared" si="36"/>
        <v>0</v>
      </c>
      <c r="X72" s="189">
        <f t="shared" si="37"/>
        <v>2.5127500000000005</v>
      </c>
      <c r="Y72" s="189">
        <f t="shared" si="38"/>
        <v>626.396525</v>
      </c>
      <c r="Z72" s="189">
        <f t="shared" si="38"/>
        <v>0</v>
      </c>
      <c r="AA72" s="189">
        <f t="shared" si="39"/>
        <v>93.664922413793107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192</v>
      </c>
      <c r="P73" s="229">
        <v>343</v>
      </c>
      <c r="Q73" s="229">
        <v>2002</v>
      </c>
      <c r="R73" s="222">
        <v>13.78</v>
      </c>
      <c r="S73" s="229"/>
      <c r="T73" s="229"/>
      <c r="U73" s="189">
        <f t="shared" si="34"/>
        <v>0</v>
      </c>
      <c r="V73" s="189">
        <f t="shared" si="35"/>
        <v>0.10335</v>
      </c>
      <c r="W73" s="189">
        <f t="shared" si="36"/>
        <v>0</v>
      </c>
      <c r="X73" s="189">
        <f t="shared" si="37"/>
        <v>0</v>
      </c>
      <c r="Y73" s="189">
        <f t="shared" si="38"/>
        <v>13.676649999999999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192</v>
      </c>
      <c r="P74" s="229">
        <v>342</v>
      </c>
      <c r="Q74" s="229">
        <v>2002</v>
      </c>
      <c r="R74" s="222">
        <v>410.91</v>
      </c>
      <c r="S74" s="229"/>
      <c r="T74" s="229"/>
      <c r="U74" s="189">
        <f t="shared" si="34"/>
        <v>0</v>
      </c>
      <c r="V74" s="189">
        <f t="shared" si="35"/>
        <v>3.0818250000000003</v>
      </c>
      <c r="W74" s="189">
        <f t="shared" si="36"/>
        <v>0</v>
      </c>
      <c r="X74" s="189">
        <f t="shared" si="37"/>
        <v>0</v>
      </c>
      <c r="Y74" s="189">
        <f t="shared" si="38"/>
        <v>407.82817500000004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2" t="s">
        <v>128</v>
      </c>
      <c r="O75" s="282"/>
      <c r="P75" s="283"/>
      <c r="Q75" s="283"/>
      <c r="R75" s="192">
        <f>SUM(R70:R74)</f>
        <v>2590.1800000000003</v>
      </c>
      <c r="S75" s="192"/>
      <c r="T75" s="192">
        <f>SUM(T70:T74)</f>
        <v>112.51</v>
      </c>
      <c r="U75" s="192">
        <f>SUM(U70:U74)</f>
        <v>4.8495689655172418</v>
      </c>
      <c r="V75" s="192">
        <f t="shared" ref="V75:AA75" si="41">SUM(V70:V74)</f>
        <v>19.426349999999999</v>
      </c>
      <c r="W75" s="192">
        <f t="shared" si="41"/>
        <v>0</v>
      </c>
      <c r="X75" s="192">
        <f t="shared" si="41"/>
        <v>2.8127500000000003</v>
      </c>
      <c r="Y75" s="192">
        <f t="shared" si="41"/>
        <v>2570.7536500000001</v>
      </c>
      <c r="Z75" s="192">
        <f t="shared" si="41"/>
        <v>0</v>
      </c>
      <c r="AA75" s="193">
        <f t="shared" si="41"/>
        <v>104.84768103448276</v>
      </c>
      <c r="AB75" s="103"/>
    </row>
    <row r="76" spans="1:30" ht="15.75" x14ac:dyDescent="0.25">
      <c r="N76" s="284" t="s">
        <v>73</v>
      </c>
      <c r="O76" s="286" t="s">
        <v>67</v>
      </c>
      <c r="P76" s="282" t="s">
        <v>62</v>
      </c>
      <c r="Q76" s="282"/>
      <c r="R76" s="282"/>
      <c r="S76" s="282"/>
      <c r="T76" s="282"/>
      <c r="U76" s="288" t="s">
        <v>68</v>
      </c>
      <c r="V76" s="289"/>
      <c r="W76" s="289"/>
      <c r="X76" s="289"/>
      <c r="Y76" s="290"/>
      <c r="Z76" s="279" t="s">
        <v>54</v>
      </c>
      <c r="AA76" s="279" t="s">
        <v>64</v>
      </c>
      <c r="AB76" s="279" t="s">
        <v>124</v>
      </c>
      <c r="AC76" s="280" t="s">
        <v>127</v>
      </c>
      <c r="AD76" s="281" t="s">
        <v>65</v>
      </c>
    </row>
    <row r="77" spans="1:30" ht="60" x14ac:dyDescent="0.25">
      <c r="F77" s="291" t="s">
        <v>140</v>
      </c>
      <c r="G77" s="292"/>
      <c r="H77" s="141" t="s">
        <v>142</v>
      </c>
      <c r="N77" s="285"/>
      <c r="O77" s="287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79"/>
      <c r="AA77" s="279"/>
      <c r="AB77" s="279"/>
      <c r="AC77" s="280" t="s">
        <v>127</v>
      </c>
      <c r="AD77" s="281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38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222"/>
      <c r="Q79" s="8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41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222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3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222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38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222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41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222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229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229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229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5">
        <f>P78+Q78+U78</f>
        <v>0</v>
      </c>
    </row>
    <row r="102" spans="14:30" x14ac:dyDescent="0.25">
      <c r="N102" s="85"/>
      <c r="P102" s="215">
        <f>P79+U79</f>
        <v>0</v>
      </c>
    </row>
    <row r="103" spans="14:30" x14ac:dyDescent="0.25">
      <c r="N103" s="85"/>
      <c r="P103" s="215">
        <f>P80+Q80+U80</f>
        <v>0</v>
      </c>
    </row>
    <row r="104" spans="14:30" x14ac:dyDescent="0.25">
      <c r="N104" s="85"/>
      <c r="P104" s="215">
        <f>P81+Q81+U81</f>
        <v>0</v>
      </c>
    </row>
    <row r="105" spans="14:30" x14ac:dyDescent="0.25">
      <c r="N105" s="85"/>
      <c r="P105" s="215">
        <f>P82+U82</f>
        <v>0</v>
      </c>
    </row>
    <row r="106" spans="14:30" x14ac:dyDescent="0.25">
      <c r="N106" s="85"/>
      <c r="P106" s="212">
        <f>P83+Q83+U83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25" priority="1" operator="greaterThan">
      <formula>0</formula>
    </cfRule>
    <cfRule type="cellIs" dxfId="2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34" zoomScale="90" zoomScaleNormal="90" workbookViewId="0">
      <selection activeCell="G46" sqref="G46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0.7109375" style="85" customWidth="1"/>
    <col min="16" max="17" width="17" style="85" customWidth="1"/>
    <col min="18" max="18" width="18.140625" style="85" customWidth="1"/>
    <col min="19" max="19" width="14.570312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8.1406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59"/>
      <c r="B1" s="296"/>
      <c r="C1" s="296"/>
      <c r="D1" s="296"/>
      <c r="E1" s="296"/>
      <c r="F1" s="296"/>
      <c r="G1" s="296"/>
      <c r="H1" s="296"/>
      <c r="M1" s="76"/>
      <c r="N1" s="71"/>
    </row>
    <row r="2" spans="1:28" s="84" customFormat="1" ht="16.5" customHeight="1" x14ac:dyDescent="0.35">
      <c r="A2" s="259"/>
      <c r="B2" s="296" t="s">
        <v>12</v>
      </c>
      <c r="C2" s="296"/>
      <c r="D2" s="296"/>
      <c r="E2" s="296"/>
      <c r="F2" s="296"/>
      <c r="G2" s="296"/>
      <c r="H2" s="296"/>
      <c r="M2" s="76"/>
      <c r="N2" s="71"/>
    </row>
    <row r="3" spans="1:28" s="84" customFormat="1" ht="21.75" customHeight="1" x14ac:dyDescent="0.25">
      <c r="A3" s="259"/>
      <c r="B3" s="297" t="s">
        <v>168</v>
      </c>
      <c r="C3" s="297"/>
      <c r="D3" s="297"/>
      <c r="E3" s="297"/>
      <c r="F3" s="297"/>
      <c r="G3" s="297"/>
      <c r="H3" s="297"/>
      <c r="M3" s="76"/>
      <c r="N3" s="71"/>
    </row>
    <row r="4" spans="1:28" x14ac:dyDescent="0.25">
      <c r="B4" s="298" t="s">
        <v>191</v>
      </c>
      <c r="C4" s="298"/>
      <c r="D4" s="298"/>
      <c r="E4" s="298"/>
      <c r="F4" s="298"/>
      <c r="G4" s="298"/>
      <c r="H4" s="298"/>
    </row>
    <row r="6" spans="1:28" x14ac:dyDescent="0.25">
      <c r="A6" s="7" t="s">
        <v>22</v>
      </c>
      <c r="B6" s="72">
        <v>44459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4.1500000000000004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419.25</v>
      </c>
      <c r="C12" s="15"/>
      <c r="D12" s="56"/>
      <c r="E12" s="16"/>
      <c r="F12" s="56"/>
      <c r="G12" s="56"/>
      <c r="H12" s="17"/>
      <c r="I12" s="83"/>
      <c r="J12" s="81">
        <f>B12-I12</f>
        <v>419.25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8">
        <v>135</v>
      </c>
      <c r="Q12" s="158">
        <v>7</v>
      </c>
      <c r="R12" s="159">
        <v>762.6</v>
      </c>
      <c r="S12" s="155"/>
      <c r="T12" s="155"/>
      <c r="U12" s="189">
        <f>((T12/U$10)*U$9)</f>
        <v>0</v>
      </c>
      <c r="V12" s="189">
        <f>R12*V$10</f>
        <v>5.7195</v>
      </c>
      <c r="W12" s="189">
        <f>+S12*V$10</f>
        <v>0</v>
      </c>
      <c r="X12" s="189">
        <f>+T12*X$10</f>
        <v>0</v>
      </c>
      <c r="Y12" s="189">
        <f>R12-V12</f>
        <v>756.88049999999998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681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681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8">
        <v>136</v>
      </c>
      <c r="Q13" s="158">
        <v>7</v>
      </c>
      <c r="R13" s="159">
        <v>391.06</v>
      </c>
      <c r="S13" s="155"/>
      <c r="T13" s="157"/>
      <c r="U13" s="189">
        <f t="shared" ref="U13:U41" si="2">((T13/U$10)*U$9)</f>
        <v>0</v>
      </c>
      <c r="V13" s="189">
        <f t="shared" ref="V13:V41" si="3">R13*V$10</f>
        <v>2.9329499999999999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388.12705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2826.15</v>
      </c>
      <c r="C14" s="15"/>
      <c r="D14" s="56"/>
      <c r="E14" s="16"/>
      <c r="F14" s="56"/>
      <c r="G14" s="56"/>
      <c r="H14" s="17"/>
      <c r="I14" s="83"/>
      <c r="J14" s="81">
        <f t="shared" si="0"/>
        <v>2826.15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681</v>
      </c>
      <c r="C19" s="95"/>
      <c r="D19" s="94"/>
      <c r="E19" s="96"/>
      <c r="F19" s="94"/>
      <c r="G19" s="94"/>
      <c r="H19" s="98"/>
      <c r="I19" s="99"/>
      <c r="J19" s="185">
        <f>B19-I19</f>
        <v>681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2826.15</v>
      </c>
      <c r="C20" s="95"/>
      <c r="D20" s="94"/>
      <c r="E20" s="96"/>
      <c r="F20" s="94"/>
      <c r="G20" s="94"/>
      <c r="H20" s="98"/>
      <c r="I20" s="99"/>
      <c r="J20" s="185">
        <f t="shared" si="0"/>
        <v>2826.15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3" t="s">
        <v>107</v>
      </c>
      <c r="O42" s="294"/>
      <c r="P42" s="294"/>
      <c r="Q42" s="295"/>
      <c r="R42" s="190">
        <f t="shared" ref="R42:AA42" si="8">SUM(R12:R41)</f>
        <v>1153.6600000000001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8.65245</v>
      </c>
      <c r="W42" s="190">
        <f t="shared" si="8"/>
        <v>0</v>
      </c>
      <c r="X42" s="190">
        <f t="shared" si="8"/>
        <v>0</v>
      </c>
      <c r="Y42" s="190">
        <f t="shared" si="8"/>
        <v>1145.00755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1153.6600000000001</v>
      </c>
      <c r="C46" s="116">
        <v>7.4999999999999997E-3</v>
      </c>
      <c r="D46" s="117">
        <f>B46*C46</f>
        <v>8.65245</v>
      </c>
      <c r="E46" s="172">
        <v>0</v>
      </c>
      <c r="F46" s="117">
        <f t="shared" ref="F46:F50" si="15">D46*E46</f>
        <v>0</v>
      </c>
      <c r="G46" s="117">
        <f t="shared" ref="G46:G51" si="16">B46-D46-F46</f>
        <v>1145.00755</v>
      </c>
      <c r="H46" s="173">
        <f>B$6+1</f>
        <v>44460</v>
      </c>
      <c r="I46" s="174"/>
      <c r="J46" s="81">
        <f t="shared" si="0"/>
        <v>1153.6600000000001</v>
      </c>
      <c r="K46" s="80"/>
      <c r="L46" s="186">
        <f>K46-G46</f>
        <v>-1145.00755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7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44460</v>
      </c>
      <c r="I47" s="175"/>
      <c r="J47" s="81">
        <f t="shared" si="0"/>
        <v>0</v>
      </c>
      <c r="K47" s="80"/>
      <c r="L47" s="186">
        <f t="shared" ref="L47:L64" si="18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7.4999999999999997E-3</v>
      </c>
      <c r="D48" s="117">
        <f t="shared" si="17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44460</v>
      </c>
      <c r="I48" s="176"/>
      <c r="J48" s="81">
        <f t="shared" si="0"/>
        <v>0</v>
      </c>
      <c r="K48" s="80"/>
      <c r="L48" s="186">
        <f t="shared" si="18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1700.56</v>
      </c>
      <c r="C49" s="116">
        <v>7.4999999999999997E-3</v>
      </c>
      <c r="D49" s="117">
        <f t="shared" si="17"/>
        <v>12.754199999999999</v>
      </c>
      <c r="E49" s="172">
        <v>0</v>
      </c>
      <c r="F49" s="117">
        <f t="shared" si="15"/>
        <v>0</v>
      </c>
      <c r="G49" s="117">
        <f t="shared" si="16"/>
        <v>1687.8057999999999</v>
      </c>
      <c r="H49" s="173">
        <f t="shared" si="19"/>
        <v>44460</v>
      </c>
      <c r="I49" s="176"/>
      <c r="J49" s="81">
        <f t="shared" si="0"/>
        <v>1700.56</v>
      </c>
      <c r="K49" s="80"/>
      <c r="L49" s="186">
        <f t="shared" si="18"/>
        <v>1687.8057999999999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0</v>
      </c>
      <c r="C50" s="116">
        <v>7.4999999999999997E-3</v>
      </c>
      <c r="D50" s="117">
        <f t="shared" si="17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44460</v>
      </c>
      <c r="I50" s="175"/>
      <c r="J50" s="81">
        <f t="shared" si="0"/>
        <v>0</v>
      </c>
      <c r="K50" s="80"/>
      <c r="L50" s="186">
        <f t="shared" si="18"/>
        <v>0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44460</v>
      </c>
      <c r="I51" s="175"/>
      <c r="J51" s="81">
        <f t="shared" si="0"/>
        <v>0</v>
      </c>
      <c r="K51" s="80">
        <v>129218239.55</v>
      </c>
      <c r="L51" s="186">
        <f t="shared" si="18"/>
        <v>-129218239.55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44460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44460</v>
      </c>
      <c r="I53" s="176"/>
      <c r="J53" s="81">
        <f t="shared" si="0"/>
        <v>0</v>
      </c>
      <c r="K53" s="80"/>
      <c r="L53" s="186">
        <f t="shared" si="18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44460</v>
      </c>
      <c r="I54" s="176"/>
      <c r="J54" s="81">
        <f t="shared" si="0"/>
        <v>0</v>
      </c>
      <c r="K54" s="80"/>
      <c r="L54" s="186">
        <f t="shared" si="18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44460</v>
      </c>
      <c r="I55" s="176"/>
      <c r="J55" s="81">
        <f t="shared" si="0"/>
        <v>0</v>
      </c>
      <c r="K55" s="80"/>
      <c r="L55" s="186">
        <f t="shared" si="18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44460</v>
      </c>
      <c r="I56" s="176"/>
      <c r="J56" s="81">
        <f t="shared" si="0"/>
        <v>0</v>
      </c>
      <c r="K56" s="80"/>
      <c r="L56" s="186">
        <f t="shared" si="18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44462</v>
      </c>
      <c r="I57" s="175"/>
      <c r="J57" s="81">
        <f t="shared" si="0"/>
        <v>0</v>
      </c>
      <c r="K57" s="80"/>
      <c r="L57" s="186">
        <f t="shared" si="18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44464</v>
      </c>
      <c r="I58" s="175"/>
      <c r="J58" s="81">
        <f t="shared" si="0"/>
        <v>0</v>
      </c>
      <c r="K58" s="80"/>
      <c r="L58" s="186">
        <f t="shared" si="18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8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44489</v>
      </c>
      <c r="I60" s="175"/>
      <c r="J60" s="81">
        <f t="shared" si="0"/>
        <v>0</v>
      </c>
      <c r="K60" s="80"/>
      <c r="L60" s="186">
        <f t="shared" si="18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21.406649999999999</v>
      </c>
      <c r="E61" s="177"/>
      <c r="F61" s="57">
        <f>SUM(F46:F58)</f>
        <v>0</v>
      </c>
      <c r="G61" s="57">
        <f>SUM(G46:G58)</f>
        <v>2832.8133499999999</v>
      </c>
      <c r="H61" s="173">
        <f t="shared" si="19"/>
        <v>44460</v>
      </c>
      <c r="I61" s="175"/>
      <c r="J61" s="81">
        <f t="shared" si="0"/>
        <v>0</v>
      </c>
      <c r="K61" s="80"/>
      <c r="L61" s="186">
        <f t="shared" si="18"/>
        <v>2832.8133499999999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44460</v>
      </c>
      <c r="I62" s="176"/>
      <c r="J62" s="81">
        <f t="shared" si="0"/>
        <v>0</v>
      </c>
      <c r="K62" s="80"/>
      <c r="L62" s="186">
        <f t="shared" si="18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2" t="s">
        <v>109</v>
      </c>
      <c r="O63" s="282"/>
      <c r="P63" s="282"/>
      <c r="Q63" s="28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5665.6266999999998</v>
      </c>
      <c r="H64" s="184"/>
      <c r="I64" s="175"/>
      <c r="J64" s="81">
        <f t="shared" si="0"/>
        <v>0</v>
      </c>
      <c r="K64" s="80"/>
      <c r="L64" s="186">
        <f t="shared" si="18"/>
        <v>5665.6266999999998</v>
      </c>
      <c r="M64" s="130"/>
      <c r="N64" s="87">
        <v>1</v>
      </c>
      <c r="O64" s="122" t="s">
        <v>172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6099.6200000000008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9" t="s">
        <v>20</v>
      </c>
      <c r="B67" s="300"/>
      <c r="F67" s="301" t="s">
        <v>136</v>
      </c>
      <c r="G67" s="301"/>
      <c r="H67" s="301"/>
      <c r="I67" s="302" t="s">
        <v>138</v>
      </c>
      <c r="J67" s="303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6072.76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6072.76</v>
      </c>
      <c r="C69" s="59"/>
      <c r="F69" s="87" t="s">
        <v>129</v>
      </c>
      <c r="G69" s="22"/>
      <c r="H69" s="89">
        <f>+G52</f>
        <v>0</v>
      </c>
      <c r="I69" s="136"/>
      <c r="J69" s="136">
        <f>K52</f>
        <v>0</v>
      </c>
      <c r="N69" s="282" t="s">
        <v>110</v>
      </c>
      <c r="O69" s="282"/>
      <c r="P69" s="283"/>
      <c r="Q69" s="28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B68-B67</f>
        <v>6072.76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189</v>
      </c>
      <c r="P70" s="229">
        <v>330</v>
      </c>
      <c r="Q70" s="229">
        <v>2003</v>
      </c>
      <c r="R70" s="222">
        <v>223.45</v>
      </c>
      <c r="S70" s="229"/>
      <c r="T70" s="222"/>
      <c r="U70" s="189">
        <f t="shared" ref="U70:U74" si="34">((T70/U$10)*U$9)</f>
        <v>0</v>
      </c>
      <c r="V70" s="189">
        <f t="shared" ref="V70:V74" si="35">R70*V$10</f>
        <v>1.6758749999999998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221.774125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26.860000000000582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189</v>
      </c>
      <c r="P71" s="229">
        <v>421</v>
      </c>
      <c r="Q71" s="229">
        <v>2002</v>
      </c>
      <c r="R71" s="222">
        <v>991.28</v>
      </c>
      <c r="S71" s="229"/>
      <c r="T71" s="229"/>
      <c r="U71" s="189">
        <f t="shared" si="34"/>
        <v>0</v>
      </c>
      <c r="V71" s="189">
        <f t="shared" si="35"/>
        <v>7.4345999999999997</v>
      </c>
      <c r="W71" s="189">
        <f t="shared" si="36"/>
        <v>0</v>
      </c>
      <c r="X71" s="189">
        <f t="shared" si="37"/>
        <v>0</v>
      </c>
      <c r="Y71" s="189">
        <f t="shared" si="38"/>
        <v>983.84539999999993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/>
      <c r="P72" s="229"/>
      <c r="Q72" s="229"/>
      <c r="R72" s="222"/>
      <c r="S72" s="229"/>
      <c r="T72" s="229"/>
      <c r="U72" s="189">
        <f t="shared" si="34"/>
        <v>0</v>
      </c>
      <c r="V72" s="189">
        <f t="shared" si="35"/>
        <v>0</v>
      </c>
      <c r="W72" s="189">
        <f t="shared" si="36"/>
        <v>0</v>
      </c>
      <c r="X72" s="189">
        <f t="shared" si="37"/>
        <v>0</v>
      </c>
      <c r="Y72" s="189">
        <f t="shared" si="38"/>
        <v>0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186</v>
      </c>
      <c r="P73" s="229">
        <v>345</v>
      </c>
      <c r="Q73" s="229">
        <v>2002</v>
      </c>
      <c r="R73" s="222">
        <v>131.83000000000001</v>
      </c>
      <c r="S73" s="229"/>
      <c r="T73" s="229"/>
      <c r="U73" s="189">
        <f t="shared" si="34"/>
        <v>0</v>
      </c>
      <c r="V73" s="189">
        <f t="shared" si="35"/>
        <v>0.98872500000000008</v>
      </c>
      <c r="W73" s="189">
        <f t="shared" si="36"/>
        <v>0</v>
      </c>
      <c r="X73" s="189">
        <f t="shared" si="37"/>
        <v>0</v>
      </c>
      <c r="Y73" s="189">
        <f t="shared" si="38"/>
        <v>130.84127500000002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186</v>
      </c>
      <c r="P74" s="229">
        <v>344</v>
      </c>
      <c r="Q74" s="229">
        <v>2002</v>
      </c>
      <c r="R74" s="222">
        <v>354</v>
      </c>
      <c r="S74" s="229"/>
      <c r="T74" s="222"/>
      <c r="U74" s="189">
        <f t="shared" si="34"/>
        <v>0</v>
      </c>
      <c r="V74" s="189">
        <f t="shared" si="35"/>
        <v>2.6549999999999998</v>
      </c>
      <c r="W74" s="189">
        <f t="shared" si="36"/>
        <v>0</v>
      </c>
      <c r="X74" s="189">
        <f t="shared" si="37"/>
        <v>0</v>
      </c>
      <c r="Y74" s="189">
        <f t="shared" si="38"/>
        <v>351.34500000000003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2" t="s">
        <v>128</v>
      </c>
      <c r="O75" s="282"/>
      <c r="P75" s="283"/>
      <c r="Q75" s="283"/>
      <c r="R75" s="192">
        <f>SUM(R70:R74)</f>
        <v>1700.56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12.754199999999999</v>
      </c>
      <c r="W75" s="192">
        <f t="shared" si="41"/>
        <v>0</v>
      </c>
      <c r="X75" s="192">
        <f t="shared" si="41"/>
        <v>0</v>
      </c>
      <c r="Y75" s="192">
        <f t="shared" si="41"/>
        <v>1687.8057999999999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4" t="s">
        <v>73</v>
      </c>
      <c r="O76" s="286" t="s">
        <v>67</v>
      </c>
      <c r="P76" s="282" t="s">
        <v>62</v>
      </c>
      <c r="Q76" s="282"/>
      <c r="R76" s="282"/>
      <c r="S76" s="282"/>
      <c r="T76" s="282"/>
      <c r="U76" s="288" t="s">
        <v>68</v>
      </c>
      <c r="V76" s="289"/>
      <c r="W76" s="289"/>
      <c r="X76" s="289"/>
      <c r="Y76" s="290"/>
      <c r="Z76" s="279" t="s">
        <v>54</v>
      </c>
      <c r="AA76" s="279" t="s">
        <v>64</v>
      </c>
      <c r="AB76" s="279" t="s">
        <v>124</v>
      </c>
      <c r="AC76" s="280" t="s">
        <v>127</v>
      </c>
      <c r="AD76" s="281" t="s">
        <v>65</v>
      </c>
    </row>
    <row r="77" spans="1:30" ht="60" x14ac:dyDescent="0.25">
      <c r="F77" s="291" t="s">
        <v>140</v>
      </c>
      <c r="G77" s="292"/>
      <c r="H77" s="141" t="s">
        <v>142</v>
      </c>
      <c r="N77" s="285"/>
      <c r="O77" s="287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79"/>
      <c r="AA77" s="279"/>
      <c r="AB77" s="279"/>
      <c r="AC77" s="280" t="s">
        <v>127</v>
      </c>
      <c r="AD77" s="281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/>
      <c r="R78" s="82">
        <v>7.4999999999999997E-3</v>
      </c>
      <c r="S78" s="216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217">
        <f>+(U78+V78)*W78</f>
        <v>0</v>
      </c>
      <c r="Y78" s="213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137"/>
      <c r="Q79" s="137"/>
      <c r="R79" s="82">
        <v>7.4999999999999997E-3</v>
      </c>
      <c r="S79" s="216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217">
        <f t="shared" ref="X79:X97" si="45">+(U79+V79)*W79</f>
        <v>0</v>
      </c>
      <c r="Y79" s="213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/>
      <c r="R80" s="82">
        <v>7.4999999999999997E-3</v>
      </c>
      <c r="S80" s="216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217">
        <f t="shared" si="45"/>
        <v>0</v>
      </c>
      <c r="Y80" s="238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216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217">
        <f t="shared" si="45"/>
        <v>0</v>
      </c>
      <c r="Y81" s="238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216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217">
        <f t="shared" si="45"/>
        <v>0</v>
      </c>
      <c r="Y82" s="213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216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196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216">
        <f t="shared" si="43"/>
        <v>0</v>
      </c>
      <c r="T84" s="216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5">
        <f>P78+Q78+U78</f>
        <v>0</v>
      </c>
    </row>
    <row r="102" spans="14:30" x14ac:dyDescent="0.25">
      <c r="N102" s="85"/>
      <c r="P102" s="215">
        <f>P79+Q79+U79</f>
        <v>0</v>
      </c>
    </row>
    <row r="103" spans="14:30" x14ac:dyDescent="0.25">
      <c r="N103" s="85"/>
      <c r="P103" s="215">
        <f>P80+Q80+U80</f>
        <v>0</v>
      </c>
    </row>
    <row r="104" spans="14:30" x14ac:dyDescent="0.25">
      <c r="N104" s="85"/>
      <c r="P104" s="215">
        <f>P81+Q81+U81</f>
        <v>0</v>
      </c>
    </row>
    <row r="105" spans="14:30" x14ac:dyDescent="0.25">
      <c r="N105" s="85"/>
      <c r="P105" s="215">
        <f>P82+Q82+U82</f>
        <v>0</v>
      </c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23" priority="1" operator="greaterThan">
      <formula>0</formula>
    </cfRule>
    <cfRule type="cellIs" dxfId="2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N55" zoomScale="90" zoomScaleNormal="90" workbookViewId="0">
      <selection activeCell="V56" sqref="V56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28515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20.710937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59"/>
      <c r="B1" s="296"/>
      <c r="C1" s="296"/>
      <c r="D1" s="296"/>
      <c r="E1" s="296"/>
      <c r="F1" s="296"/>
      <c r="G1" s="296"/>
      <c r="H1" s="296"/>
      <c r="M1" s="76"/>
      <c r="N1" s="71"/>
    </row>
    <row r="2" spans="1:28" s="84" customFormat="1" ht="16.5" customHeight="1" x14ac:dyDescent="0.35">
      <c r="A2" s="259"/>
      <c r="B2" s="296" t="s">
        <v>12</v>
      </c>
      <c r="C2" s="296"/>
      <c r="D2" s="296"/>
      <c r="E2" s="296"/>
      <c r="F2" s="296"/>
      <c r="G2" s="296"/>
      <c r="H2" s="296"/>
      <c r="M2" s="76"/>
      <c r="N2" s="71"/>
    </row>
    <row r="3" spans="1:28" s="84" customFormat="1" ht="21.75" customHeight="1" x14ac:dyDescent="0.25">
      <c r="A3" s="259"/>
      <c r="B3" s="297" t="s">
        <v>168</v>
      </c>
      <c r="C3" s="297"/>
      <c r="D3" s="297"/>
      <c r="E3" s="297"/>
      <c r="F3" s="297"/>
      <c r="G3" s="297"/>
      <c r="H3" s="297"/>
      <c r="M3" s="76"/>
      <c r="N3" s="71"/>
    </row>
    <row r="4" spans="1:28" x14ac:dyDescent="0.25">
      <c r="B4" s="298" t="s">
        <v>191</v>
      </c>
      <c r="C4" s="298"/>
      <c r="D4" s="298"/>
      <c r="E4" s="298"/>
      <c r="F4" s="298"/>
      <c r="G4" s="298"/>
      <c r="H4" s="298"/>
    </row>
    <row r="6" spans="1:28" x14ac:dyDescent="0.25">
      <c r="A6" s="7" t="s">
        <v>22</v>
      </c>
      <c r="B6" s="72">
        <v>44490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4.17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235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300.45</v>
      </c>
      <c r="C12" s="15"/>
      <c r="D12" s="56"/>
      <c r="E12" s="16"/>
      <c r="F12" s="56"/>
      <c r="G12" s="56"/>
      <c r="H12" s="17"/>
      <c r="I12" s="83">
        <v>300.45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>
        <v>137</v>
      </c>
      <c r="Q12" s="153">
        <v>7</v>
      </c>
      <c r="R12" s="154">
        <v>1369.67</v>
      </c>
      <c r="S12" s="155"/>
      <c r="T12" s="155">
        <v>78.06</v>
      </c>
      <c r="U12" s="189">
        <f>((T12/U$10)*U$9)</f>
        <v>3.3646551724137939</v>
      </c>
      <c r="V12" s="189">
        <f>R12*V$10</f>
        <v>10.272525</v>
      </c>
      <c r="W12" s="189">
        <f>+S12*V$10</f>
        <v>0</v>
      </c>
      <c r="X12" s="189">
        <f>+T12*X$10</f>
        <v>1.9515000000000002</v>
      </c>
      <c r="Y12" s="189">
        <f>R12-V12</f>
        <v>1359.397475</v>
      </c>
      <c r="Z12" s="189">
        <f>S12-W12</f>
        <v>0</v>
      </c>
      <c r="AA12" s="189">
        <f>T12-U12-X12</f>
        <v>72.743844827586216</v>
      </c>
      <c r="AB12" s="156"/>
    </row>
    <row r="13" spans="1:28" ht="15.75" x14ac:dyDescent="0.25">
      <c r="A13" s="86" t="s">
        <v>76</v>
      </c>
      <c r="B13" s="89">
        <v>629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629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2622.93</v>
      </c>
      <c r="C14" s="15"/>
      <c r="D14" s="56"/>
      <c r="E14" s="16"/>
      <c r="F14" s="56"/>
      <c r="G14" s="56"/>
      <c r="H14" s="17"/>
      <c r="I14" s="83"/>
      <c r="J14" s="81">
        <f t="shared" si="0"/>
        <v>2622.93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629</v>
      </c>
      <c r="C19" s="95"/>
      <c r="D19" s="94"/>
      <c r="E19" s="96"/>
      <c r="F19" s="94"/>
      <c r="G19" s="94"/>
      <c r="H19" s="98"/>
      <c r="I19" s="99"/>
      <c r="J19" s="185">
        <f>B19-I19</f>
        <v>629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2622.93</v>
      </c>
      <c r="C20" s="95"/>
      <c r="D20" s="94"/>
      <c r="E20" s="96"/>
      <c r="F20" s="94"/>
      <c r="G20" s="94"/>
      <c r="H20" s="98"/>
      <c r="I20" s="99">
        <v>2666.96</v>
      </c>
      <c r="J20" s="185">
        <f t="shared" si="0"/>
        <v>-44.0300000000002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60</v>
      </c>
      <c r="C37" s="100"/>
      <c r="D37" s="66"/>
      <c r="E37" s="67"/>
      <c r="F37" s="66"/>
      <c r="G37" s="66"/>
      <c r="H37" s="102"/>
      <c r="I37" s="79">
        <v>60</v>
      </c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250.2</v>
      </c>
      <c r="C38" s="100"/>
      <c r="D38" s="66"/>
      <c r="E38" s="67"/>
      <c r="F38" s="66"/>
      <c r="G38" s="66"/>
      <c r="H38" s="102"/>
      <c r="I38" s="79"/>
      <c r="J38" s="81">
        <f t="shared" si="0"/>
        <v>250.2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3" t="s">
        <v>107</v>
      </c>
      <c r="O42" s="294"/>
      <c r="P42" s="294"/>
      <c r="Q42" s="295"/>
      <c r="R42" s="190">
        <f t="shared" ref="R42:AA42" si="8">SUM(R12:R41)</f>
        <v>1369.67</v>
      </c>
      <c r="S42" s="190">
        <f t="shared" si="8"/>
        <v>0</v>
      </c>
      <c r="T42" s="190">
        <f t="shared" si="8"/>
        <v>78.06</v>
      </c>
      <c r="U42" s="190">
        <f t="shared" si="8"/>
        <v>3.3646551724137939</v>
      </c>
      <c r="V42" s="190">
        <f t="shared" si="8"/>
        <v>10.272525</v>
      </c>
      <c r="W42" s="190">
        <f t="shared" si="8"/>
        <v>0</v>
      </c>
      <c r="X42" s="190">
        <f t="shared" si="8"/>
        <v>1.9515000000000002</v>
      </c>
      <c r="Y42" s="190">
        <f t="shared" si="8"/>
        <v>1359.397475</v>
      </c>
      <c r="Z42" s="190">
        <f t="shared" si="8"/>
        <v>0</v>
      </c>
      <c r="AA42" s="190">
        <f t="shared" si="8"/>
        <v>72.743844827586216</v>
      </c>
      <c r="AB42" s="166"/>
    </row>
    <row r="43" spans="1:28" ht="15.75" x14ac:dyDescent="0.25">
      <c r="A43" s="93" t="s">
        <v>103</v>
      </c>
      <c r="B43" s="97">
        <f>+B37+B39+B41</f>
        <v>60</v>
      </c>
      <c r="C43" s="95"/>
      <c r="D43" s="94"/>
      <c r="E43" s="96"/>
      <c r="F43" s="94"/>
      <c r="G43" s="94"/>
      <c r="H43" s="98"/>
      <c r="I43" s="99">
        <v>60</v>
      </c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250.2</v>
      </c>
      <c r="C44" s="95"/>
      <c r="D44" s="94"/>
      <c r="E44" s="96"/>
      <c r="F44" s="94"/>
      <c r="G44" s="94"/>
      <c r="H44" s="98"/>
      <c r="I44" s="99"/>
      <c r="J44" s="185">
        <f t="shared" si="0"/>
        <v>250.2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1369.67</v>
      </c>
      <c r="C46" s="116">
        <v>7.4999999999999997E-3</v>
      </c>
      <c r="D46" s="117">
        <f>B46*C46</f>
        <v>10.272525</v>
      </c>
      <c r="E46" s="172">
        <v>0</v>
      </c>
      <c r="F46" s="117">
        <f t="shared" ref="F46:F50" si="15">D46*E46</f>
        <v>0</v>
      </c>
      <c r="G46" s="117">
        <f t="shared" ref="G46:G51" si="16">B46-D46-F46</f>
        <v>1359.397475</v>
      </c>
      <c r="H46" s="173">
        <f>B$6+1</f>
        <v>44491</v>
      </c>
      <c r="I46" s="174"/>
      <c r="J46" s="81">
        <f t="shared" si="0"/>
        <v>1369.67</v>
      </c>
      <c r="K46" s="80"/>
      <c r="L46" s="186">
        <f t="shared" ref="L46:L64" si="17">+G46-K46</f>
        <v>1359.397475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44491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44491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170</v>
      </c>
      <c r="B49" s="117">
        <f>R75</f>
        <v>3490.2999999999993</v>
      </c>
      <c r="C49" s="116">
        <v>7.4999999999999997E-3</v>
      </c>
      <c r="D49" s="117">
        <f t="shared" si="18"/>
        <v>26.177249999999994</v>
      </c>
      <c r="E49" s="172">
        <v>0</v>
      </c>
      <c r="F49" s="117">
        <f t="shared" si="15"/>
        <v>0</v>
      </c>
      <c r="G49" s="117">
        <f t="shared" si="16"/>
        <v>3464.1227499999991</v>
      </c>
      <c r="H49" s="173">
        <f t="shared" si="19"/>
        <v>44491</v>
      </c>
      <c r="I49" s="176"/>
      <c r="J49" s="81">
        <f t="shared" si="0"/>
        <v>3490.2999999999993</v>
      </c>
      <c r="K49" s="80"/>
      <c r="L49" s="186">
        <f t="shared" si="17"/>
        <v>3464.1227499999991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0</v>
      </c>
      <c r="C50" s="116">
        <v>7.4999999999999997E-3</v>
      </c>
      <c r="D50" s="117">
        <f t="shared" si="18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44491</v>
      </c>
      <c r="I50" s="175"/>
      <c r="J50" s="81">
        <f t="shared" si="0"/>
        <v>0</v>
      </c>
      <c r="K50" s="80"/>
      <c r="L50" s="186">
        <f t="shared" si="17"/>
        <v>0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44491</v>
      </c>
      <c r="I51" s="175"/>
      <c r="J51" s="81">
        <f t="shared" si="0"/>
        <v>0</v>
      </c>
      <c r="K51" s="80"/>
      <c r="L51" s="186">
        <f t="shared" si="17"/>
        <v>0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78.06</v>
      </c>
      <c r="C52" s="116">
        <v>2.5000000000000001E-2</v>
      </c>
      <c r="D52" s="117">
        <f>B52*C52</f>
        <v>1.9515000000000002</v>
      </c>
      <c r="E52" s="172">
        <v>0.05</v>
      </c>
      <c r="F52" s="117">
        <f>(B52/E$10)*E52</f>
        <v>3.3646551724137939</v>
      </c>
      <c r="G52" s="117">
        <f>B52-D52-F52</f>
        <v>72.743844827586216</v>
      </c>
      <c r="H52" s="188">
        <f t="shared" si="19"/>
        <v>44491</v>
      </c>
      <c r="I52" s="176">
        <v>78.06</v>
      </c>
      <c r="J52" s="81">
        <f t="shared" si="0"/>
        <v>0</v>
      </c>
      <c r="K52" s="80"/>
      <c r="L52" s="186">
        <f>K52-G52</f>
        <v>-72.743844827586216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44491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44491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44491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171</v>
      </c>
      <c r="B56" s="117">
        <f>T75</f>
        <v>22.82</v>
      </c>
      <c r="C56" s="116">
        <v>2.5000000000000001E-2</v>
      </c>
      <c r="D56" s="117">
        <f t="shared" si="20"/>
        <v>0.57050000000000001</v>
      </c>
      <c r="E56" s="172">
        <v>0.05</v>
      </c>
      <c r="F56" s="117">
        <f t="shared" si="21"/>
        <v>0.98362068965517246</v>
      </c>
      <c r="G56" s="117">
        <f t="shared" si="22"/>
        <v>21.265879310344829</v>
      </c>
      <c r="H56" s="173">
        <f t="shared" si="19"/>
        <v>44491</v>
      </c>
      <c r="I56" s="176">
        <v>22.82</v>
      </c>
      <c r="J56" s="81">
        <f t="shared" si="0"/>
        <v>0</v>
      </c>
      <c r="K56" s="80"/>
      <c r="L56" s="186">
        <f t="shared" si="17"/>
        <v>21.265879310344829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7.4999999999999997E-3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44493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44495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44520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38.971775000000001</v>
      </c>
      <c r="E61" s="177"/>
      <c r="F61" s="57">
        <f>SUM(F46:F58)</f>
        <v>4.3482758620689665</v>
      </c>
      <c r="G61" s="57">
        <f>SUM(G46:G58)</f>
        <v>4917.5299491379301</v>
      </c>
      <c r="H61" s="173">
        <f t="shared" si="19"/>
        <v>44491</v>
      </c>
      <c r="I61" s="175"/>
      <c r="J61" s="81">
        <f t="shared" si="0"/>
        <v>0</v>
      </c>
      <c r="K61" s="80"/>
      <c r="L61" s="186">
        <f t="shared" si="17"/>
        <v>4917.5299491379301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44491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2" t="s">
        <v>109</v>
      </c>
      <c r="O63" s="282"/>
      <c r="P63" s="282"/>
      <c r="Q63" s="28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9835.0598982758602</v>
      </c>
      <c r="H64" s="184"/>
      <c r="I64" s="175"/>
      <c r="J64" s="81">
        <f t="shared" si="0"/>
        <v>0</v>
      </c>
      <c r="K64" s="80"/>
      <c r="L64" s="186">
        <f t="shared" si="17"/>
        <v>9835.0598982758602</v>
      </c>
      <c r="M64" s="130"/>
      <c r="N64" s="87">
        <v>1</v>
      </c>
      <c r="O64" s="122" t="s">
        <v>169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8134.4299999999994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9" t="s">
        <v>20</v>
      </c>
      <c r="B67" s="300"/>
      <c r="F67" s="301" t="s">
        <v>136</v>
      </c>
      <c r="G67" s="301"/>
      <c r="H67" s="301"/>
      <c r="I67" s="302" t="s">
        <v>138</v>
      </c>
      <c r="J67" s="303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8128.39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8128.39</v>
      </c>
      <c r="C69" s="59"/>
      <c r="F69" s="87" t="s">
        <v>129</v>
      </c>
      <c r="G69" s="22"/>
      <c r="H69" s="89"/>
      <c r="I69" s="136"/>
      <c r="J69" s="136">
        <f>K52</f>
        <v>0</v>
      </c>
      <c r="N69" s="282" t="s">
        <v>110</v>
      </c>
      <c r="O69" s="282"/>
      <c r="P69" s="283"/>
      <c r="Q69" s="28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B68-B67</f>
        <v>8128.39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189</v>
      </c>
      <c r="P70" s="87">
        <v>331</v>
      </c>
      <c r="Q70" s="87">
        <v>2003</v>
      </c>
      <c r="R70" s="137">
        <v>809.03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6.0677249999999994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802.96227499999998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6.0399999999990541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189</v>
      </c>
      <c r="P71" s="87">
        <v>422</v>
      </c>
      <c r="Q71" s="87">
        <v>2002</v>
      </c>
      <c r="R71" s="137">
        <v>348.65</v>
      </c>
      <c r="S71" s="87"/>
      <c r="T71" s="87"/>
      <c r="U71" s="189">
        <f t="shared" si="34"/>
        <v>0</v>
      </c>
      <c r="V71" s="189">
        <f t="shared" si="35"/>
        <v>2.6148749999999996</v>
      </c>
      <c r="W71" s="189">
        <f t="shared" si="36"/>
        <v>0</v>
      </c>
      <c r="X71" s="189">
        <f t="shared" si="37"/>
        <v>0</v>
      </c>
      <c r="Y71" s="189">
        <f t="shared" si="38"/>
        <v>346.03512499999999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189</v>
      </c>
      <c r="P72" s="87" t="s">
        <v>234</v>
      </c>
      <c r="Q72" s="87">
        <v>2002</v>
      </c>
      <c r="R72" s="137">
        <v>869.93</v>
      </c>
      <c r="S72" s="87"/>
      <c r="T72" s="137">
        <v>22.82</v>
      </c>
      <c r="U72" s="189">
        <f t="shared" si="34"/>
        <v>0.98362068965517246</v>
      </c>
      <c r="V72" s="189">
        <f t="shared" si="35"/>
        <v>6.5244749999999998</v>
      </c>
      <c r="W72" s="189">
        <f t="shared" si="36"/>
        <v>0</v>
      </c>
      <c r="X72" s="189">
        <f t="shared" si="37"/>
        <v>0.57050000000000001</v>
      </c>
      <c r="Y72" s="189">
        <f t="shared" si="38"/>
        <v>863.4055249999999</v>
      </c>
      <c r="Z72" s="189">
        <f t="shared" si="38"/>
        <v>0</v>
      </c>
      <c r="AA72" s="189">
        <f t="shared" si="39"/>
        <v>21.265879310344829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186</v>
      </c>
      <c r="P73" s="87">
        <v>347</v>
      </c>
      <c r="Q73" s="87">
        <v>2002</v>
      </c>
      <c r="R73" s="137">
        <v>762.64</v>
      </c>
      <c r="S73" s="87"/>
      <c r="T73" s="87"/>
      <c r="U73" s="189">
        <f t="shared" si="34"/>
        <v>0</v>
      </c>
      <c r="V73" s="189">
        <f t="shared" si="35"/>
        <v>5.7197999999999993</v>
      </c>
      <c r="W73" s="189">
        <f t="shared" si="36"/>
        <v>0</v>
      </c>
      <c r="X73" s="189">
        <f t="shared" si="37"/>
        <v>0</v>
      </c>
      <c r="Y73" s="189">
        <f t="shared" si="38"/>
        <v>756.92020000000002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186</v>
      </c>
      <c r="P74" s="87">
        <v>346</v>
      </c>
      <c r="Q74" s="87">
        <v>2002</v>
      </c>
      <c r="R74" s="137">
        <v>700.05</v>
      </c>
      <c r="S74" s="87"/>
      <c r="T74" s="87"/>
      <c r="U74" s="189">
        <f t="shared" si="34"/>
        <v>0</v>
      </c>
      <c r="V74" s="189">
        <f t="shared" si="35"/>
        <v>5.2503749999999991</v>
      </c>
      <c r="W74" s="189">
        <f t="shared" si="36"/>
        <v>0</v>
      </c>
      <c r="X74" s="189">
        <f t="shared" si="37"/>
        <v>0</v>
      </c>
      <c r="Y74" s="189">
        <f t="shared" si="38"/>
        <v>694.79962499999999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2" t="s">
        <v>128</v>
      </c>
      <c r="O75" s="282"/>
      <c r="P75" s="283"/>
      <c r="Q75" s="283"/>
      <c r="R75" s="192">
        <f>SUM(R70:R74)</f>
        <v>3490.2999999999993</v>
      </c>
      <c r="S75" s="192"/>
      <c r="T75" s="192">
        <f>SUM(T70:T74)</f>
        <v>22.82</v>
      </c>
      <c r="U75" s="192">
        <f>SUM(U70:U74)</f>
        <v>0.98362068965517246</v>
      </c>
      <c r="V75" s="192">
        <f t="shared" ref="V75:AA75" si="41">SUM(V70:V74)</f>
        <v>26.177249999999997</v>
      </c>
      <c r="W75" s="192">
        <f t="shared" si="41"/>
        <v>0</v>
      </c>
      <c r="X75" s="192">
        <f t="shared" si="41"/>
        <v>0.57050000000000001</v>
      </c>
      <c r="Y75" s="192">
        <f t="shared" si="41"/>
        <v>3464.12275</v>
      </c>
      <c r="Z75" s="192">
        <f t="shared" si="41"/>
        <v>0</v>
      </c>
      <c r="AA75" s="193">
        <f t="shared" si="41"/>
        <v>21.265879310344829</v>
      </c>
      <c r="AB75" s="103"/>
    </row>
    <row r="76" spans="1:30" ht="15.75" x14ac:dyDescent="0.25">
      <c r="N76" s="284" t="s">
        <v>73</v>
      </c>
      <c r="O76" s="286" t="s">
        <v>67</v>
      </c>
      <c r="P76" s="282" t="s">
        <v>62</v>
      </c>
      <c r="Q76" s="282"/>
      <c r="R76" s="282"/>
      <c r="S76" s="282"/>
      <c r="T76" s="282"/>
      <c r="U76" s="288" t="s">
        <v>68</v>
      </c>
      <c r="V76" s="289"/>
      <c r="W76" s="289"/>
      <c r="X76" s="289"/>
      <c r="Y76" s="290"/>
      <c r="Z76" s="279" t="s">
        <v>54</v>
      </c>
      <c r="AA76" s="279" t="s">
        <v>64</v>
      </c>
      <c r="AB76" s="279" t="s">
        <v>124</v>
      </c>
      <c r="AC76" s="280" t="s">
        <v>127</v>
      </c>
      <c r="AD76" s="281" t="s">
        <v>65</v>
      </c>
    </row>
    <row r="77" spans="1:30" ht="60" x14ac:dyDescent="0.25">
      <c r="F77" s="291" t="s">
        <v>140</v>
      </c>
      <c r="G77" s="292"/>
      <c r="H77" s="141" t="s">
        <v>142</v>
      </c>
      <c r="N77" s="285"/>
      <c r="O77" s="287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79"/>
      <c r="AA77" s="279"/>
      <c r="AB77" s="279"/>
      <c r="AC77" s="280" t="s">
        <v>127</v>
      </c>
      <c r="AD77" s="281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8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229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</row>
    <row r="102" spans="14:30" x14ac:dyDescent="0.25">
      <c r="N102" s="85"/>
      <c r="Q102" s="215">
        <f>P78+Q78+U78</f>
        <v>0</v>
      </c>
    </row>
    <row r="103" spans="14:30" x14ac:dyDescent="0.25">
      <c r="N103" s="85"/>
      <c r="Q103" s="215">
        <f>P79+Q79+U79</f>
        <v>0</v>
      </c>
    </row>
    <row r="104" spans="14:30" x14ac:dyDescent="0.25">
      <c r="N104" s="85"/>
      <c r="Q104" s="215">
        <f>P80+Q80+U80</f>
        <v>0</v>
      </c>
    </row>
    <row r="105" spans="14:30" x14ac:dyDescent="0.25">
      <c r="N105" s="85"/>
      <c r="Q105" s="215">
        <f>P81+Q81+U81</f>
        <v>0</v>
      </c>
    </row>
    <row r="106" spans="14:30" x14ac:dyDescent="0.25">
      <c r="N106" s="85"/>
      <c r="Q106" s="212">
        <f>P83+Q83+U83</f>
        <v>0</v>
      </c>
    </row>
    <row r="107" spans="14:30" x14ac:dyDescent="0.25">
      <c r="N107" s="85"/>
      <c r="Q107" s="225">
        <f>P84+Q84+U84</f>
        <v>0</v>
      </c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21" priority="1" operator="greaterThan">
      <formula>0</formula>
    </cfRule>
    <cfRule type="cellIs" dxfId="2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zoomScale="90" zoomScaleNormal="90" workbookViewId="0">
      <selection activeCell="A9" sqref="A9:A39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6" width="20.42578125" style="85" customWidth="1"/>
    <col min="7" max="8" width="22.140625" style="85" customWidth="1"/>
    <col min="9" max="16384" width="11.42578125" style="85"/>
  </cols>
  <sheetData>
    <row r="1" spans="1:9" s="84" customFormat="1" ht="16.5" customHeight="1" x14ac:dyDescent="0.35">
      <c r="A1" s="259"/>
      <c r="B1" s="263" t="s">
        <v>12</v>
      </c>
      <c r="C1" s="264"/>
      <c r="D1" s="264"/>
      <c r="E1" s="264"/>
      <c r="F1" s="264"/>
      <c r="G1" s="264"/>
      <c r="H1" s="264"/>
      <c r="I1" s="265"/>
    </row>
    <row r="2" spans="1:9" s="84" customFormat="1" ht="16.5" customHeight="1" x14ac:dyDescent="0.25">
      <c r="A2" s="259"/>
      <c r="B2" s="266" t="s">
        <v>13</v>
      </c>
      <c r="C2" s="267"/>
      <c r="D2" s="267"/>
      <c r="E2" s="267"/>
      <c r="F2" s="267"/>
      <c r="G2" s="267"/>
      <c r="H2" s="267"/>
      <c r="I2" s="268"/>
    </row>
    <row r="3" spans="1:9" s="84" customFormat="1" ht="16.5" customHeight="1" x14ac:dyDescent="0.25">
      <c r="A3" s="259"/>
      <c r="B3" s="262"/>
      <c r="C3" s="262"/>
      <c r="D3" s="262"/>
      <c r="E3" s="262"/>
      <c r="F3" s="262"/>
      <c r="G3" s="262"/>
      <c r="H3" s="262"/>
      <c r="I3" s="262"/>
    </row>
    <row r="4" spans="1:9" x14ac:dyDescent="0.25">
      <c r="B4" s="262"/>
      <c r="C4" s="262"/>
      <c r="D4" s="262"/>
      <c r="E4" s="262"/>
      <c r="F4" s="262"/>
      <c r="G4" s="262"/>
    </row>
    <row r="6" spans="1:9" ht="15.75" thickBot="1" x14ac:dyDescent="0.3"/>
    <row r="7" spans="1:9" x14ac:dyDescent="0.25">
      <c r="E7" s="260" t="s">
        <v>14</v>
      </c>
      <c r="F7" s="261"/>
    </row>
    <row r="8" spans="1:9" ht="27" customHeight="1" x14ac:dyDescent="0.25">
      <c r="A8" s="45" t="s">
        <v>33</v>
      </c>
      <c r="B8" s="45" t="s">
        <v>1</v>
      </c>
      <c r="C8" s="45" t="s">
        <v>2</v>
      </c>
      <c r="D8" s="52" t="s">
        <v>27</v>
      </c>
      <c r="E8" s="49" t="s">
        <v>1</v>
      </c>
      <c r="F8" s="50" t="s">
        <v>2</v>
      </c>
      <c r="G8" s="51" t="s">
        <v>53</v>
      </c>
      <c r="H8" s="51" t="s">
        <v>54</v>
      </c>
    </row>
    <row r="9" spans="1:9" x14ac:dyDescent="0.25">
      <c r="A9" s="46">
        <f>'DIA 1'!B$6</f>
        <v>44501</v>
      </c>
      <c r="B9" s="199">
        <f>+'DIA 1'!G$47</f>
        <v>0</v>
      </c>
      <c r="C9" s="199">
        <f>+'DIA 1'!G$53</f>
        <v>0</v>
      </c>
      <c r="D9" s="203">
        <f>B9+C9</f>
        <v>0</v>
      </c>
      <c r="E9" s="204">
        <f>+'DIA 1'!K$47</f>
        <v>0</v>
      </c>
      <c r="F9" s="205">
        <f>+'DIA 1'!K$53</f>
        <v>0</v>
      </c>
      <c r="G9" s="206">
        <f>B9-E9</f>
        <v>0</v>
      </c>
      <c r="H9" s="206">
        <f>C9-F9</f>
        <v>0</v>
      </c>
    </row>
    <row r="10" spans="1:9" x14ac:dyDescent="0.25">
      <c r="A10" s="46">
        <f>'DIA 2'!B$6</f>
        <v>44502</v>
      </c>
      <c r="B10" s="199">
        <f>'DIA 2'!G$47</f>
        <v>0</v>
      </c>
      <c r="C10" s="199">
        <f>'DIA 2'!G$53</f>
        <v>0</v>
      </c>
      <c r="D10" s="203">
        <f t="shared" ref="D10:D39" si="0">B10+C10</f>
        <v>0</v>
      </c>
      <c r="E10" s="199">
        <f>'DIA 2'!K$47</f>
        <v>0</v>
      </c>
      <c r="F10" s="199">
        <f>'DIA 2'!K$53</f>
        <v>0</v>
      </c>
      <c r="G10" s="206">
        <f t="shared" ref="G10:H39" si="1">B10-E10</f>
        <v>0</v>
      </c>
      <c r="H10" s="206">
        <f t="shared" si="1"/>
        <v>0</v>
      </c>
    </row>
    <row r="11" spans="1:9" x14ac:dyDescent="0.25">
      <c r="A11" s="46">
        <f>'DIA 3'!B$6</f>
        <v>44503</v>
      </c>
      <c r="B11" s="199">
        <f>'DIA 3'!G$47</f>
        <v>0</v>
      </c>
      <c r="C11" s="199">
        <f>'DIA 3'!G$53</f>
        <v>0</v>
      </c>
      <c r="D11" s="203">
        <f t="shared" si="0"/>
        <v>0</v>
      </c>
      <c r="E11" s="199">
        <f>'DIA 3'!K$47</f>
        <v>0</v>
      </c>
      <c r="F11" s="199">
        <f>'DIA 3'!K$53</f>
        <v>0</v>
      </c>
      <c r="G11" s="206">
        <f t="shared" si="1"/>
        <v>0</v>
      </c>
      <c r="H11" s="206">
        <f t="shared" si="1"/>
        <v>0</v>
      </c>
    </row>
    <row r="12" spans="1:9" x14ac:dyDescent="0.25">
      <c r="A12" s="46">
        <f>'DIA 4'!B$6</f>
        <v>44504</v>
      </c>
      <c r="B12" s="199">
        <f>'DIA 4'!G$47</f>
        <v>0</v>
      </c>
      <c r="C12" s="199">
        <f>'DIA 4'!G$53</f>
        <v>0</v>
      </c>
      <c r="D12" s="203">
        <f t="shared" si="0"/>
        <v>0</v>
      </c>
      <c r="E12" s="199">
        <f>'DIA 4'!K$47</f>
        <v>0</v>
      </c>
      <c r="F12" s="199">
        <f>'DIA 4'!K$53</f>
        <v>0</v>
      </c>
      <c r="G12" s="206">
        <f t="shared" si="1"/>
        <v>0</v>
      </c>
      <c r="H12" s="206">
        <f t="shared" si="1"/>
        <v>0</v>
      </c>
    </row>
    <row r="13" spans="1:9" x14ac:dyDescent="0.25">
      <c r="A13" s="46">
        <f>'DIA 5'!B$6</f>
        <v>44505</v>
      </c>
      <c r="B13" s="199">
        <f>'DIA 5'!G$47</f>
        <v>0</v>
      </c>
      <c r="C13" s="199">
        <f>'DIA 5'!G$53</f>
        <v>0</v>
      </c>
      <c r="D13" s="203">
        <f t="shared" si="0"/>
        <v>0</v>
      </c>
      <c r="E13" s="199">
        <f>'DIA 5'!K$47</f>
        <v>0</v>
      </c>
      <c r="F13" s="199">
        <f>'DIA 5'!K$53</f>
        <v>0</v>
      </c>
      <c r="G13" s="206">
        <f t="shared" si="1"/>
        <v>0</v>
      </c>
      <c r="H13" s="206">
        <f t="shared" si="1"/>
        <v>0</v>
      </c>
    </row>
    <row r="14" spans="1:9" x14ac:dyDescent="0.25">
      <c r="A14" s="46">
        <f>'DIA 6'!B$6</f>
        <v>44506</v>
      </c>
      <c r="B14" s="199">
        <f>'DIA 6'!G$47</f>
        <v>0</v>
      </c>
      <c r="C14" s="199">
        <f>'DIA 6'!G$53</f>
        <v>0</v>
      </c>
      <c r="D14" s="203">
        <f t="shared" si="0"/>
        <v>0</v>
      </c>
      <c r="E14" s="199">
        <f>'DIA 6'!K$47</f>
        <v>0</v>
      </c>
      <c r="F14" s="199">
        <f>'DIA 6'!K$53</f>
        <v>0</v>
      </c>
      <c r="G14" s="206">
        <f t="shared" si="1"/>
        <v>0</v>
      </c>
      <c r="H14" s="206">
        <f t="shared" si="1"/>
        <v>0</v>
      </c>
    </row>
    <row r="15" spans="1:9" x14ac:dyDescent="0.25">
      <c r="A15" s="46">
        <f>'DIA 7'!B$6</f>
        <v>44507</v>
      </c>
      <c r="B15" s="199">
        <f>'DIA 7'!G$47</f>
        <v>0</v>
      </c>
      <c r="C15" s="199">
        <f>'DIA 7'!G$53</f>
        <v>0</v>
      </c>
      <c r="D15" s="203">
        <f t="shared" si="0"/>
        <v>0</v>
      </c>
      <c r="E15" s="199">
        <f>'DIA 7'!K$47</f>
        <v>0</v>
      </c>
      <c r="F15" s="199">
        <f>'DIA 7'!K$53</f>
        <v>0</v>
      </c>
      <c r="G15" s="206">
        <f t="shared" si="1"/>
        <v>0</v>
      </c>
      <c r="H15" s="206">
        <f t="shared" si="1"/>
        <v>0</v>
      </c>
    </row>
    <row r="16" spans="1:9" x14ac:dyDescent="0.25">
      <c r="A16" s="46">
        <f>'DIA 8'!B$6</f>
        <v>44508</v>
      </c>
      <c r="B16" s="199">
        <f>'DIA 8'!G$47</f>
        <v>0</v>
      </c>
      <c r="C16" s="199">
        <f>'DIA 8'!G$53</f>
        <v>0</v>
      </c>
      <c r="D16" s="203">
        <f t="shared" si="0"/>
        <v>0</v>
      </c>
      <c r="E16" s="199">
        <f>'DIA 8'!K$47</f>
        <v>0</v>
      </c>
      <c r="F16" s="199">
        <f>'DIA 8'!K$53</f>
        <v>0</v>
      </c>
      <c r="G16" s="206">
        <f t="shared" si="1"/>
        <v>0</v>
      </c>
      <c r="H16" s="206">
        <f t="shared" si="1"/>
        <v>0</v>
      </c>
    </row>
    <row r="17" spans="1:8" x14ac:dyDescent="0.25">
      <c r="A17" s="46">
        <f>'DIA 9'!B$6</f>
        <v>44509</v>
      </c>
      <c r="B17" s="199">
        <f>'DIA 9'!G$47</f>
        <v>0</v>
      </c>
      <c r="C17" s="199">
        <f>'DIA 9'!G$53</f>
        <v>0</v>
      </c>
      <c r="D17" s="203">
        <f t="shared" si="0"/>
        <v>0</v>
      </c>
      <c r="E17" s="199">
        <f>'DIA 9'!K$47</f>
        <v>0</v>
      </c>
      <c r="F17" s="199">
        <f>'DIA 9'!K$53</f>
        <v>0</v>
      </c>
      <c r="G17" s="206">
        <f t="shared" si="1"/>
        <v>0</v>
      </c>
      <c r="H17" s="206">
        <f t="shared" si="1"/>
        <v>0</v>
      </c>
    </row>
    <row r="18" spans="1:8" x14ac:dyDescent="0.25">
      <c r="A18" s="46">
        <f>'DIA 10'!B$6</f>
        <v>44479</v>
      </c>
      <c r="B18" s="199">
        <f>'DIA 10'!G$47</f>
        <v>0</v>
      </c>
      <c r="C18" s="199">
        <f>'DIA 10'!G$53</f>
        <v>0</v>
      </c>
      <c r="D18" s="203">
        <f t="shared" si="0"/>
        <v>0</v>
      </c>
      <c r="E18" s="199">
        <f>'DIA 10'!K$47</f>
        <v>0</v>
      </c>
      <c r="F18" s="199">
        <f>'DIA 10'!K$53</f>
        <v>0</v>
      </c>
      <c r="G18" s="206">
        <f t="shared" si="1"/>
        <v>0</v>
      </c>
      <c r="H18" s="206">
        <f t="shared" si="1"/>
        <v>0</v>
      </c>
    </row>
    <row r="19" spans="1:8" x14ac:dyDescent="0.25">
      <c r="A19" s="46">
        <f>'DIA 11'!B$6</f>
        <v>44480</v>
      </c>
      <c r="B19" s="199">
        <f>'DIA 11'!G$47</f>
        <v>0</v>
      </c>
      <c r="C19" s="199">
        <f>'DIA 11'!G$53</f>
        <v>0</v>
      </c>
      <c r="D19" s="203">
        <f t="shared" si="0"/>
        <v>0</v>
      </c>
      <c r="E19" s="199">
        <f>'DIA 11'!K$47</f>
        <v>0</v>
      </c>
      <c r="F19" s="199">
        <f>'DIA 11'!K$53</f>
        <v>0</v>
      </c>
      <c r="G19" s="206">
        <f t="shared" si="1"/>
        <v>0</v>
      </c>
      <c r="H19" s="206">
        <f t="shared" si="1"/>
        <v>0</v>
      </c>
    </row>
    <row r="20" spans="1:8" x14ac:dyDescent="0.25">
      <c r="A20" s="46">
        <f>'DIA 12'!B$6</f>
        <v>44481</v>
      </c>
      <c r="B20" s="199">
        <f>'DIA 12'!G$47</f>
        <v>0</v>
      </c>
      <c r="C20" s="199">
        <f>'DIA 12'!G$53</f>
        <v>0</v>
      </c>
      <c r="D20" s="203">
        <f t="shared" si="0"/>
        <v>0</v>
      </c>
      <c r="E20" s="199">
        <f>'DIA 12'!K$47</f>
        <v>0</v>
      </c>
      <c r="F20" s="199">
        <f>'DIA 12'!K$53</f>
        <v>0</v>
      </c>
      <c r="G20" s="206">
        <f t="shared" si="1"/>
        <v>0</v>
      </c>
      <c r="H20" s="206">
        <f t="shared" si="1"/>
        <v>0</v>
      </c>
    </row>
    <row r="21" spans="1:8" x14ac:dyDescent="0.25">
      <c r="A21" s="46">
        <f>'DIA 13'!B$6</f>
        <v>44482</v>
      </c>
      <c r="B21" s="199">
        <f>'DIA 13'!G$47</f>
        <v>0</v>
      </c>
      <c r="C21" s="199">
        <f>'DIA 13'!G$53</f>
        <v>0</v>
      </c>
      <c r="D21" s="203">
        <f t="shared" si="0"/>
        <v>0</v>
      </c>
      <c r="E21" s="199">
        <f>'DIA 13'!K$47</f>
        <v>0</v>
      </c>
      <c r="F21" s="199">
        <f>'DIA 13'!K$53</f>
        <v>0</v>
      </c>
      <c r="G21" s="206">
        <f t="shared" si="1"/>
        <v>0</v>
      </c>
      <c r="H21" s="206">
        <f t="shared" si="1"/>
        <v>0</v>
      </c>
    </row>
    <row r="22" spans="1:8" x14ac:dyDescent="0.25">
      <c r="A22" s="46">
        <f>'DIA 14'!B$6</f>
        <v>44483</v>
      </c>
      <c r="B22" s="199">
        <f>'DIA 14'!G$47</f>
        <v>0</v>
      </c>
      <c r="C22" s="199">
        <f>'DIA 14'!G$53</f>
        <v>0</v>
      </c>
      <c r="D22" s="203">
        <f t="shared" si="0"/>
        <v>0</v>
      </c>
      <c r="E22" s="199">
        <f>'DIA 14'!K$47</f>
        <v>0</v>
      </c>
      <c r="F22" s="199">
        <f>'DIA 14'!K$53</f>
        <v>0</v>
      </c>
      <c r="G22" s="206">
        <f t="shared" si="1"/>
        <v>0</v>
      </c>
      <c r="H22" s="206">
        <f t="shared" si="1"/>
        <v>0</v>
      </c>
    </row>
    <row r="23" spans="1:8" x14ac:dyDescent="0.25">
      <c r="A23" s="46">
        <f>'DIA 15'!B$6</f>
        <v>44484</v>
      </c>
      <c r="B23" s="199">
        <f>'DIA 15'!G$47</f>
        <v>0</v>
      </c>
      <c r="C23" s="199">
        <f>'DIA 15'!G$53</f>
        <v>0</v>
      </c>
      <c r="D23" s="203">
        <f t="shared" si="0"/>
        <v>0</v>
      </c>
      <c r="E23" s="199">
        <f>'DIA 15'!K$47</f>
        <v>0</v>
      </c>
      <c r="F23" s="199">
        <f>'DIA 15'!K$53</f>
        <v>0</v>
      </c>
      <c r="G23" s="206">
        <f t="shared" si="1"/>
        <v>0</v>
      </c>
      <c r="H23" s="206">
        <f t="shared" si="1"/>
        <v>0</v>
      </c>
    </row>
    <row r="24" spans="1:8" x14ac:dyDescent="0.25">
      <c r="A24" s="46">
        <f>'DIA 16'!B$6</f>
        <v>44485</v>
      </c>
      <c r="B24" s="199">
        <f>'DIA 16'!G$47</f>
        <v>0</v>
      </c>
      <c r="C24" s="199">
        <f>'DIA 16'!G$53</f>
        <v>0</v>
      </c>
      <c r="D24" s="203">
        <f t="shared" si="0"/>
        <v>0</v>
      </c>
      <c r="E24" s="199">
        <f>'DIA 16'!K$47</f>
        <v>0</v>
      </c>
      <c r="F24" s="199">
        <f>'DIA 16'!K$53</f>
        <v>0</v>
      </c>
      <c r="G24" s="206">
        <f t="shared" si="1"/>
        <v>0</v>
      </c>
      <c r="H24" s="206">
        <f t="shared" si="1"/>
        <v>0</v>
      </c>
    </row>
    <row r="25" spans="1:8" x14ac:dyDescent="0.25">
      <c r="A25" s="46">
        <f>'DIA 17'!B$6</f>
        <v>44486</v>
      </c>
      <c r="B25" s="199">
        <f>'DIA 17'!G$47</f>
        <v>0</v>
      </c>
      <c r="C25" s="199">
        <f>'DIA 17'!G$53</f>
        <v>0</v>
      </c>
      <c r="D25" s="203">
        <f t="shared" si="0"/>
        <v>0</v>
      </c>
      <c r="E25" s="199">
        <f>'DIA 17'!K$47</f>
        <v>0</v>
      </c>
      <c r="F25" s="199">
        <f>'DIA 17'!K$53</f>
        <v>0</v>
      </c>
      <c r="G25" s="206">
        <f t="shared" si="1"/>
        <v>0</v>
      </c>
      <c r="H25" s="206">
        <f t="shared" si="1"/>
        <v>0</v>
      </c>
    </row>
    <row r="26" spans="1:8" x14ac:dyDescent="0.25">
      <c r="A26" s="46">
        <f>'DIA 18'!B$6</f>
        <v>44122</v>
      </c>
      <c r="B26" s="199">
        <f>'DIA 18'!G$47</f>
        <v>0</v>
      </c>
      <c r="C26" s="199">
        <f>'DIA 18'!G$53</f>
        <v>0</v>
      </c>
      <c r="D26" s="203">
        <f t="shared" si="0"/>
        <v>0</v>
      </c>
      <c r="E26" s="199">
        <f>'DIA 18'!K$47</f>
        <v>0</v>
      </c>
      <c r="F26" s="199">
        <f>'DIA 18'!K$53</f>
        <v>0</v>
      </c>
      <c r="G26" s="206">
        <f t="shared" si="1"/>
        <v>0</v>
      </c>
      <c r="H26" s="206">
        <f t="shared" si="1"/>
        <v>0</v>
      </c>
    </row>
    <row r="27" spans="1:8" x14ac:dyDescent="0.25">
      <c r="A27" s="46">
        <f>'DIA 19'!B$6</f>
        <v>44488</v>
      </c>
      <c r="B27" s="199">
        <f>'DIA 19'!G$47</f>
        <v>0</v>
      </c>
      <c r="C27" s="199">
        <f>'DIA 19'!G$53</f>
        <v>0</v>
      </c>
      <c r="D27" s="203">
        <f t="shared" si="0"/>
        <v>0</v>
      </c>
      <c r="E27" s="199">
        <f>'DIA 19'!K$47</f>
        <v>0</v>
      </c>
      <c r="F27" s="199">
        <f>'DIA 19'!K$53</f>
        <v>0</v>
      </c>
      <c r="G27" s="206">
        <f t="shared" si="1"/>
        <v>0</v>
      </c>
      <c r="H27" s="206">
        <f t="shared" si="1"/>
        <v>0</v>
      </c>
    </row>
    <row r="28" spans="1:8" x14ac:dyDescent="0.25">
      <c r="A28" s="46">
        <f>'DIA 20'!B$6</f>
        <v>44459</v>
      </c>
      <c r="B28" s="199">
        <f>'DIA 20'!G$47</f>
        <v>0</v>
      </c>
      <c r="C28" s="199">
        <f>'DIA 20'!G$53</f>
        <v>0</v>
      </c>
      <c r="D28" s="203">
        <f t="shared" si="0"/>
        <v>0</v>
      </c>
      <c r="E28" s="199">
        <f>'DIA 20'!K$47</f>
        <v>0</v>
      </c>
      <c r="F28" s="199">
        <f>'DIA 20'!K$53</f>
        <v>0</v>
      </c>
      <c r="G28" s="206">
        <f t="shared" si="1"/>
        <v>0</v>
      </c>
      <c r="H28" s="206">
        <f t="shared" si="1"/>
        <v>0</v>
      </c>
    </row>
    <row r="29" spans="1:8" x14ac:dyDescent="0.25">
      <c r="A29" s="46">
        <f>'DIA 21'!B$6</f>
        <v>44490</v>
      </c>
      <c r="B29" s="199">
        <f>'DIA 21'!G$47</f>
        <v>0</v>
      </c>
      <c r="C29" s="199">
        <f>'DIA 21'!G$53</f>
        <v>0</v>
      </c>
      <c r="D29" s="203">
        <f t="shared" si="0"/>
        <v>0</v>
      </c>
      <c r="E29" s="199">
        <f>'DIA 21'!K$47</f>
        <v>0</v>
      </c>
      <c r="F29" s="199">
        <f>'DIA 21'!K$53</f>
        <v>0</v>
      </c>
      <c r="G29" s="206">
        <f t="shared" si="1"/>
        <v>0</v>
      </c>
      <c r="H29" s="206">
        <f t="shared" si="1"/>
        <v>0</v>
      </c>
    </row>
    <row r="30" spans="1:8" x14ac:dyDescent="0.25">
      <c r="A30" s="46">
        <f>'DIA 22'!B$6</f>
        <v>44491</v>
      </c>
      <c r="B30" s="199">
        <f>'DIA 22'!G$47</f>
        <v>0</v>
      </c>
      <c r="C30" s="199">
        <f>'DIA 22'!G$53</f>
        <v>0</v>
      </c>
      <c r="D30" s="203">
        <f t="shared" si="0"/>
        <v>0</v>
      </c>
      <c r="E30" s="199">
        <f>'DIA 22'!K$47</f>
        <v>0</v>
      </c>
      <c r="F30" s="199">
        <f>'DIA 22'!K$53</f>
        <v>0</v>
      </c>
      <c r="G30" s="206">
        <f t="shared" si="1"/>
        <v>0</v>
      </c>
      <c r="H30" s="206">
        <f t="shared" si="1"/>
        <v>0</v>
      </c>
    </row>
    <row r="31" spans="1:8" x14ac:dyDescent="0.25">
      <c r="A31" s="46">
        <f>'DIA 23'!B$6</f>
        <v>44492</v>
      </c>
      <c r="B31" s="199">
        <f>'DIA 23'!G$47</f>
        <v>0</v>
      </c>
      <c r="C31" s="199">
        <f>'DIA 23'!G$53</f>
        <v>0</v>
      </c>
      <c r="D31" s="203">
        <f t="shared" si="0"/>
        <v>0</v>
      </c>
      <c r="E31" s="199">
        <f>'DIA 23'!K$47</f>
        <v>0</v>
      </c>
      <c r="F31" s="199">
        <f>'DIA 23'!K$53</f>
        <v>0</v>
      </c>
      <c r="G31" s="206">
        <f t="shared" si="1"/>
        <v>0</v>
      </c>
      <c r="H31" s="206">
        <f t="shared" si="1"/>
        <v>0</v>
      </c>
    </row>
    <row r="32" spans="1:8" x14ac:dyDescent="0.25">
      <c r="A32" s="46">
        <f>'DIA 24'!B$6</f>
        <v>44493</v>
      </c>
      <c r="B32" s="199">
        <f>'DIA 24'!G$47</f>
        <v>0</v>
      </c>
      <c r="C32" s="199">
        <f>'DIA 24'!G$53</f>
        <v>0</v>
      </c>
      <c r="D32" s="203">
        <f t="shared" si="0"/>
        <v>0</v>
      </c>
      <c r="E32" s="199">
        <f>'DIA 24'!K$47</f>
        <v>0</v>
      </c>
      <c r="F32" s="199">
        <f>'DIA 24'!K$53</f>
        <v>0</v>
      </c>
      <c r="G32" s="206">
        <f t="shared" si="1"/>
        <v>0</v>
      </c>
      <c r="H32" s="206">
        <f t="shared" si="1"/>
        <v>0</v>
      </c>
    </row>
    <row r="33" spans="1:8" x14ac:dyDescent="0.25">
      <c r="A33" s="46">
        <f>'DIA 25'!B$6</f>
        <v>44494</v>
      </c>
      <c r="B33" s="199">
        <f>'DIA 25'!G$47</f>
        <v>0</v>
      </c>
      <c r="C33" s="199">
        <f>'DIA 25'!G$53</f>
        <v>0</v>
      </c>
      <c r="D33" s="203">
        <f t="shared" si="0"/>
        <v>0</v>
      </c>
      <c r="E33" s="199">
        <f>'DIA 25'!K$47</f>
        <v>0</v>
      </c>
      <c r="F33" s="199">
        <f>'DIA 25'!K$53</f>
        <v>0</v>
      </c>
      <c r="G33" s="206">
        <f t="shared" si="1"/>
        <v>0</v>
      </c>
      <c r="H33" s="206">
        <f t="shared" si="1"/>
        <v>0</v>
      </c>
    </row>
    <row r="34" spans="1:8" x14ac:dyDescent="0.25">
      <c r="A34" s="46">
        <f>'DIA 26'!B$6</f>
        <v>44495</v>
      </c>
      <c r="B34" s="199">
        <f>'DIA 26'!G$47</f>
        <v>0</v>
      </c>
      <c r="C34" s="199">
        <f>'DIA 26'!G$53</f>
        <v>0</v>
      </c>
      <c r="D34" s="203">
        <f t="shared" si="0"/>
        <v>0</v>
      </c>
      <c r="E34" s="199">
        <f>'DIA 26'!K$47</f>
        <v>0</v>
      </c>
      <c r="F34" s="199">
        <f>'DIA 26'!K$53</f>
        <v>0</v>
      </c>
      <c r="G34" s="206">
        <f t="shared" si="1"/>
        <v>0</v>
      </c>
      <c r="H34" s="206">
        <f t="shared" si="1"/>
        <v>0</v>
      </c>
    </row>
    <row r="35" spans="1:8" x14ac:dyDescent="0.25">
      <c r="A35" s="46">
        <f>'DIA 27'!B$6</f>
        <v>44496</v>
      </c>
      <c r="B35" s="199">
        <f>'DIA 27'!G$47</f>
        <v>0</v>
      </c>
      <c r="C35" s="199">
        <f>'DIA 27'!G$53</f>
        <v>0</v>
      </c>
      <c r="D35" s="203">
        <f t="shared" si="0"/>
        <v>0</v>
      </c>
      <c r="E35" s="199">
        <f>'DIA 27'!K$47</f>
        <v>0</v>
      </c>
      <c r="F35" s="199">
        <f>'DIA 27'!K$53</f>
        <v>0</v>
      </c>
      <c r="G35" s="206">
        <f t="shared" si="1"/>
        <v>0</v>
      </c>
      <c r="H35" s="206">
        <f t="shared" si="1"/>
        <v>0</v>
      </c>
    </row>
    <row r="36" spans="1:8" x14ac:dyDescent="0.25">
      <c r="A36" s="46">
        <f>'DIA 28'!B$6</f>
        <v>44132</v>
      </c>
      <c r="B36" s="199">
        <f>'DIA 28'!G$47</f>
        <v>0</v>
      </c>
      <c r="C36" s="199">
        <f>'DIA 28'!G$53</f>
        <v>0</v>
      </c>
      <c r="D36" s="203">
        <f t="shared" si="0"/>
        <v>0</v>
      </c>
      <c r="E36" s="199">
        <f>'DIA 28'!K$47</f>
        <v>0</v>
      </c>
      <c r="F36" s="199">
        <f>'DIA 28'!K$53</f>
        <v>0</v>
      </c>
      <c r="G36" s="206">
        <f t="shared" si="1"/>
        <v>0</v>
      </c>
      <c r="H36" s="206">
        <f t="shared" si="1"/>
        <v>0</v>
      </c>
    </row>
    <row r="37" spans="1:8" x14ac:dyDescent="0.25">
      <c r="A37" s="46">
        <f>'DIA 29'!B$6</f>
        <v>44133</v>
      </c>
      <c r="B37" s="199">
        <f>'DIA 29'!G$47</f>
        <v>0</v>
      </c>
      <c r="C37" s="199">
        <f>'DIA 29'!G$53</f>
        <v>0</v>
      </c>
      <c r="D37" s="203">
        <f t="shared" si="0"/>
        <v>0</v>
      </c>
      <c r="E37" s="199">
        <f>'DIA 29'!K$47</f>
        <v>0</v>
      </c>
      <c r="F37" s="199">
        <f>'DIA 29'!K$53</f>
        <v>0</v>
      </c>
      <c r="G37" s="206">
        <f t="shared" si="1"/>
        <v>0</v>
      </c>
      <c r="H37" s="206">
        <f t="shared" si="1"/>
        <v>0</v>
      </c>
    </row>
    <row r="38" spans="1:8" x14ac:dyDescent="0.25">
      <c r="A38" s="46">
        <f>'DIA 30'!B$6</f>
        <v>44499</v>
      </c>
      <c r="B38" s="199">
        <f>'DIA 30'!G$47</f>
        <v>0</v>
      </c>
      <c r="C38" s="199">
        <f>'DIA 30'!G$53</f>
        <v>0</v>
      </c>
      <c r="D38" s="203">
        <f t="shared" si="0"/>
        <v>0</v>
      </c>
      <c r="E38" s="199">
        <f>'DIA 30'!K$47</f>
        <v>0</v>
      </c>
      <c r="F38" s="199">
        <f>'DIA 30'!K$53</f>
        <v>0</v>
      </c>
      <c r="G38" s="206">
        <f t="shared" si="1"/>
        <v>0</v>
      </c>
      <c r="H38" s="206">
        <f t="shared" si="1"/>
        <v>0</v>
      </c>
    </row>
    <row r="39" spans="1:8" x14ac:dyDescent="0.25">
      <c r="A39" s="46">
        <f>'DIA 31'!B$6</f>
        <v>44500</v>
      </c>
      <c r="B39" s="199">
        <f>'DIA 31'!G$47</f>
        <v>0</v>
      </c>
      <c r="C39" s="199">
        <f>'DIA 31'!G$53</f>
        <v>0</v>
      </c>
      <c r="D39" s="203">
        <f t="shared" si="0"/>
        <v>0</v>
      </c>
      <c r="E39" s="199">
        <f>'DIA 31'!K$47</f>
        <v>0</v>
      </c>
      <c r="F39" s="199">
        <f>'DIA 31'!K$53</f>
        <v>0</v>
      </c>
      <c r="G39" s="206">
        <f t="shared" si="1"/>
        <v>0</v>
      </c>
      <c r="H39" s="206">
        <f t="shared" si="1"/>
        <v>0</v>
      </c>
    </row>
    <row r="40" spans="1:8" x14ac:dyDescent="0.25">
      <c r="A40" s="53" t="s">
        <v>38</v>
      </c>
      <c r="B40" s="133">
        <f>SUM(B9:B39)</f>
        <v>0</v>
      </c>
      <c r="C40" s="133">
        <f>SUM(C9:C38)</f>
        <v>0</v>
      </c>
      <c r="D40" s="133">
        <f>SUM(D9:D38)</f>
        <v>0</v>
      </c>
    </row>
  </sheetData>
  <mergeCells count="6">
    <mergeCell ref="E7:F7"/>
    <mergeCell ref="A1:A3"/>
    <mergeCell ref="B1:I1"/>
    <mergeCell ref="B2:I2"/>
    <mergeCell ref="B3:I3"/>
    <mergeCell ref="B4:G4"/>
  </mergeCells>
  <conditionalFormatting sqref="G9:G39">
    <cfRule type="cellIs" dxfId="88" priority="5" operator="greaterThan">
      <formula>" Bs.  0"</formula>
    </cfRule>
    <cfRule type="cellIs" dxfId="87" priority="6" operator="lessThan">
      <formula>" Bs.  -2,00 "</formula>
    </cfRule>
  </conditionalFormatting>
  <conditionalFormatting sqref="G9:G39">
    <cfRule type="expression" dxfId="86" priority="4">
      <formula>G9=0</formula>
    </cfRule>
  </conditionalFormatting>
  <conditionalFormatting sqref="H9:H39">
    <cfRule type="cellIs" dxfId="85" priority="2" operator="greaterThan">
      <formula>" Bs.  0"</formula>
    </cfRule>
    <cfRule type="cellIs" dxfId="84" priority="3" operator="lessThan">
      <formula>" Bs.  -2,00 "</formula>
    </cfRule>
  </conditionalFormatting>
  <conditionalFormatting sqref="H9:H39">
    <cfRule type="expression" dxfId="83" priority="1">
      <formula>H9=0</formula>
    </cfRule>
  </conditionalFormatting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43" zoomScale="90" zoomScaleNormal="90" workbookViewId="0">
      <selection activeCell="G31" sqref="G3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140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59"/>
      <c r="B1" s="296"/>
      <c r="C1" s="296"/>
      <c r="D1" s="296"/>
      <c r="E1" s="296"/>
      <c r="F1" s="296"/>
      <c r="G1" s="296"/>
      <c r="H1" s="296"/>
      <c r="M1" s="76"/>
      <c r="N1" s="71"/>
    </row>
    <row r="2" spans="1:28" s="84" customFormat="1" ht="16.5" customHeight="1" x14ac:dyDescent="0.35">
      <c r="A2" s="259"/>
      <c r="B2" s="296" t="s">
        <v>12</v>
      </c>
      <c r="C2" s="296"/>
      <c r="D2" s="296"/>
      <c r="E2" s="296"/>
      <c r="F2" s="296"/>
      <c r="G2" s="296"/>
      <c r="H2" s="296"/>
      <c r="M2" s="76"/>
      <c r="N2" s="71"/>
    </row>
    <row r="3" spans="1:28" s="84" customFormat="1" ht="21.75" customHeight="1" x14ac:dyDescent="0.25">
      <c r="A3" s="259"/>
      <c r="B3" s="297" t="s">
        <v>188</v>
      </c>
      <c r="C3" s="297"/>
      <c r="D3" s="297"/>
      <c r="E3" s="297"/>
      <c r="F3" s="297"/>
      <c r="G3" s="297"/>
      <c r="H3" s="297"/>
      <c r="M3" s="76"/>
      <c r="N3" s="71"/>
    </row>
    <row r="4" spans="1:28" x14ac:dyDescent="0.25">
      <c r="B4" s="298"/>
      <c r="C4" s="298"/>
      <c r="D4" s="298"/>
      <c r="E4" s="298"/>
      <c r="F4" s="298"/>
      <c r="G4" s="298"/>
      <c r="H4" s="298"/>
    </row>
    <row r="6" spans="1:28" x14ac:dyDescent="0.25">
      <c r="A6" s="7" t="s">
        <v>22</v>
      </c>
      <c r="B6" s="72">
        <v>44491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4.21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175.46</v>
      </c>
      <c r="C12" s="15"/>
      <c r="D12" s="56"/>
      <c r="E12" s="16"/>
      <c r="F12" s="56"/>
      <c r="G12" s="56"/>
      <c r="H12" s="17"/>
      <c r="I12" s="83">
        <v>175.46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>
        <v>138</v>
      </c>
      <c r="Q12" s="153">
        <v>7</v>
      </c>
      <c r="R12" s="159">
        <v>734.66</v>
      </c>
      <c r="S12" s="155"/>
      <c r="T12" s="155"/>
      <c r="U12" s="189">
        <f>((T12/U$10)*U$9)</f>
        <v>0</v>
      </c>
      <c r="V12" s="189">
        <f>R12*V$10</f>
        <v>5.5099499999999999</v>
      </c>
      <c r="W12" s="189">
        <f>+S12*V$10</f>
        <v>0</v>
      </c>
      <c r="X12" s="189">
        <f>+T12*X$10</f>
        <v>0</v>
      </c>
      <c r="Y12" s="189">
        <f>R12-V12</f>
        <v>729.15004999999996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1077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1077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/>
      <c r="Q13" s="153"/>
      <c r="R13" s="159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4534.17</v>
      </c>
      <c r="C14" s="15"/>
      <c r="D14" s="56"/>
      <c r="E14" s="16"/>
      <c r="F14" s="56"/>
      <c r="G14" s="56"/>
      <c r="H14" s="17"/>
      <c r="I14" s="83"/>
      <c r="J14" s="81">
        <f t="shared" si="0"/>
        <v>4534.17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9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9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9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9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9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1077</v>
      </c>
      <c r="C19" s="95"/>
      <c r="D19" s="94"/>
      <c r="E19" s="96"/>
      <c r="F19" s="94"/>
      <c r="G19" s="94"/>
      <c r="H19" s="98"/>
      <c r="I19" s="99"/>
      <c r="J19" s="185">
        <f>B19-I19</f>
        <v>1077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4534.17</v>
      </c>
      <c r="C20" s="95"/>
      <c r="D20" s="94"/>
      <c r="E20" s="96"/>
      <c r="F20" s="94"/>
      <c r="G20" s="94"/>
      <c r="H20" s="98"/>
      <c r="I20" s="99">
        <v>4566.4799999999996</v>
      </c>
      <c r="J20" s="185">
        <f t="shared" si="0"/>
        <v>-32.309999999999491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>
        <v>6.07</v>
      </c>
      <c r="C29" s="100"/>
      <c r="D29" s="66"/>
      <c r="E29" s="67"/>
      <c r="F29" s="66"/>
      <c r="G29" s="66"/>
      <c r="H29" s="102"/>
      <c r="I29" s="79">
        <v>6.07</v>
      </c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25.5547</v>
      </c>
      <c r="C30" s="100"/>
      <c r="D30" s="66"/>
      <c r="E30" s="67"/>
      <c r="F30" s="66"/>
      <c r="G30" s="66"/>
      <c r="H30" s="102"/>
      <c r="I30" s="79">
        <v>25.55</v>
      </c>
      <c r="J30" s="81">
        <f t="shared" si="0"/>
        <v>4.6999999999997044E-3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6.07</v>
      </c>
      <c r="C35" s="95"/>
      <c r="D35" s="94"/>
      <c r="E35" s="96"/>
      <c r="F35" s="94"/>
      <c r="G35" s="94"/>
      <c r="H35" s="98"/>
      <c r="I35" s="99">
        <v>6.07</v>
      </c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25.5547</v>
      </c>
      <c r="C36" s="95"/>
      <c r="D36" s="94"/>
      <c r="E36" s="96"/>
      <c r="F36" s="94"/>
      <c r="G36" s="94"/>
      <c r="H36" s="98"/>
      <c r="I36" s="99">
        <v>25.55</v>
      </c>
      <c r="J36" s="185">
        <f t="shared" si="0"/>
        <v>4.6999999999997044E-3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3" t="s">
        <v>107</v>
      </c>
      <c r="O42" s="294"/>
      <c r="P42" s="294"/>
      <c r="Q42" s="295"/>
      <c r="R42" s="190">
        <f t="shared" ref="R42:AA42" si="8">SUM(R12:R41)</f>
        <v>734.66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5.5099499999999999</v>
      </c>
      <c r="W42" s="190">
        <f t="shared" si="8"/>
        <v>0</v>
      </c>
      <c r="X42" s="190">
        <f t="shared" si="8"/>
        <v>0</v>
      </c>
      <c r="Y42" s="190">
        <f t="shared" si="8"/>
        <v>729.15004999999996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734.66</v>
      </c>
      <c r="C46" s="116">
        <v>7.4999999999999997E-3</v>
      </c>
      <c r="D46" s="117">
        <f>B46*C46</f>
        <v>5.5099499999999999</v>
      </c>
      <c r="E46" s="172">
        <v>0</v>
      </c>
      <c r="F46" s="117">
        <f t="shared" ref="F46:F50" si="15">D46*E46</f>
        <v>0</v>
      </c>
      <c r="G46" s="117">
        <f t="shared" ref="G46:G51" si="16">B46-D46-F46</f>
        <v>729.15004999999996</v>
      </c>
      <c r="H46" s="173">
        <f>B$6+1</f>
        <v>44492</v>
      </c>
      <c r="I46" s="174"/>
      <c r="J46" s="81">
        <f t="shared" si="0"/>
        <v>734.66</v>
      </c>
      <c r="K46" s="80"/>
      <c r="L46" s="186">
        <f t="shared" ref="L46:L64" si="17">+G46-K46</f>
        <v>729.15004999999996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44492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44492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5382.81</v>
      </c>
      <c r="C49" s="116">
        <v>7.4999999999999997E-3</v>
      </c>
      <c r="D49" s="117">
        <f t="shared" si="18"/>
        <v>40.371075000000005</v>
      </c>
      <c r="E49" s="172">
        <v>0</v>
      </c>
      <c r="F49" s="117">
        <f t="shared" si="15"/>
        <v>0</v>
      </c>
      <c r="G49" s="117">
        <f t="shared" si="16"/>
        <v>5342.4389250000004</v>
      </c>
      <c r="H49" s="173">
        <f t="shared" si="19"/>
        <v>44492</v>
      </c>
      <c r="I49" s="176"/>
      <c r="J49" s="81">
        <f t="shared" si="0"/>
        <v>5382.81</v>
      </c>
      <c r="K49" s="80"/>
      <c r="L49" s="186">
        <f t="shared" si="17"/>
        <v>5342.4389250000004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0</v>
      </c>
      <c r="C50" s="116">
        <v>7.4999999999999997E-3</v>
      </c>
      <c r="D50" s="117">
        <f t="shared" si="18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44492</v>
      </c>
      <c r="I50" s="175"/>
      <c r="J50" s="81">
        <f t="shared" si="0"/>
        <v>0</v>
      </c>
      <c r="K50" s="80"/>
      <c r="L50" s="186">
        <f t="shared" si="17"/>
        <v>0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44492</v>
      </c>
      <c r="I51" s="175"/>
      <c r="J51" s="81">
        <f t="shared" si="0"/>
        <v>0</v>
      </c>
      <c r="K51" s="80"/>
      <c r="L51" s="186">
        <f t="shared" si="17"/>
        <v>0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44492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44492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44492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44492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178</v>
      </c>
      <c r="B56" s="117">
        <f>T75</f>
        <v>352.28</v>
      </c>
      <c r="C56" s="116">
        <v>2.5000000000000001E-2</v>
      </c>
      <c r="D56" s="117">
        <f t="shared" si="20"/>
        <v>8.8070000000000004</v>
      </c>
      <c r="E56" s="172">
        <v>0.05</v>
      </c>
      <c r="F56" s="117">
        <f t="shared" si="21"/>
        <v>15.184482758620689</v>
      </c>
      <c r="G56" s="117">
        <f t="shared" si="22"/>
        <v>328.28851724137928</v>
      </c>
      <c r="H56" s="173">
        <f t="shared" si="19"/>
        <v>44492</v>
      </c>
      <c r="I56" s="176">
        <v>352.28</v>
      </c>
      <c r="J56" s="81">
        <f t="shared" si="0"/>
        <v>0</v>
      </c>
      <c r="K56" s="80"/>
      <c r="L56" s="186">
        <f t="shared" si="17"/>
        <v>328.28851724137928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44494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44496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44521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54.68802500000001</v>
      </c>
      <c r="E61" s="177"/>
      <c r="F61" s="57">
        <f>SUM(F46:F58)</f>
        <v>15.184482758620689</v>
      </c>
      <c r="G61" s="57">
        <f>SUM(G46:G58)</f>
        <v>6399.8774922413795</v>
      </c>
      <c r="H61" s="173">
        <f t="shared" si="19"/>
        <v>44492</v>
      </c>
      <c r="I61" s="175"/>
      <c r="J61" s="81">
        <f t="shared" si="0"/>
        <v>0</v>
      </c>
      <c r="K61" s="80"/>
      <c r="L61" s="186">
        <f t="shared" si="17"/>
        <v>6399.8774922413795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44492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2" t="s">
        <v>109</v>
      </c>
      <c r="O63" s="282"/>
      <c r="P63" s="282"/>
      <c r="Q63" s="28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12799.754984482759</v>
      </c>
      <c r="H64" s="184"/>
      <c r="I64" s="175"/>
      <c r="J64" s="81">
        <f t="shared" si="0"/>
        <v>0</v>
      </c>
      <c r="K64" s="80"/>
      <c r="L64" s="186">
        <f t="shared" si="17"/>
        <v>12799.754984482759</v>
      </c>
      <c r="M64" s="130"/>
      <c r="N64" s="87">
        <v>1</v>
      </c>
      <c r="O64" s="122" t="s">
        <v>172</v>
      </c>
      <c r="P64" s="87"/>
      <c r="Q64" s="87"/>
      <c r="R64" s="13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11204.9347</v>
      </c>
      <c r="G65" s="22"/>
      <c r="L65" s="132"/>
      <c r="M65" s="131"/>
      <c r="N65" s="87">
        <v>2</v>
      </c>
      <c r="O65" s="122" t="s">
        <v>172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172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9" t="s">
        <v>20</v>
      </c>
      <c r="B67" s="300"/>
      <c r="F67" s="301" t="s">
        <v>136</v>
      </c>
      <c r="G67" s="301"/>
      <c r="H67" s="301"/>
      <c r="I67" s="302" t="s">
        <v>138</v>
      </c>
      <c r="J67" s="303"/>
      <c r="K67" s="138"/>
      <c r="N67" s="87">
        <v>4</v>
      </c>
      <c r="O67" s="122" t="s">
        <v>172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11129.06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172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11129.06</v>
      </c>
      <c r="C69" s="59"/>
      <c r="F69" s="87" t="s">
        <v>129</v>
      </c>
      <c r="G69" s="22"/>
      <c r="H69" s="89"/>
      <c r="I69" s="136"/>
      <c r="J69" s="136">
        <f>K52</f>
        <v>0</v>
      </c>
      <c r="N69" s="282" t="s">
        <v>110</v>
      </c>
      <c r="O69" s="282"/>
      <c r="P69" s="283"/>
      <c r="Q69" s="28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B68-B67</f>
        <v>11129.06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189</v>
      </c>
      <c r="P70" s="229" t="s">
        <v>236</v>
      </c>
      <c r="Q70" s="229">
        <v>1003</v>
      </c>
      <c r="R70" s="222">
        <f>705.79+808.83</f>
        <v>1514.62</v>
      </c>
      <c r="S70" s="87"/>
      <c r="T70" s="137">
        <v>352.28</v>
      </c>
      <c r="U70" s="189">
        <f t="shared" ref="U70:U74" si="34">((T70/U$10)*U$9)</f>
        <v>15.184482758620689</v>
      </c>
      <c r="V70" s="189">
        <f t="shared" ref="V70:V74" si="35">R70*V$10</f>
        <v>11.359649999999998</v>
      </c>
      <c r="W70" s="189">
        <f t="shared" ref="W70:W74" si="36">+S70*V$10</f>
        <v>0</v>
      </c>
      <c r="X70" s="189">
        <f t="shared" ref="X70:X74" si="37">+T70*X$10</f>
        <v>8.8070000000000004</v>
      </c>
      <c r="Y70" s="189">
        <f t="shared" ref="Y70:Z74" si="38">R70-V70</f>
        <v>1503.2603499999998</v>
      </c>
      <c r="Z70" s="189">
        <f t="shared" si="38"/>
        <v>0</v>
      </c>
      <c r="AA70" s="189">
        <f t="shared" ref="AA70:AA74" si="39">T70-U70-X70</f>
        <v>328.28851724137928</v>
      </c>
      <c r="AB70" s="87"/>
    </row>
    <row r="71" spans="1:30" ht="28.5" customHeight="1" thickBot="1" x14ac:dyDescent="0.3">
      <c r="A71" s="25" t="s">
        <v>57</v>
      </c>
      <c r="B71" s="70">
        <f>(B65-B69)-B72</f>
        <v>75.874700000000303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189</v>
      </c>
      <c r="P71" s="229">
        <v>333</v>
      </c>
      <c r="Q71" s="229">
        <v>2003</v>
      </c>
      <c r="R71" s="222">
        <v>1186.47</v>
      </c>
      <c r="S71" s="87"/>
      <c r="T71" s="87"/>
      <c r="U71" s="189">
        <f t="shared" si="34"/>
        <v>0</v>
      </c>
      <c r="V71" s="189">
        <f t="shared" si="35"/>
        <v>8.8985249999999994</v>
      </c>
      <c r="W71" s="189">
        <f t="shared" si="36"/>
        <v>0</v>
      </c>
      <c r="X71" s="189">
        <f t="shared" si="37"/>
        <v>0</v>
      </c>
      <c r="Y71" s="189">
        <f t="shared" si="38"/>
        <v>1177.571475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189</v>
      </c>
      <c r="P72" s="229">
        <v>424</v>
      </c>
      <c r="Q72" s="229">
        <v>2002</v>
      </c>
      <c r="R72" s="222">
        <v>467.3</v>
      </c>
      <c r="S72" s="87"/>
      <c r="T72" s="137"/>
      <c r="U72" s="189">
        <f t="shared" si="34"/>
        <v>0</v>
      </c>
      <c r="V72" s="189">
        <f t="shared" si="35"/>
        <v>3.50475</v>
      </c>
      <c r="W72" s="189">
        <f t="shared" si="36"/>
        <v>0</v>
      </c>
      <c r="X72" s="189">
        <f t="shared" si="37"/>
        <v>0</v>
      </c>
      <c r="Y72" s="189">
        <f t="shared" si="38"/>
        <v>463.79525000000001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186</v>
      </c>
      <c r="P73" s="229">
        <v>348</v>
      </c>
      <c r="Q73" s="229">
        <v>2002</v>
      </c>
      <c r="R73" s="222">
        <v>1319.96</v>
      </c>
      <c r="S73" s="87"/>
      <c r="T73" s="137"/>
      <c r="U73" s="189">
        <f t="shared" si="34"/>
        <v>0</v>
      </c>
      <c r="V73" s="189">
        <f t="shared" si="35"/>
        <v>9.8996999999999993</v>
      </c>
      <c r="W73" s="189">
        <f t="shared" si="36"/>
        <v>0</v>
      </c>
      <c r="X73" s="189">
        <f t="shared" si="37"/>
        <v>0</v>
      </c>
      <c r="Y73" s="189">
        <f t="shared" si="38"/>
        <v>1310.0603000000001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186</v>
      </c>
      <c r="P74" s="229">
        <v>349</v>
      </c>
      <c r="Q74" s="229">
        <v>2002</v>
      </c>
      <c r="R74" s="222">
        <v>894.46</v>
      </c>
      <c r="S74" s="87"/>
      <c r="T74" s="87"/>
      <c r="U74" s="189">
        <f t="shared" si="34"/>
        <v>0</v>
      </c>
      <c r="V74" s="189">
        <f t="shared" si="35"/>
        <v>6.70845</v>
      </c>
      <c r="W74" s="189">
        <f t="shared" si="36"/>
        <v>0</v>
      </c>
      <c r="X74" s="189">
        <f t="shared" si="37"/>
        <v>0</v>
      </c>
      <c r="Y74" s="189">
        <f t="shared" si="38"/>
        <v>887.75155000000007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2" t="s">
        <v>128</v>
      </c>
      <c r="O75" s="282"/>
      <c r="P75" s="283"/>
      <c r="Q75" s="283"/>
      <c r="R75" s="192">
        <f>SUM(R70:R74)</f>
        <v>5382.81</v>
      </c>
      <c r="S75" s="192"/>
      <c r="T75" s="192">
        <f>SUM(T70:T74)</f>
        <v>352.28</v>
      </c>
      <c r="U75" s="192">
        <f>SUM(U70:U74)</f>
        <v>15.184482758620689</v>
      </c>
      <c r="V75" s="192">
        <f t="shared" ref="V75:AA75" si="41">SUM(V70:V74)</f>
        <v>40.371074999999998</v>
      </c>
      <c r="W75" s="192">
        <f t="shared" si="41"/>
        <v>0</v>
      </c>
      <c r="X75" s="192">
        <f t="shared" si="41"/>
        <v>8.8070000000000004</v>
      </c>
      <c r="Y75" s="192">
        <f t="shared" si="41"/>
        <v>5342.4389249999995</v>
      </c>
      <c r="Z75" s="192">
        <f t="shared" si="41"/>
        <v>0</v>
      </c>
      <c r="AA75" s="193">
        <f t="shared" si="41"/>
        <v>328.28851724137928</v>
      </c>
      <c r="AB75" s="103"/>
    </row>
    <row r="76" spans="1:30" ht="15.75" x14ac:dyDescent="0.25">
      <c r="N76" s="284" t="s">
        <v>73</v>
      </c>
      <c r="O76" s="286" t="s">
        <v>67</v>
      </c>
      <c r="P76" s="282" t="s">
        <v>62</v>
      </c>
      <c r="Q76" s="282"/>
      <c r="R76" s="282"/>
      <c r="S76" s="282"/>
      <c r="T76" s="282"/>
      <c r="U76" s="288" t="s">
        <v>68</v>
      </c>
      <c r="V76" s="289"/>
      <c r="W76" s="289"/>
      <c r="X76" s="289"/>
      <c r="Y76" s="290"/>
      <c r="Z76" s="279" t="s">
        <v>54</v>
      </c>
      <c r="AA76" s="279" t="s">
        <v>64</v>
      </c>
      <c r="AB76" s="279" t="s">
        <v>124</v>
      </c>
      <c r="AC76" s="280" t="s">
        <v>127</v>
      </c>
      <c r="AD76" s="281" t="s">
        <v>65</v>
      </c>
    </row>
    <row r="77" spans="1:30" ht="60" x14ac:dyDescent="0.25">
      <c r="F77" s="291" t="s">
        <v>140</v>
      </c>
      <c r="G77" s="292"/>
      <c r="H77" s="141" t="s">
        <v>142</v>
      </c>
      <c r="N77" s="285"/>
      <c r="O77" s="287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79"/>
      <c r="AA77" s="279"/>
      <c r="AB77" s="279"/>
      <c r="AC77" s="280" t="s">
        <v>127</v>
      </c>
      <c r="AD77" s="281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137"/>
      <c r="Q86" s="137"/>
      <c r="R86" s="82">
        <v>7.4999999999999997E-3</v>
      </c>
      <c r="S86" s="194">
        <f t="shared" si="43"/>
        <v>0</v>
      </c>
      <c r="T86" s="219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217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137"/>
      <c r="Q87" s="137"/>
      <c r="R87" s="82">
        <v>7.4999999999999997E-3</v>
      </c>
      <c r="S87" s="194">
        <f t="shared" si="43"/>
        <v>0</v>
      </c>
      <c r="T87" s="220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12">
        <f>P78+U78+Q78</f>
        <v>0</v>
      </c>
    </row>
    <row r="101" spans="14:30" x14ac:dyDescent="0.25">
      <c r="N101" s="85"/>
      <c r="P101" s="215">
        <f>P79+Q79+U79</f>
        <v>0</v>
      </c>
    </row>
    <row r="102" spans="14:30" x14ac:dyDescent="0.25">
      <c r="N102" s="85"/>
      <c r="P102" s="215">
        <f>P80+Q80+U80</f>
        <v>0</v>
      </c>
    </row>
    <row r="103" spans="14:30" x14ac:dyDescent="0.25">
      <c r="N103" s="85"/>
      <c r="P103" s="215">
        <f>Q81+U81+P81</f>
        <v>0</v>
      </c>
    </row>
    <row r="104" spans="14:30" x14ac:dyDescent="0.25">
      <c r="N104" s="85"/>
      <c r="P104" s="215">
        <f>P82+Q82+U82</f>
        <v>0</v>
      </c>
    </row>
    <row r="105" spans="14:30" x14ac:dyDescent="0.25">
      <c r="N105" s="85"/>
      <c r="P105" s="212">
        <f>P83+Q83+U83</f>
        <v>0</v>
      </c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  <c r="P108" s="212">
        <f>P86+Q86+U86</f>
        <v>0</v>
      </c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9" priority="1" operator="greaterThan">
      <formula>0</formula>
    </cfRule>
    <cfRule type="cellIs" dxfId="1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E40" zoomScale="90" zoomScaleNormal="90" workbookViewId="0">
      <selection activeCell="I61" sqref="I6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0.42578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8.285156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59"/>
      <c r="B1" s="296"/>
      <c r="C1" s="296"/>
      <c r="D1" s="296"/>
      <c r="E1" s="296"/>
      <c r="F1" s="296"/>
      <c r="G1" s="296"/>
      <c r="H1" s="296"/>
      <c r="M1" s="76"/>
      <c r="N1" s="71"/>
    </row>
    <row r="2" spans="1:28" s="84" customFormat="1" ht="16.5" customHeight="1" x14ac:dyDescent="0.35">
      <c r="A2" s="259"/>
      <c r="B2" s="296" t="s">
        <v>12</v>
      </c>
      <c r="C2" s="296"/>
      <c r="D2" s="296"/>
      <c r="E2" s="296"/>
      <c r="F2" s="296"/>
      <c r="G2" s="296"/>
      <c r="H2" s="296"/>
      <c r="M2" s="76"/>
      <c r="N2" s="71"/>
    </row>
    <row r="3" spans="1:28" s="84" customFormat="1" ht="21.75" customHeight="1" x14ac:dyDescent="0.25">
      <c r="A3" s="259"/>
      <c r="B3" s="297" t="s">
        <v>191</v>
      </c>
      <c r="C3" s="297"/>
      <c r="D3" s="297"/>
      <c r="E3" s="297"/>
      <c r="F3" s="297"/>
      <c r="G3" s="297"/>
      <c r="H3" s="297"/>
      <c r="M3" s="76"/>
      <c r="N3" s="71"/>
    </row>
    <row r="4" spans="1:28" x14ac:dyDescent="0.25">
      <c r="B4" s="298"/>
      <c r="C4" s="298"/>
      <c r="D4" s="298"/>
      <c r="E4" s="298"/>
      <c r="F4" s="298"/>
      <c r="G4" s="298"/>
      <c r="H4" s="298"/>
    </row>
    <row r="6" spans="1:28" x14ac:dyDescent="0.25">
      <c r="A6" s="7" t="s">
        <v>22</v>
      </c>
      <c r="B6" s="72">
        <v>44492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4.21</v>
      </c>
      <c r="C8" s="85" t="s">
        <v>94</v>
      </c>
      <c r="D8" s="108"/>
    </row>
    <row r="9" spans="1:28" x14ac:dyDescent="0.25">
      <c r="A9" s="7" t="s">
        <v>78</v>
      </c>
      <c r="B9" s="108">
        <v>4.24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554.09</v>
      </c>
      <c r="C12" s="15"/>
      <c r="D12" s="56"/>
      <c r="E12" s="16"/>
      <c r="F12" s="56"/>
      <c r="G12" s="56"/>
      <c r="H12" s="17"/>
      <c r="I12" s="83"/>
      <c r="J12" s="81">
        <f>B12-I12</f>
        <v>554.09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>
        <v>382.37</v>
      </c>
      <c r="Q12" s="153">
        <v>7</v>
      </c>
      <c r="R12" s="154">
        <v>382.37</v>
      </c>
      <c r="S12" s="155"/>
      <c r="T12" s="155"/>
      <c r="U12" s="189">
        <f>((T12/U$10)*U$9)</f>
        <v>0</v>
      </c>
      <c r="V12" s="189">
        <f>R12*V$10</f>
        <v>2.867775</v>
      </c>
      <c r="W12" s="189">
        <f>+S12*V$10</f>
        <v>0</v>
      </c>
      <c r="X12" s="189">
        <f>+T12*X$10</f>
        <v>0</v>
      </c>
      <c r="Y12" s="189">
        <f>R12-V12</f>
        <v>379.50222500000001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1551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1551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>
        <v>140</v>
      </c>
      <c r="Q13" s="153">
        <v>7</v>
      </c>
      <c r="R13" s="154">
        <v>1735.11</v>
      </c>
      <c r="S13" s="155"/>
      <c r="T13" s="157">
        <v>42.17</v>
      </c>
      <c r="U13" s="189">
        <f t="shared" ref="U13:U41" si="2">((T13/U$10)*U$9)</f>
        <v>1.8176724137931037</v>
      </c>
      <c r="V13" s="189">
        <f t="shared" ref="V13:V41" si="3">R13*V$10</f>
        <v>13.013324999999998</v>
      </c>
      <c r="W13" s="189">
        <f t="shared" ref="W13:W41" si="4">+S13*V$10</f>
        <v>0</v>
      </c>
      <c r="X13" s="189">
        <f t="shared" ref="X13:X41" si="5">+T13*X$10</f>
        <v>1.0542500000000001</v>
      </c>
      <c r="Y13" s="189">
        <f t="shared" ref="Y13:Z41" si="6">R13-V13</f>
        <v>1722.096675</v>
      </c>
      <c r="Z13" s="189">
        <f t="shared" si="6"/>
        <v>0</v>
      </c>
      <c r="AA13" s="189">
        <f t="shared" ref="AA13:AA41" si="7">T13-U13-X13</f>
        <v>39.298077586206894</v>
      </c>
      <c r="AB13" s="156"/>
    </row>
    <row r="14" spans="1:28" ht="15.75" x14ac:dyDescent="0.25">
      <c r="A14" s="86" t="s">
        <v>83</v>
      </c>
      <c r="B14" s="57">
        <f>B13*B8</f>
        <v>6529.71</v>
      </c>
      <c r="C14" s="15"/>
      <c r="D14" s="56"/>
      <c r="E14" s="16"/>
      <c r="F14" s="56"/>
      <c r="G14" s="56"/>
      <c r="H14" s="17"/>
      <c r="I14" s="83"/>
      <c r="J14" s="81">
        <f t="shared" si="0"/>
        <v>6529.71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114</v>
      </c>
      <c r="C15" s="15"/>
      <c r="D15" s="56"/>
      <c r="E15" s="16"/>
      <c r="F15" s="56"/>
      <c r="G15" s="56"/>
      <c r="H15" s="17"/>
      <c r="I15" s="83"/>
      <c r="J15" s="81">
        <f t="shared" si="0"/>
        <v>114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483.36</v>
      </c>
      <c r="C16" s="15"/>
      <c r="D16" s="56"/>
      <c r="E16" s="16"/>
      <c r="F16" s="56"/>
      <c r="G16" s="56"/>
      <c r="H16" s="17"/>
      <c r="I16" s="83"/>
      <c r="J16" s="81">
        <f t="shared" si="0"/>
        <v>483.36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1665</v>
      </c>
      <c r="C19" s="95"/>
      <c r="D19" s="94"/>
      <c r="E19" s="96"/>
      <c r="F19" s="94"/>
      <c r="G19" s="94"/>
      <c r="H19" s="98"/>
      <c r="I19" s="99"/>
      <c r="J19" s="185">
        <f>B19-I19</f>
        <v>1665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7013.07</v>
      </c>
      <c r="C20" s="95"/>
      <c r="D20" s="94"/>
      <c r="E20" s="96"/>
      <c r="F20" s="94"/>
      <c r="G20" s="94"/>
      <c r="H20" s="98"/>
      <c r="I20" s="99">
        <v>7059.6</v>
      </c>
      <c r="J20" s="185">
        <f t="shared" si="0"/>
        <v>-46.530000000000655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3" t="s">
        <v>107</v>
      </c>
      <c r="O42" s="294"/>
      <c r="P42" s="294"/>
      <c r="Q42" s="295"/>
      <c r="R42" s="190">
        <f t="shared" ref="R42:AA42" si="8">SUM(R12:R41)</f>
        <v>2117.48</v>
      </c>
      <c r="S42" s="190">
        <f t="shared" si="8"/>
        <v>0</v>
      </c>
      <c r="T42" s="190">
        <f t="shared" si="8"/>
        <v>42.17</v>
      </c>
      <c r="U42" s="190">
        <f t="shared" si="8"/>
        <v>1.8176724137931037</v>
      </c>
      <c r="V42" s="190">
        <f t="shared" si="8"/>
        <v>15.881099999999998</v>
      </c>
      <c r="W42" s="190">
        <f t="shared" si="8"/>
        <v>0</v>
      </c>
      <c r="X42" s="190">
        <f t="shared" si="8"/>
        <v>1.0542500000000001</v>
      </c>
      <c r="Y42" s="190">
        <f t="shared" si="8"/>
        <v>2101.5989</v>
      </c>
      <c r="Z42" s="190">
        <f t="shared" si="8"/>
        <v>0</v>
      </c>
      <c r="AA42" s="190">
        <f t="shared" si="8"/>
        <v>39.298077586206894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2117.48</v>
      </c>
      <c r="C46" s="116">
        <v>7.4999999999999997E-3</v>
      </c>
      <c r="D46" s="117">
        <f>B46*C46</f>
        <v>15.8811</v>
      </c>
      <c r="E46" s="172">
        <v>0</v>
      </c>
      <c r="F46" s="117">
        <f t="shared" ref="F46:F50" si="15">D46*E46</f>
        <v>0</v>
      </c>
      <c r="G46" s="117">
        <f t="shared" ref="G46:G51" si="16">B46-D46-F46</f>
        <v>2101.5989</v>
      </c>
      <c r="H46" s="173">
        <f>B$6+1</f>
        <v>44493</v>
      </c>
      <c r="I46" s="174"/>
      <c r="J46" s="81">
        <f t="shared" si="0"/>
        <v>2117.48</v>
      </c>
      <c r="K46" s="80"/>
      <c r="L46" s="186">
        <f t="shared" ref="L46:L64" si="17">+G46-K46</f>
        <v>2101.5989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44493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1.4999999999999999E-2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44493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5571.01</v>
      </c>
      <c r="C49" s="116">
        <v>7.4999999999999997E-3</v>
      </c>
      <c r="D49" s="117">
        <f t="shared" si="18"/>
        <v>41.782575000000001</v>
      </c>
      <c r="E49" s="172">
        <v>0</v>
      </c>
      <c r="F49" s="117">
        <f t="shared" si="15"/>
        <v>0</v>
      </c>
      <c r="G49" s="117">
        <f t="shared" si="16"/>
        <v>5529.227425</v>
      </c>
      <c r="H49" s="173">
        <f t="shared" si="19"/>
        <v>44493</v>
      </c>
      <c r="I49" s="176"/>
      <c r="J49" s="81">
        <f t="shared" si="0"/>
        <v>5571.01</v>
      </c>
      <c r="K49" s="80"/>
      <c r="L49" s="186">
        <f t="shared" si="17"/>
        <v>5529.227425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0</v>
      </c>
      <c r="C50" s="116">
        <v>7.4999999999999997E-3</v>
      </c>
      <c r="D50" s="117">
        <f t="shared" si="18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44493</v>
      </c>
      <c r="I50" s="175"/>
      <c r="J50" s="81">
        <f t="shared" si="0"/>
        <v>0</v>
      </c>
      <c r="K50" s="226"/>
      <c r="L50" s="186">
        <f t="shared" si="17"/>
        <v>0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44493</v>
      </c>
      <c r="I51" s="175"/>
      <c r="J51" s="81">
        <f t="shared" si="0"/>
        <v>0</v>
      </c>
      <c r="K51" s="80"/>
      <c r="L51" s="186">
        <f t="shared" si="17"/>
        <v>0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42.17</v>
      </c>
      <c r="C52" s="116">
        <v>2.5000000000000001E-2</v>
      </c>
      <c r="D52" s="117">
        <f>B52*C52</f>
        <v>1.0542500000000001</v>
      </c>
      <c r="E52" s="172">
        <v>0.05</v>
      </c>
      <c r="F52" s="117">
        <f>(B52/E$10)*E52</f>
        <v>1.8176724137931037</v>
      </c>
      <c r="G52" s="117">
        <f>B52-D52-F52</f>
        <v>39.298077586206894</v>
      </c>
      <c r="H52" s="188">
        <f t="shared" si="19"/>
        <v>44493</v>
      </c>
      <c r="I52" s="176">
        <v>42.17</v>
      </c>
      <c r="J52" s="81">
        <f t="shared" si="0"/>
        <v>0</v>
      </c>
      <c r="K52" s="80"/>
      <c r="L52" s="186">
        <f t="shared" si="17"/>
        <v>39.298077586206894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44493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44493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44493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171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44493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44495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44497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44522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58.717925000000001</v>
      </c>
      <c r="E61" s="177"/>
      <c r="F61" s="57">
        <f>SUM(F46:F58)</f>
        <v>1.8176724137931037</v>
      </c>
      <c r="G61" s="57">
        <f>SUM(G46:G58)</f>
        <v>7670.124402586207</v>
      </c>
      <c r="H61" s="173">
        <f t="shared" si="19"/>
        <v>44493</v>
      </c>
      <c r="I61" s="175"/>
      <c r="J61" s="81">
        <f t="shared" si="0"/>
        <v>0</v>
      </c>
      <c r="K61" s="80"/>
      <c r="L61" s="186">
        <f t="shared" si="17"/>
        <v>7670.124402586207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44493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2" t="s">
        <v>109</v>
      </c>
      <c r="O63" s="282"/>
      <c r="P63" s="282"/>
      <c r="Q63" s="28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15340.248805172414</v>
      </c>
      <c r="H64" s="184"/>
      <c r="I64" s="175"/>
      <c r="J64" s="81">
        <f t="shared" si="0"/>
        <v>0</v>
      </c>
      <c r="K64" s="80"/>
      <c r="L64" s="186">
        <f t="shared" si="17"/>
        <v>15340.248805172414</v>
      </c>
      <c r="M64" s="130"/>
      <c r="N64" s="87">
        <v>1</v>
      </c>
      <c r="O64" s="122" t="s">
        <v>172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15297.82</v>
      </c>
      <c r="G65" s="22"/>
      <c r="L65" s="132"/>
      <c r="M65" s="131"/>
      <c r="N65" s="87">
        <v>2</v>
      </c>
      <c r="O65" s="122" t="s">
        <v>172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172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9" t="s">
        <v>20</v>
      </c>
      <c r="B67" s="300"/>
      <c r="F67" s="301" t="s">
        <v>136</v>
      </c>
      <c r="G67" s="301"/>
      <c r="H67" s="301"/>
      <c r="I67" s="302" t="s">
        <v>138</v>
      </c>
      <c r="J67" s="303"/>
      <c r="K67" s="138"/>
      <c r="N67" s="87">
        <v>4</v>
      </c>
      <c r="O67" s="122" t="s">
        <v>172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15328.76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172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15328.876</v>
      </c>
      <c r="C69" s="59"/>
      <c r="F69" s="87" t="s">
        <v>129</v>
      </c>
      <c r="G69" s="22"/>
      <c r="H69" s="89">
        <f>+G52</f>
        <v>39.298077586206894</v>
      </c>
      <c r="I69" s="136"/>
      <c r="J69" s="136"/>
      <c r="N69" s="282" t="s">
        <v>110</v>
      </c>
      <c r="O69" s="282"/>
      <c r="P69" s="283"/>
      <c r="Q69" s="28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B68-B67</f>
        <v>15328.76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189</v>
      </c>
      <c r="P70" s="87">
        <v>334</v>
      </c>
      <c r="Q70" s="87">
        <v>2003</v>
      </c>
      <c r="R70" s="137">
        <v>782.86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5.8714500000000003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776.98855000000003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-31.056000000000495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-39.298077586206894</v>
      </c>
      <c r="N71" s="87">
        <v>2</v>
      </c>
      <c r="O71" s="122" t="s">
        <v>189</v>
      </c>
      <c r="P71" s="87" t="s">
        <v>238</v>
      </c>
      <c r="Q71" s="87">
        <v>2002</v>
      </c>
      <c r="R71" s="137">
        <f>946.16+955.12</f>
        <v>1901.28</v>
      </c>
      <c r="S71" s="87"/>
      <c r="T71" s="87"/>
      <c r="U71" s="189">
        <f t="shared" si="34"/>
        <v>0</v>
      </c>
      <c r="V71" s="189">
        <f t="shared" si="35"/>
        <v>14.259599999999999</v>
      </c>
      <c r="W71" s="189">
        <f t="shared" si="36"/>
        <v>0</v>
      </c>
      <c r="X71" s="189">
        <f t="shared" si="37"/>
        <v>0</v>
      </c>
      <c r="Y71" s="189">
        <f t="shared" si="38"/>
        <v>1887.0203999999999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189</v>
      </c>
      <c r="P72" s="87" t="s">
        <v>237</v>
      </c>
      <c r="Q72" s="87">
        <v>2003</v>
      </c>
      <c r="R72" s="137">
        <f>1104.75+717.68</f>
        <v>1822.4299999999998</v>
      </c>
      <c r="S72" s="87"/>
      <c r="T72" s="87"/>
      <c r="U72" s="189">
        <f t="shared" si="34"/>
        <v>0</v>
      </c>
      <c r="V72" s="189">
        <f t="shared" si="35"/>
        <v>13.668224999999998</v>
      </c>
      <c r="W72" s="189">
        <f t="shared" si="36"/>
        <v>0</v>
      </c>
      <c r="X72" s="189">
        <f t="shared" si="37"/>
        <v>0</v>
      </c>
      <c r="Y72" s="189">
        <f t="shared" si="38"/>
        <v>1808.7617749999999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192</v>
      </c>
      <c r="P73" s="87">
        <v>351</v>
      </c>
      <c r="Q73" s="87">
        <v>2002</v>
      </c>
      <c r="R73" s="137">
        <v>1064.44</v>
      </c>
      <c r="S73" s="87"/>
      <c r="T73" s="87"/>
      <c r="U73" s="189">
        <f t="shared" si="34"/>
        <v>0</v>
      </c>
      <c r="V73" s="189">
        <f t="shared" si="35"/>
        <v>7.9832999999999998</v>
      </c>
      <c r="W73" s="189">
        <f t="shared" si="36"/>
        <v>0</v>
      </c>
      <c r="X73" s="189">
        <f t="shared" si="37"/>
        <v>0</v>
      </c>
      <c r="Y73" s="189">
        <f t="shared" si="38"/>
        <v>1056.4567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39.298077586206894</v>
      </c>
      <c r="N74" s="87">
        <v>5</v>
      </c>
      <c r="O74" s="122" t="s">
        <v>192</v>
      </c>
      <c r="P74" s="87"/>
      <c r="Q74" s="87"/>
      <c r="R74" s="137"/>
      <c r="S74" s="87"/>
      <c r="T74" s="13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2" t="s">
        <v>128</v>
      </c>
      <c r="O75" s="282"/>
      <c r="P75" s="283"/>
      <c r="Q75" s="283"/>
      <c r="R75" s="192">
        <f>SUM(R70:R74)</f>
        <v>5571.01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41.782574999999994</v>
      </c>
      <c r="W75" s="192">
        <f t="shared" si="41"/>
        <v>0</v>
      </c>
      <c r="X75" s="192">
        <f t="shared" si="41"/>
        <v>0</v>
      </c>
      <c r="Y75" s="192">
        <f t="shared" si="41"/>
        <v>5529.227425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4" t="s">
        <v>73</v>
      </c>
      <c r="O76" s="286" t="s">
        <v>67</v>
      </c>
      <c r="P76" s="282" t="s">
        <v>62</v>
      </c>
      <c r="Q76" s="282"/>
      <c r="R76" s="282"/>
      <c r="S76" s="282"/>
      <c r="T76" s="282"/>
      <c r="U76" s="288" t="s">
        <v>68</v>
      </c>
      <c r="V76" s="289"/>
      <c r="W76" s="289"/>
      <c r="X76" s="289"/>
      <c r="Y76" s="290"/>
      <c r="Z76" s="279" t="s">
        <v>54</v>
      </c>
      <c r="AA76" s="279" t="s">
        <v>64</v>
      </c>
      <c r="AB76" s="279" t="s">
        <v>124</v>
      </c>
      <c r="AC76" s="280" t="s">
        <v>127</v>
      </c>
      <c r="AD76" s="281" t="s">
        <v>65</v>
      </c>
    </row>
    <row r="77" spans="1:30" ht="60" x14ac:dyDescent="0.25">
      <c r="F77" s="291" t="s">
        <v>140</v>
      </c>
      <c r="G77" s="292"/>
      <c r="H77" s="141" t="s">
        <v>142</v>
      </c>
      <c r="N77" s="285"/>
      <c r="O77" s="287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79"/>
      <c r="AA77" s="279"/>
      <c r="AB77" s="279"/>
      <c r="AC77" s="280" t="s">
        <v>127</v>
      </c>
      <c r="AD77" s="281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8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137"/>
      <c r="Q79" s="8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8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8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220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25">
        <f t="shared" ref="P101:P106" si="50">P78+Q78+U78</f>
        <v>0</v>
      </c>
    </row>
    <row r="102" spans="14:30" x14ac:dyDescent="0.25">
      <c r="N102" s="85"/>
      <c r="P102" s="212">
        <f t="shared" si="50"/>
        <v>0</v>
      </c>
    </row>
    <row r="103" spans="14:30" x14ac:dyDescent="0.25">
      <c r="N103" s="85"/>
      <c r="P103" s="212">
        <f t="shared" si="50"/>
        <v>0</v>
      </c>
    </row>
    <row r="104" spans="14:30" x14ac:dyDescent="0.25">
      <c r="N104" s="85"/>
      <c r="P104" s="212">
        <f t="shared" si="50"/>
        <v>0</v>
      </c>
    </row>
    <row r="105" spans="14:30" x14ac:dyDescent="0.25">
      <c r="N105" s="85"/>
      <c r="P105" s="212">
        <f t="shared" si="50"/>
        <v>0</v>
      </c>
    </row>
    <row r="106" spans="14:30" x14ac:dyDescent="0.25">
      <c r="N106" s="85"/>
      <c r="P106" s="212">
        <f t="shared" si="50"/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7" priority="1" operator="greaterThan">
      <formula>0</formula>
    </cfRule>
    <cfRule type="cellIs" dxfId="1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43" zoomScale="90" zoomScaleNormal="90" workbookViewId="0">
      <selection activeCell="C57" sqref="C57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57031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8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59"/>
      <c r="B1" s="296"/>
      <c r="C1" s="296"/>
      <c r="D1" s="296"/>
      <c r="E1" s="296"/>
      <c r="F1" s="296"/>
      <c r="G1" s="296"/>
      <c r="H1" s="296"/>
      <c r="M1" s="76"/>
      <c r="N1" s="71"/>
    </row>
    <row r="2" spans="1:28" s="84" customFormat="1" ht="16.5" customHeight="1" x14ac:dyDescent="0.35">
      <c r="A2" s="259"/>
      <c r="B2" s="296" t="s">
        <v>12</v>
      </c>
      <c r="C2" s="296"/>
      <c r="D2" s="296"/>
      <c r="E2" s="296"/>
      <c r="F2" s="296"/>
      <c r="G2" s="296"/>
      <c r="H2" s="296"/>
      <c r="M2" s="76"/>
      <c r="N2" s="71"/>
    </row>
    <row r="3" spans="1:28" s="84" customFormat="1" ht="21.75" customHeight="1" x14ac:dyDescent="0.25">
      <c r="A3" s="259"/>
      <c r="B3" s="297" t="s">
        <v>196</v>
      </c>
      <c r="C3" s="297"/>
      <c r="D3" s="297"/>
      <c r="E3" s="297"/>
      <c r="F3" s="297"/>
      <c r="G3" s="297"/>
      <c r="H3" s="297"/>
      <c r="M3" s="76"/>
      <c r="N3" s="71"/>
    </row>
    <row r="4" spans="1:28" x14ac:dyDescent="0.25">
      <c r="B4" s="298"/>
      <c r="C4" s="298"/>
      <c r="D4" s="298"/>
      <c r="E4" s="298"/>
      <c r="F4" s="298"/>
      <c r="G4" s="298"/>
      <c r="H4" s="298"/>
    </row>
    <row r="6" spans="1:28" x14ac:dyDescent="0.25">
      <c r="A6" s="7" t="s">
        <v>22</v>
      </c>
      <c r="B6" s="72">
        <v>44493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4.24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235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334.25</v>
      </c>
      <c r="C12" s="15"/>
      <c r="D12" s="56"/>
      <c r="E12" s="16"/>
      <c r="F12" s="56"/>
      <c r="G12" s="56"/>
      <c r="H12" s="17"/>
      <c r="I12" s="83">
        <v>334.25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>
        <v>141</v>
      </c>
      <c r="Q12" s="153">
        <v>7</v>
      </c>
      <c r="R12" s="154">
        <v>659.32</v>
      </c>
      <c r="S12" s="155"/>
      <c r="T12" s="155"/>
      <c r="U12" s="189">
        <f>((T12/U$10)*U$9)</f>
        <v>0</v>
      </c>
      <c r="V12" s="189">
        <f>R12*V$10</f>
        <v>4.9449000000000005</v>
      </c>
      <c r="W12" s="189">
        <f>+S12*V$10</f>
        <v>0</v>
      </c>
      <c r="X12" s="189">
        <f>+T12*X$10</f>
        <v>0</v>
      </c>
      <c r="Y12" s="189">
        <f>R12-V12</f>
        <v>654.37510000000009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1679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1679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>
        <v>142</v>
      </c>
      <c r="Q13" s="153">
        <v>7</v>
      </c>
      <c r="R13" s="154">
        <v>336.09</v>
      </c>
      <c r="S13" s="155"/>
      <c r="T13" s="157">
        <v>116.64</v>
      </c>
      <c r="U13" s="189">
        <f t="shared" ref="U13:U41" si="2">((T13/U$10)*U$9)</f>
        <v>5.0275862068965527</v>
      </c>
      <c r="V13" s="189">
        <f t="shared" ref="V13:V41" si="3">R13*V$10</f>
        <v>2.5206749999999998</v>
      </c>
      <c r="W13" s="189">
        <f t="shared" ref="W13:W41" si="4">+S13*V$10</f>
        <v>0</v>
      </c>
      <c r="X13" s="189">
        <f t="shared" ref="X13:X41" si="5">+T13*X$10</f>
        <v>2.9160000000000004</v>
      </c>
      <c r="Y13" s="189">
        <f t="shared" ref="Y13:Z41" si="6">R13-V13</f>
        <v>333.56932499999999</v>
      </c>
      <c r="Z13" s="189">
        <f t="shared" si="6"/>
        <v>0</v>
      </c>
      <c r="AA13" s="189">
        <f t="shared" ref="AA13:AA41" si="7">T13-U13-X13</f>
        <v>108.69641379310345</v>
      </c>
      <c r="AB13" s="156"/>
    </row>
    <row r="14" spans="1:28" ht="15.75" x14ac:dyDescent="0.25">
      <c r="A14" s="86" t="s">
        <v>83</v>
      </c>
      <c r="B14" s="57">
        <f>B13*B8</f>
        <v>7118.96</v>
      </c>
      <c r="C14" s="15"/>
      <c r="D14" s="56"/>
      <c r="E14" s="16"/>
      <c r="F14" s="56"/>
      <c r="G14" s="56"/>
      <c r="H14" s="17"/>
      <c r="I14" s="83"/>
      <c r="J14" s="81">
        <f t="shared" si="0"/>
        <v>7118.96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>T15-U15-X15</f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1679</v>
      </c>
      <c r="C19" s="95"/>
      <c r="D19" s="94"/>
      <c r="E19" s="96"/>
      <c r="F19" s="94"/>
      <c r="G19" s="94"/>
      <c r="H19" s="98"/>
      <c r="I19" s="99"/>
      <c r="J19" s="185">
        <f>B19-I19</f>
        <v>1679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7118.96</v>
      </c>
      <c r="C20" s="95"/>
      <c r="D20" s="94"/>
      <c r="E20" s="96"/>
      <c r="F20" s="94"/>
      <c r="G20" s="94"/>
      <c r="H20" s="98"/>
      <c r="I20" s="99"/>
      <c r="J20" s="185">
        <f t="shared" si="0"/>
        <v>7118.96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47.26</v>
      </c>
      <c r="C37" s="100"/>
      <c r="D37" s="66"/>
      <c r="E37" s="67"/>
      <c r="F37" s="66"/>
      <c r="G37" s="66"/>
      <c r="H37" s="102"/>
      <c r="I37" s="79">
        <v>47.26</v>
      </c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200.38239999999999</v>
      </c>
      <c r="C38" s="100"/>
      <c r="D38" s="66"/>
      <c r="E38" s="67"/>
      <c r="F38" s="66"/>
      <c r="G38" s="66"/>
      <c r="H38" s="102"/>
      <c r="I38" s="79"/>
      <c r="J38" s="81">
        <f t="shared" si="0"/>
        <v>200.38239999999999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3" t="s">
        <v>107</v>
      </c>
      <c r="O42" s="294"/>
      <c r="P42" s="294"/>
      <c r="Q42" s="295"/>
      <c r="R42" s="190">
        <f t="shared" ref="R42:AA42" si="8">SUM(R12:R41)</f>
        <v>995.41000000000008</v>
      </c>
      <c r="S42" s="190">
        <f t="shared" si="8"/>
        <v>0</v>
      </c>
      <c r="T42" s="190">
        <f t="shared" si="8"/>
        <v>116.64</v>
      </c>
      <c r="U42" s="190">
        <f t="shared" si="8"/>
        <v>5.0275862068965527</v>
      </c>
      <c r="V42" s="190">
        <f t="shared" si="8"/>
        <v>7.4655750000000003</v>
      </c>
      <c r="W42" s="190">
        <f t="shared" si="8"/>
        <v>0</v>
      </c>
      <c r="X42" s="190">
        <f t="shared" si="8"/>
        <v>2.9160000000000004</v>
      </c>
      <c r="Y42" s="190">
        <f t="shared" si="8"/>
        <v>987.94442500000014</v>
      </c>
      <c r="Z42" s="190">
        <f t="shared" si="8"/>
        <v>0</v>
      </c>
      <c r="AA42" s="190">
        <f t="shared" si="8"/>
        <v>108.69641379310345</v>
      </c>
      <c r="AB42" s="166"/>
    </row>
    <row r="43" spans="1:28" ht="15.75" x14ac:dyDescent="0.25">
      <c r="A43" s="93" t="s">
        <v>103</v>
      </c>
      <c r="B43" s="97">
        <f>+B37+B39+B41</f>
        <v>47.26</v>
      </c>
      <c r="C43" s="95"/>
      <c r="D43" s="94"/>
      <c r="E43" s="96"/>
      <c r="F43" s="94"/>
      <c r="G43" s="94"/>
      <c r="H43" s="98"/>
      <c r="I43" s="99"/>
      <c r="J43" s="185">
        <f t="shared" si="0"/>
        <v>47.26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200.38239999999999</v>
      </c>
      <c r="C44" s="95"/>
      <c r="D44" s="94"/>
      <c r="E44" s="96"/>
      <c r="F44" s="94"/>
      <c r="G44" s="94"/>
      <c r="H44" s="98"/>
      <c r="I44" s="99"/>
      <c r="J44" s="185">
        <f t="shared" si="0"/>
        <v>200.38239999999999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995.41000000000008</v>
      </c>
      <c r="C46" s="116">
        <v>7.4999999999999997E-3</v>
      </c>
      <c r="D46" s="117">
        <f>B46*C46</f>
        <v>7.4655750000000003</v>
      </c>
      <c r="E46" s="172">
        <v>0</v>
      </c>
      <c r="F46" s="117">
        <f t="shared" ref="F46:F50" si="15">D46*E46</f>
        <v>0</v>
      </c>
      <c r="G46" s="117">
        <f t="shared" ref="G46:G51" si="16">B46-D46-F46</f>
        <v>987.94442500000014</v>
      </c>
      <c r="H46" s="173">
        <f>B$6+1</f>
        <v>44494</v>
      </c>
      <c r="I46" s="174"/>
      <c r="J46" s="81">
        <f t="shared" si="0"/>
        <v>995.41000000000008</v>
      </c>
      <c r="K46" s="80"/>
      <c r="L46" s="186">
        <f t="shared" ref="L46:L64" si="17">+G46-K46</f>
        <v>987.94442500000014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44494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44494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7</v>
      </c>
      <c r="B49" s="117">
        <f>R75</f>
        <v>5987.38</v>
      </c>
      <c r="C49" s="116">
        <v>7.4999999999999997E-3</v>
      </c>
      <c r="D49" s="117">
        <f t="shared" si="18"/>
        <v>44.905349999999999</v>
      </c>
      <c r="E49" s="172">
        <v>0</v>
      </c>
      <c r="F49" s="117">
        <f t="shared" si="15"/>
        <v>0</v>
      </c>
      <c r="G49" s="117">
        <f t="shared" si="16"/>
        <v>5942.4746500000001</v>
      </c>
      <c r="H49" s="173">
        <f t="shared" si="19"/>
        <v>44494</v>
      </c>
      <c r="I49" s="176"/>
      <c r="J49" s="81">
        <f t="shared" si="0"/>
        <v>5987.38</v>
      </c>
      <c r="K49" s="80"/>
      <c r="L49" s="186">
        <f t="shared" si="17"/>
        <v>5942.4746500000001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0</v>
      </c>
      <c r="C50" s="116">
        <v>7.4999999999999997E-3</v>
      </c>
      <c r="D50" s="117">
        <f t="shared" si="18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44494</v>
      </c>
      <c r="I50" s="175"/>
      <c r="J50" s="81">
        <f t="shared" si="0"/>
        <v>0</v>
      </c>
      <c r="K50" s="80"/>
      <c r="L50" s="186">
        <f t="shared" si="17"/>
        <v>0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44494</v>
      </c>
      <c r="I51" s="175"/>
      <c r="J51" s="81">
        <f t="shared" si="0"/>
        <v>0</v>
      </c>
      <c r="K51" s="80"/>
      <c r="L51" s="186">
        <f t="shared" si="17"/>
        <v>0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116.64</v>
      </c>
      <c r="C52" s="116">
        <v>2.5000000000000001E-2</v>
      </c>
      <c r="D52" s="117">
        <f>B52*C52</f>
        <v>2.9160000000000004</v>
      </c>
      <c r="E52" s="172">
        <v>0.05</v>
      </c>
      <c r="F52" s="117">
        <f>(B52/E$10)*E52</f>
        <v>5.0275862068965527</v>
      </c>
      <c r="G52" s="117">
        <f>B52-D52-F52</f>
        <v>108.69641379310345</v>
      </c>
      <c r="H52" s="188">
        <f t="shared" si="19"/>
        <v>44494</v>
      </c>
      <c r="I52" s="176">
        <v>116.64</v>
      </c>
      <c r="J52" s="81">
        <f t="shared" si="0"/>
        <v>0</v>
      </c>
      <c r="K52" s="80"/>
      <c r="L52" s="186">
        <f>K52-G52</f>
        <v>-108.69641379310345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44494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44494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44494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44494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44496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44498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44523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55.286924999999997</v>
      </c>
      <c r="E61" s="177"/>
      <c r="F61" s="57">
        <f>SUM(F46:F58)</f>
        <v>5.0275862068965527</v>
      </c>
      <c r="G61" s="57">
        <f>SUM(G46:G58)</f>
        <v>7039.1154887931034</v>
      </c>
      <c r="H61" s="173">
        <f t="shared" si="19"/>
        <v>44494</v>
      </c>
      <c r="I61" s="175"/>
      <c r="J61" s="81">
        <f t="shared" si="0"/>
        <v>0</v>
      </c>
      <c r="K61" s="80"/>
      <c r="L61" s="186">
        <f t="shared" si="17"/>
        <v>7039.1154887931034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44494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2" t="s">
        <v>109</v>
      </c>
      <c r="O63" s="282"/>
      <c r="P63" s="282"/>
      <c r="Q63" s="28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14078.230977586207</v>
      </c>
      <c r="H64" s="184"/>
      <c r="I64" s="175"/>
      <c r="J64" s="81">
        <f t="shared" si="0"/>
        <v>0</v>
      </c>
      <c r="K64" s="80"/>
      <c r="L64" s="186">
        <f t="shared" si="17"/>
        <v>14078.230977586207</v>
      </c>
      <c r="M64" s="130"/>
      <c r="N64" s="87">
        <v>1</v>
      </c>
      <c r="O64" s="122" t="s">
        <v>172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14753.022400000002</v>
      </c>
      <c r="G65" s="22"/>
      <c r="L65" s="132"/>
      <c r="M65" s="131"/>
      <c r="N65" s="87">
        <v>2</v>
      </c>
      <c r="O65" s="122" t="s">
        <v>172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172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9" t="s">
        <v>20</v>
      </c>
      <c r="B67" s="300"/>
      <c r="F67" s="301" t="s">
        <v>136</v>
      </c>
      <c r="G67" s="301"/>
      <c r="H67" s="301"/>
      <c r="I67" s="302" t="s">
        <v>138</v>
      </c>
      <c r="J67" s="303"/>
      <c r="K67" s="138"/>
      <c r="N67" s="87">
        <v>4</v>
      </c>
      <c r="O67" s="122" t="s">
        <v>172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14662.34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172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14662.34</v>
      </c>
      <c r="C69" s="59"/>
      <c r="F69" s="87" t="s">
        <v>129</v>
      </c>
      <c r="G69" s="22"/>
      <c r="H69" s="89"/>
      <c r="I69" s="136"/>
      <c r="J69" s="136">
        <f>K52</f>
        <v>0</v>
      </c>
      <c r="N69" s="282" t="s">
        <v>174</v>
      </c>
      <c r="O69" s="282"/>
      <c r="P69" s="283"/>
      <c r="Q69" s="28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B68-B67</f>
        <v>14662.34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189</v>
      </c>
      <c r="P70" s="87">
        <v>336</v>
      </c>
      <c r="Q70" s="137">
        <v>2003</v>
      </c>
      <c r="R70" s="137">
        <v>1121.3499999999999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8.410124999999999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1112.9398749999998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90.682400000001508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189</v>
      </c>
      <c r="P71" s="87">
        <v>337</v>
      </c>
      <c r="Q71" s="137">
        <v>2003</v>
      </c>
      <c r="R71" s="137">
        <v>919.55</v>
      </c>
      <c r="S71" s="87"/>
      <c r="T71" s="87"/>
      <c r="U71" s="189">
        <f t="shared" si="34"/>
        <v>0</v>
      </c>
      <c r="V71" s="189">
        <f t="shared" si="35"/>
        <v>6.8966249999999993</v>
      </c>
      <c r="W71" s="189">
        <f t="shared" si="36"/>
        <v>0</v>
      </c>
      <c r="X71" s="189">
        <f t="shared" si="37"/>
        <v>0</v>
      </c>
      <c r="Y71" s="189">
        <f t="shared" si="38"/>
        <v>912.65337499999998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189</v>
      </c>
      <c r="P72" s="87" t="s">
        <v>235</v>
      </c>
      <c r="Q72" s="87">
        <v>2002</v>
      </c>
      <c r="R72" s="137">
        <f>1667.54+541.35</f>
        <v>2208.89</v>
      </c>
      <c r="S72" s="87"/>
      <c r="T72" s="87"/>
      <c r="U72" s="189">
        <f t="shared" si="34"/>
        <v>0</v>
      </c>
      <c r="V72" s="189">
        <f t="shared" si="35"/>
        <v>16.566675</v>
      </c>
      <c r="W72" s="189">
        <f t="shared" si="36"/>
        <v>0</v>
      </c>
      <c r="X72" s="189">
        <f t="shared" si="37"/>
        <v>0</v>
      </c>
      <c r="Y72" s="189">
        <f t="shared" si="38"/>
        <v>2192.3233249999998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186</v>
      </c>
      <c r="P73" s="87">
        <v>353</v>
      </c>
      <c r="Q73" s="87">
        <v>2002</v>
      </c>
      <c r="R73" s="137">
        <v>648.47</v>
      </c>
      <c r="S73" s="87"/>
      <c r="T73" s="87"/>
      <c r="U73" s="189">
        <f t="shared" si="34"/>
        <v>0</v>
      </c>
      <c r="V73" s="189">
        <f t="shared" si="35"/>
        <v>4.8635250000000001</v>
      </c>
      <c r="W73" s="189">
        <f t="shared" si="36"/>
        <v>0</v>
      </c>
      <c r="X73" s="189">
        <f t="shared" si="37"/>
        <v>0</v>
      </c>
      <c r="Y73" s="189">
        <f t="shared" si="38"/>
        <v>643.60647500000005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186</v>
      </c>
      <c r="P74" s="87">
        <v>352</v>
      </c>
      <c r="Q74" s="87">
        <v>2002</v>
      </c>
      <c r="R74" s="137">
        <v>1089.1199999999999</v>
      </c>
      <c r="S74" s="87"/>
      <c r="T74" s="137"/>
      <c r="U74" s="189">
        <f t="shared" si="34"/>
        <v>0</v>
      </c>
      <c r="V74" s="189">
        <f t="shared" si="35"/>
        <v>8.1683999999999983</v>
      </c>
      <c r="W74" s="189">
        <f t="shared" si="36"/>
        <v>0</v>
      </c>
      <c r="X74" s="189">
        <f t="shared" si="37"/>
        <v>0</v>
      </c>
      <c r="Y74" s="189">
        <f t="shared" si="38"/>
        <v>1080.9515999999999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2" t="s">
        <v>175</v>
      </c>
      <c r="O75" s="282"/>
      <c r="P75" s="283"/>
      <c r="Q75" s="283"/>
      <c r="R75" s="192">
        <f>SUM(R70:R74)</f>
        <v>5987.38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44.905349999999999</v>
      </c>
      <c r="W75" s="192">
        <f t="shared" si="41"/>
        <v>0</v>
      </c>
      <c r="X75" s="192">
        <f t="shared" si="41"/>
        <v>0</v>
      </c>
      <c r="Y75" s="192">
        <f t="shared" si="41"/>
        <v>5942.4746500000001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4" t="s">
        <v>73</v>
      </c>
      <c r="O76" s="286" t="s">
        <v>67</v>
      </c>
      <c r="P76" s="282" t="s">
        <v>62</v>
      </c>
      <c r="Q76" s="282"/>
      <c r="R76" s="282"/>
      <c r="S76" s="282"/>
      <c r="T76" s="282"/>
      <c r="U76" s="288" t="s">
        <v>68</v>
      </c>
      <c r="V76" s="289"/>
      <c r="W76" s="289"/>
      <c r="X76" s="289"/>
      <c r="Y76" s="290"/>
      <c r="Z76" s="279" t="s">
        <v>54</v>
      </c>
      <c r="AA76" s="279" t="s">
        <v>64</v>
      </c>
      <c r="AB76" s="279" t="s">
        <v>124</v>
      </c>
      <c r="AC76" s="280" t="s">
        <v>127</v>
      </c>
      <c r="AD76" s="281" t="s">
        <v>65</v>
      </c>
    </row>
    <row r="77" spans="1:30" ht="60" x14ac:dyDescent="0.25">
      <c r="F77" s="291" t="s">
        <v>140</v>
      </c>
      <c r="G77" s="292"/>
      <c r="H77" s="141" t="s">
        <v>142</v>
      </c>
      <c r="N77" s="285"/>
      <c r="O77" s="287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79"/>
      <c r="AA77" s="279"/>
      <c r="AB77" s="279"/>
      <c r="AC77" s="280" t="s">
        <v>127</v>
      </c>
      <c r="AD77" s="281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8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112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 t="s">
        <v>167</v>
      </c>
      <c r="AB84" s="189">
        <f t="shared" si="47"/>
        <v>0</v>
      </c>
      <c r="AC84" s="189" t="e">
        <f t="shared" si="48"/>
        <v>#VALUE!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 t="e">
        <f>SUM(AC78:AC97)</f>
        <v>#VALUE!</v>
      </c>
      <c r="AD98" s="87"/>
    </row>
    <row r="99" spans="14:30" x14ac:dyDescent="0.25">
      <c r="N99" s="85"/>
    </row>
    <row r="100" spans="14:30" x14ac:dyDescent="0.25">
      <c r="N100" s="85"/>
      <c r="Q100" s="218">
        <f>P78+U78+Q78</f>
        <v>0</v>
      </c>
    </row>
    <row r="101" spans="14:30" x14ac:dyDescent="0.25">
      <c r="N101" s="85"/>
      <c r="Q101" s="218">
        <f>P79+Q79+U79</f>
        <v>0</v>
      </c>
    </row>
    <row r="102" spans="14:30" x14ac:dyDescent="0.25">
      <c r="N102" s="85"/>
      <c r="Q102" s="215">
        <f>P80+Q80+U80</f>
        <v>0</v>
      </c>
    </row>
    <row r="103" spans="14:30" x14ac:dyDescent="0.25">
      <c r="N103" s="85"/>
      <c r="Q103" s="218">
        <f>P81+Q81+U81</f>
        <v>0</v>
      </c>
    </row>
    <row r="104" spans="14:30" x14ac:dyDescent="0.25">
      <c r="N104" s="85"/>
      <c r="Q104" s="218">
        <f>P82+Q82+U82</f>
        <v>0</v>
      </c>
    </row>
    <row r="105" spans="14:30" x14ac:dyDescent="0.25">
      <c r="N105" s="85"/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5" priority="1" operator="greaterThan">
      <formula>0</formula>
    </cfRule>
    <cfRule type="cellIs" dxfId="1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46" zoomScale="90" zoomScaleNormal="90" workbookViewId="0">
      <selection activeCell="B71" sqref="B7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8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9.8554687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71093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59"/>
      <c r="B1" s="296"/>
      <c r="C1" s="296"/>
      <c r="D1" s="296"/>
      <c r="E1" s="296"/>
      <c r="F1" s="296"/>
      <c r="G1" s="296"/>
      <c r="H1" s="296"/>
      <c r="M1" s="76"/>
      <c r="N1" s="71"/>
    </row>
    <row r="2" spans="1:28" s="84" customFormat="1" ht="16.5" customHeight="1" x14ac:dyDescent="0.35">
      <c r="A2" s="259"/>
      <c r="B2" s="296" t="s">
        <v>12</v>
      </c>
      <c r="C2" s="296"/>
      <c r="D2" s="296"/>
      <c r="E2" s="296"/>
      <c r="F2" s="296"/>
      <c r="G2" s="296"/>
      <c r="H2" s="296"/>
      <c r="M2" s="76"/>
      <c r="N2" s="71"/>
    </row>
    <row r="3" spans="1:28" s="84" customFormat="1" ht="21.75" customHeight="1" x14ac:dyDescent="0.25">
      <c r="A3" s="259"/>
      <c r="B3" s="297" t="s">
        <v>196</v>
      </c>
      <c r="C3" s="297"/>
      <c r="D3" s="297"/>
      <c r="E3" s="297"/>
      <c r="F3" s="297"/>
      <c r="G3" s="297"/>
      <c r="H3" s="297"/>
      <c r="M3" s="76"/>
      <c r="N3" s="71"/>
    </row>
    <row r="4" spans="1:28" x14ac:dyDescent="0.25">
      <c r="B4" s="298"/>
      <c r="C4" s="298"/>
      <c r="D4" s="298"/>
      <c r="E4" s="298"/>
      <c r="F4" s="298"/>
      <c r="G4" s="298"/>
      <c r="H4" s="298"/>
    </row>
    <row r="6" spans="1:28" x14ac:dyDescent="0.25">
      <c r="A6" s="7" t="s">
        <v>22</v>
      </c>
      <c r="B6" s="72">
        <v>44494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4.24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618.15</v>
      </c>
      <c r="C12" s="15"/>
      <c r="D12" s="56"/>
      <c r="E12" s="16"/>
      <c r="F12" s="56"/>
      <c r="G12" s="56"/>
      <c r="H12" s="17"/>
      <c r="I12" s="83">
        <v>618.15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8">
        <v>143</v>
      </c>
      <c r="Q12" s="158">
        <v>7</v>
      </c>
      <c r="R12" s="159">
        <v>25.54</v>
      </c>
      <c r="S12" s="160"/>
      <c r="T12" s="160"/>
      <c r="U12" s="189">
        <f>((T12/U$10)*U$9)</f>
        <v>0</v>
      </c>
      <c r="V12" s="189">
        <f>R12*V$10</f>
        <v>0.19155</v>
      </c>
      <c r="W12" s="189">
        <f>+S12*V$10</f>
        <v>0</v>
      </c>
      <c r="X12" s="189">
        <f>+T12*X$10</f>
        <v>0</v>
      </c>
      <c r="Y12" s="189">
        <f>R12-V12</f>
        <v>25.34845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665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665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8">
        <v>144</v>
      </c>
      <c r="Q13" s="158">
        <v>7</v>
      </c>
      <c r="R13" s="159">
        <v>515.91</v>
      </c>
      <c r="S13" s="160"/>
      <c r="T13" s="161"/>
      <c r="U13" s="189">
        <f t="shared" ref="U13:U41" si="2">((T13/U$10)*U$9)</f>
        <v>0</v>
      </c>
      <c r="V13" s="189">
        <f t="shared" ref="V13:V41" si="3">R13*V$10</f>
        <v>3.8693249999999995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512.04067499999996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2819.6000000000004</v>
      </c>
      <c r="C14" s="15"/>
      <c r="D14" s="56"/>
      <c r="E14" s="16"/>
      <c r="F14" s="56"/>
      <c r="G14" s="56"/>
      <c r="H14" s="17"/>
      <c r="I14" s="83"/>
      <c r="J14" s="81">
        <f t="shared" si="0"/>
        <v>2819.6000000000004</v>
      </c>
      <c r="K14" s="80"/>
      <c r="L14" s="213" t="s">
        <v>167</v>
      </c>
      <c r="M14" s="107"/>
      <c r="N14" s="104">
        <v>3</v>
      </c>
      <c r="O14" s="152" t="s">
        <v>69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665</v>
      </c>
      <c r="C19" s="95"/>
      <c r="D19" s="94"/>
      <c r="E19" s="96"/>
      <c r="F19" s="94"/>
      <c r="G19" s="94"/>
      <c r="H19" s="98"/>
      <c r="I19" s="99"/>
      <c r="J19" s="185">
        <f>B19-I19</f>
        <v>665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2819.6000000000004</v>
      </c>
      <c r="C20" s="95"/>
      <c r="D20" s="94"/>
      <c r="E20" s="96"/>
      <c r="F20" s="94"/>
      <c r="G20" s="94"/>
      <c r="H20" s="98"/>
      <c r="I20" s="99">
        <v>2839.55</v>
      </c>
      <c r="J20" s="185">
        <f t="shared" si="0"/>
        <v>-19.949999999999818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55.93</v>
      </c>
      <c r="C37" s="100"/>
      <c r="D37" s="66"/>
      <c r="E37" s="67"/>
      <c r="F37" s="66"/>
      <c r="G37" s="66"/>
      <c r="H37" s="102"/>
      <c r="I37" s="79">
        <v>55.93</v>
      </c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237.14320000000001</v>
      </c>
      <c r="C38" s="100"/>
      <c r="D38" s="66"/>
      <c r="E38" s="67"/>
      <c r="F38" s="66"/>
      <c r="G38" s="66"/>
      <c r="H38" s="102"/>
      <c r="I38" s="79">
        <v>237.14</v>
      </c>
      <c r="J38" s="81">
        <f t="shared" si="0"/>
        <v>3.2000000000209639E-3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3" t="s">
        <v>107</v>
      </c>
      <c r="O42" s="294"/>
      <c r="P42" s="294"/>
      <c r="Q42" s="295"/>
      <c r="R42" s="190">
        <f t="shared" ref="R42:AA42" si="8">SUM(R12:R41)</f>
        <v>541.44999999999993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4.0608749999999993</v>
      </c>
      <c r="W42" s="190">
        <f t="shared" si="8"/>
        <v>0</v>
      </c>
      <c r="X42" s="190">
        <f t="shared" si="8"/>
        <v>0</v>
      </c>
      <c r="Y42" s="190">
        <f t="shared" si="8"/>
        <v>537.38912499999992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55.93</v>
      </c>
      <c r="C43" s="95"/>
      <c r="D43" s="94"/>
      <c r="E43" s="96"/>
      <c r="F43" s="94"/>
      <c r="G43" s="94"/>
      <c r="H43" s="98"/>
      <c r="I43" s="99">
        <v>55.93</v>
      </c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237.14320000000001</v>
      </c>
      <c r="C44" s="95"/>
      <c r="D44" s="94"/>
      <c r="E44" s="96"/>
      <c r="F44" s="94"/>
      <c r="G44" s="94"/>
      <c r="H44" s="98"/>
      <c r="I44" s="99">
        <v>237.14</v>
      </c>
      <c r="J44" s="185">
        <f t="shared" si="0"/>
        <v>3.2000000000209639E-3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541.44999999999993</v>
      </c>
      <c r="C46" s="116">
        <v>7.4999999999999997E-3</v>
      </c>
      <c r="D46" s="117">
        <f>B46*C46</f>
        <v>4.0608749999999993</v>
      </c>
      <c r="E46" s="172">
        <v>0</v>
      </c>
      <c r="F46" s="117">
        <f t="shared" ref="F46:F50" si="15">D46*E46</f>
        <v>0</v>
      </c>
      <c r="G46" s="117">
        <f t="shared" ref="G46:G51" si="16">B46-D46-F46</f>
        <v>537.38912499999992</v>
      </c>
      <c r="H46" s="173">
        <f>B$6+1</f>
        <v>44495</v>
      </c>
      <c r="I46" s="174"/>
      <c r="J46" s="81">
        <f t="shared" si="0"/>
        <v>541.44999999999993</v>
      </c>
      <c r="K46" s="80"/>
      <c r="L46" s="186">
        <f t="shared" ref="L46:L64" si="17">+G46-K46</f>
        <v>537.38912499999992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44495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44495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3101.61</v>
      </c>
      <c r="C49" s="116">
        <v>7.4999999999999997E-3</v>
      </c>
      <c r="D49" s="117">
        <f t="shared" si="18"/>
        <v>23.262074999999999</v>
      </c>
      <c r="E49" s="172">
        <v>0</v>
      </c>
      <c r="F49" s="117">
        <f t="shared" si="15"/>
        <v>0</v>
      </c>
      <c r="G49" s="117">
        <f t="shared" si="16"/>
        <v>3078.347925</v>
      </c>
      <c r="H49" s="173">
        <f t="shared" si="19"/>
        <v>44495</v>
      </c>
      <c r="I49" s="176"/>
      <c r="J49" s="81">
        <f t="shared" si="0"/>
        <v>3101.61</v>
      </c>
      <c r="K49" s="80"/>
      <c r="L49" s="186">
        <f t="shared" si="17"/>
        <v>3078.347925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0</v>
      </c>
      <c r="C50" s="116">
        <v>7.4999999999999997E-3</v>
      </c>
      <c r="D50" s="117">
        <f t="shared" si="18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44495</v>
      </c>
      <c r="I50" s="175"/>
      <c r="J50" s="81">
        <f t="shared" si="0"/>
        <v>0</v>
      </c>
      <c r="K50" s="80"/>
      <c r="L50" s="186">
        <f t="shared" si="17"/>
        <v>0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44495</v>
      </c>
      <c r="I51" s="175"/>
      <c r="J51" s="81">
        <f t="shared" si="0"/>
        <v>0</v>
      </c>
      <c r="K51" s="80"/>
      <c r="L51" s="186">
        <f t="shared" si="17"/>
        <v>0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44495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44495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44495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44495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44495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2.5000000000000001E-2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44497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2.5000000000000001E-2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44499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44524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27.322949999999999</v>
      </c>
      <c r="E61" s="177"/>
      <c r="F61" s="57">
        <f>SUM(F46:F58)</f>
        <v>0</v>
      </c>
      <c r="G61" s="57">
        <f>SUM(G46:G58)</f>
        <v>3615.7370499999997</v>
      </c>
      <c r="H61" s="173">
        <f t="shared" si="19"/>
        <v>44495</v>
      </c>
      <c r="I61" s="175"/>
      <c r="J61" s="81">
        <f t="shared" si="0"/>
        <v>0</v>
      </c>
      <c r="K61" s="80"/>
      <c r="L61" s="186">
        <f t="shared" si="17"/>
        <v>3615.7370499999997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44495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2" t="s">
        <v>109</v>
      </c>
      <c r="O63" s="282"/>
      <c r="P63" s="282"/>
      <c r="Q63" s="28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7231.4740999999995</v>
      </c>
      <c r="H64" s="184"/>
      <c r="I64" s="175"/>
      <c r="J64" s="81">
        <f t="shared" si="0"/>
        <v>0</v>
      </c>
      <c r="K64" s="80"/>
      <c r="L64" s="186">
        <f t="shared" si="17"/>
        <v>7231.4740999999995</v>
      </c>
      <c r="M64" s="130"/>
      <c r="N64" s="87">
        <v>1</v>
      </c>
      <c r="O64" s="122" t="s">
        <v>199</v>
      </c>
      <c r="P64" s="87"/>
      <c r="Q64" s="87"/>
      <c r="R64" s="13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7317.9531999999999</v>
      </c>
      <c r="G65" s="22"/>
      <c r="L65" s="132"/>
      <c r="M65" s="131"/>
      <c r="N65" s="87">
        <v>2</v>
      </c>
      <c r="O65" s="122" t="s">
        <v>172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172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9" t="s">
        <v>20</v>
      </c>
      <c r="B67" s="300"/>
      <c r="F67" s="301" t="s">
        <v>136</v>
      </c>
      <c r="G67" s="301"/>
      <c r="H67" s="301"/>
      <c r="I67" s="302" t="s">
        <v>138</v>
      </c>
      <c r="J67" s="303"/>
      <c r="K67" s="138"/>
      <c r="N67" s="87">
        <v>4</v>
      </c>
      <c r="O67" s="122" t="s">
        <v>172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7316.2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172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7316.2</v>
      </c>
      <c r="C69" s="59"/>
      <c r="F69" s="87" t="s">
        <v>129</v>
      </c>
      <c r="G69" s="22"/>
      <c r="H69" s="89"/>
      <c r="I69" s="136"/>
      <c r="J69" s="136">
        <f>K52</f>
        <v>0</v>
      </c>
      <c r="N69" s="282" t="s">
        <v>110</v>
      </c>
      <c r="O69" s="282"/>
      <c r="P69" s="283"/>
      <c r="Q69" s="28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B68-B67</f>
        <v>7316.2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197</v>
      </c>
      <c r="P70" s="87">
        <v>338</v>
      </c>
      <c r="Q70" s="87">
        <v>2003</v>
      </c>
      <c r="R70" s="137">
        <v>490.77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3.6807749999999997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487.089225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1.7532000000001062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197</v>
      </c>
      <c r="P71" s="87">
        <v>339</v>
      </c>
      <c r="Q71" s="87">
        <v>2003</v>
      </c>
      <c r="R71" s="137">
        <v>533.34</v>
      </c>
      <c r="S71" s="87"/>
      <c r="T71" s="137"/>
      <c r="U71" s="189">
        <f t="shared" si="34"/>
        <v>0</v>
      </c>
      <c r="V71" s="189">
        <f t="shared" si="35"/>
        <v>4.0000499999999999</v>
      </c>
      <c r="W71" s="189">
        <f t="shared" si="36"/>
        <v>0</v>
      </c>
      <c r="X71" s="189">
        <f t="shared" si="37"/>
        <v>0</v>
      </c>
      <c r="Y71" s="189">
        <f t="shared" si="38"/>
        <v>529.33995000000004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197</v>
      </c>
      <c r="P72" s="87" t="s">
        <v>239</v>
      </c>
      <c r="Q72" s="87">
        <v>2002</v>
      </c>
      <c r="R72" s="137">
        <f>670.28+416.29</f>
        <v>1086.57</v>
      </c>
      <c r="S72" s="87"/>
      <c r="T72" s="137"/>
      <c r="U72" s="189">
        <f t="shared" si="34"/>
        <v>0</v>
      </c>
      <c r="V72" s="189">
        <f t="shared" si="35"/>
        <v>8.1492749999999994</v>
      </c>
      <c r="W72" s="189">
        <f t="shared" si="36"/>
        <v>0</v>
      </c>
      <c r="X72" s="189">
        <f t="shared" si="37"/>
        <v>0</v>
      </c>
      <c r="Y72" s="189">
        <f t="shared" si="38"/>
        <v>1078.4207249999999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198</v>
      </c>
      <c r="P73" s="87">
        <v>354</v>
      </c>
      <c r="Q73" s="87">
        <v>2002</v>
      </c>
      <c r="R73" s="137">
        <v>535.78</v>
      </c>
      <c r="S73" s="87"/>
      <c r="T73" s="87"/>
      <c r="U73" s="189">
        <f t="shared" si="34"/>
        <v>0</v>
      </c>
      <c r="V73" s="189">
        <f t="shared" si="35"/>
        <v>4.0183499999999999</v>
      </c>
      <c r="W73" s="189">
        <f t="shared" si="36"/>
        <v>0</v>
      </c>
      <c r="X73" s="189">
        <f t="shared" si="37"/>
        <v>0</v>
      </c>
      <c r="Y73" s="189">
        <f t="shared" si="38"/>
        <v>531.76164999999992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198</v>
      </c>
      <c r="P74" s="87">
        <v>355</v>
      </c>
      <c r="Q74" s="87">
        <v>2002</v>
      </c>
      <c r="R74" s="137">
        <v>455.15</v>
      </c>
      <c r="S74" s="87"/>
      <c r="T74" s="87"/>
      <c r="U74" s="189">
        <f t="shared" si="34"/>
        <v>0</v>
      </c>
      <c r="V74" s="189">
        <f t="shared" si="35"/>
        <v>3.4136249999999997</v>
      </c>
      <c r="W74" s="189">
        <f t="shared" si="36"/>
        <v>0</v>
      </c>
      <c r="X74" s="189">
        <f t="shared" si="37"/>
        <v>0</v>
      </c>
      <c r="Y74" s="189">
        <f t="shared" si="38"/>
        <v>451.73637499999995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2" t="s">
        <v>128</v>
      </c>
      <c r="O75" s="282"/>
      <c r="P75" s="283"/>
      <c r="Q75" s="283"/>
      <c r="R75" s="192">
        <f>SUM(R70:R74)</f>
        <v>3101.61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23.262074999999999</v>
      </c>
      <c r="W75" s="192">
        <f t="shared" si="41"/>
        <v>0</v>
      </c>
      <c r="X75" s="192">
        <f t="shared" si="41"/>
        <v>0</v>
      </c>
      <c r="Y75" s="192">
        <f t="shared" si="41"/>
        <v>3078.347925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4" t="s">
        <v>73</v>
      </c>
      <c r="O76" s="286" t="s">
        <v>67</v>
      </c>
      <c r="P76" s="282" t="s">
        <v>62</v>
      </c>
      <c r="Q76" s="282"/>
      <c r="R76" s="282"/>
      <c r="S76" s="282"/>
      <c r="T76" s="282"/>
      <c r="U76" s="288" t="s">
        <v>68</v>
      </c>
      <c r="V76" s="289"/>
      <c r="W76" s="289"/>
      <c r="X76" s="289"/>
      <c r="Y76" s="290"/>
      <c r="Z76" s="279" t="s">
        <v>54</v>
      </c>
      <c r="AA76" s="279" t="s">
        <v>64</v>
      </c>
      <c r="AB76" s="279" t="s">
        <v>124</v>
      </c>
      <c r="AC76" s="280" t="s">
        <v>127</v>
      </c>
      <c r="AD76" s="281" t="s">
        <v>65</v>
      </c>
    </row>
    <row r="77" spans="1:30" ht="15.75" x14ac:dyDescent="0.25">
      <c r="E77" s="232"/>
      <c r="F77" s="304"/>
      <c r="G77" s="304"/>
      <c r="H77" s="228"/>
      <c r="I77" s="232"/>
      <c r="J77" s="232"/>
      <c r="N77" s="285"/>
      <c r="O77" s="287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79"/>
      <c r="AA77" s="279"/>
      <c r="AB77" s="279"/>
      <c r="AC77" s="280" t="s">
        <v>127</v>
      </c>
      <c r="AD77" s="281"/>
    </row>
    <row r="78" spans="1:30" ht="15.75" x14ac:dyDescent="0.25">
      <c r="E78" s="232"/>
      <c r="F78" s="229"/>
      <c r="G78" s="229"/>
      <c r="H78" s="230"/>
      <c r="I78" s="87"/>
      <c r="J78" s="87"/>
      <c r="N78" s="87">
        <v>1</v>
      </c>
      <c r="O78" s="87" t="s">
        <v>112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E79" s="232"/>
      <c r="F79" s="229"/>
      <c r="G79" s="63"/>
      <c r="H79" s="231"/>
      <c r="I79" s="87"/>
      <c r="J79" s="87"/>
      <c r="N79" s="87">
        <v>2</v>
      </c>
      <c r="O79" s="87" t="s">
        <v>112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15.75" x14ac:dyDescent="0.25">
      <c r="E80" s="232"/>
      <c r="F80" s="87"/>
      <c r="G80" s="137"/>
      <c r="H80" s="234"/>
      <c r="I80" s="87"/>
      <c r="J80" s="87"/>
      <c r="N80" s="87">
        <v>3</v>
      </c>
      <c r="O80" s="87" t="s">
        <v>112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5:30" ht="15.75" x14ac:dyDescent="0.25">
      <c r="E81" s="232"/>
      <c r="F81" s="87"/>
      <c r="G81" s="137"/>
      <c r="H81" s="227"/>
      <c r="I81" s="87"/>
      <c r="J81" s="87"/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5:30" ht="15.75" x14ac:dyDescent="0.25">
      <c r="E82" s="232"/>
      <c r="F82" s="87"/>
      <c r="G82" s="137"/>
      <c r="H82" s="87"/>
      <c r="I82" s="87"/>
      <c r="J82" s="87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5:30" ht="15.75" x14ac:dyDescent="0.25">
      <c r="E83" s="233"/>
      <c r="F83" s="87"/>
      <c r="G83" s="137"/>
      <c r="H83" s="87"/>
      <c r="I83" s="87"/>
      <c r="J83" s="87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5:30" ht="15.75" x14ac:dyDescent="0.25">
      <c r="E84" s="232"/>
      <c r="F84" s="87"/>
      <c r="G84" s="87"/>
      <c r="H84" s="89"/>
      <c r="I84" s="87"/>
      <c r="J84" s="87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5:30" ht="15.75" x14ac:dyDescent="0.25">
      <c r="E85" s="232"/>
      <c r="F85" s="87"/>
      <c r="G85" s="87"/>
      <c r="H85" s="87"/>
      <c r="I85" s="87"/>
      <c r="J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5:30" ht="15.75" x14ac:dyDescent="0.25">
      <c r="E86" s="232"/>
      <c r="F86" s="87"/>
      <c r="G86" s="81"/>
      <c r="H86" s="87"/>
      <c r="I86" s="87"/>
      <c r="J86" s="87"/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217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5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5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5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5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5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5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5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5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5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5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15">
        <f>P78+Q78+U78</f>
        <v>0</v>
      </c>
    </row>
    <row r="101" spans="14:30" x14ac:dyDescent="0.25">
      <c r="N101" s="85"/>
      <c r="P101" s="215">
        <f>P79+Q79+U79</f>
        <v>0</v>
      </c>
    </row>
    <row r="102" spans="14:30" x14ac:dyDescent="0.25">
      <c r="N102" s="85"/>
      <c r="P102" s="215">
        <f>P80+U80+Q80</f>
        <v>0</v>
      </c>
    </row>
    <row r="103" spans="14:30" x14ac:dyDescent="0.25">
      <c r="N103" s="85"/>
      <c r="P103" s="215">
        <f>P81+Q81+U81</f>
        <v>0</v>
      </c>
    </row>
    <row r="104" spans="14:30" x14ac:dyDescent="0.25">
      <c r="N104" s="85"/>
      <c r="P104" s="215">
        <f>P82+U82+Q82</f>
        <v>0</v>
      </c>
    </row>
    <row r="105" spans="14:30" x14ac:dyDescent="0.25">
      <c r="N105" s="85"/>
      <c r="P105" s="212">
        <f>P83+Q83+U83</f>
        <v>0</v>
      </c>
    </row>
    <row r="106" spans="14:30" x14ac:dyDescent="0.25">
      <c r="N106" s="85"/>
      <c r="P106" s="225">
        <f>P86+Q86+U86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3" priority="1" operator="greaterThan">
      <formula>0</formula>
    </cfRule>
    <cfRule type="cellIs" dxfId="1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K1" zoomScale="90" zoomScaleNormal="90" workbookViewId="0">
      <selection activeCell="U30" sqref="U30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71093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59"/>
      <c r="B1" s="296"/>
      <c r="C1" s="296"/>
      <c r="D1" s="296"/>
      <c r="E1" s="296"/>
      <c r="F1" s="296"/>
      <c r="G1" s="296"/>
      <c r="H1" s="296"/>
      <c r="M1" s="76"/>
      <c r="N1" s="71"/>
    </row>
    <row r="2" spans="1:28" s="84" customFormat="1" ht="16.5" customHeight="1" x14ac:dyDescent="0.35">
      <c r="A2" s="259"/>
      <c r="B2" s="296" t="s">
        <v>12</v>
      </c>
      <c r="C2" s="296"/>
      <c r="D2" s="296"/>
      <c r="E2" s="296"/>
      <c r="F2" s="296"/>
      <c r="G2" s="296"/>
      <c r="H2" s="296"/>
      <c r="M2" s="76"/>
      <c r="N2" s="71"/>
    </row>
    <row r="3" spans="1:28" s="84" customFormat="1" ht="21.75" customHeight="1" x14ac:dyDescent="0.25">
      <c r="A3" s="259"/>
      <c r="B3" s="297" t="s">
        <v>188</v>
      </c>
      <c r="C3" s="297"/>
      <c r="D3" s="297"/>
      <c r="E3" s="297"/>
      <c r="F3" s="297"/>
      <c r="G3" s="297"/>
      <c r="H3" s="297"/>
      <c r="M3" s="76"/>
      <c r="N3" s="71"/>
    </row>
    <row r="4" spans="1:28" x14ac:dyDescent="0.25">
      <c r="B4" s="298"/>
      <c r="C4" s="298"/>
      <c r="D4" s="298"/>
      <c r="E4" s="298"/>
      <c r="F4" s="298"/>
      <c r="G4" s="298"/>
      <c r="H4" s="298"/>
    </row>
    <row r="6" spans="1:28" x14ac:dyDescent="0.25">
      <c r="A6" s="7" t="s">
        <v>22</v>
      </c>
      <c r="B6" s="72">
        <v>44495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4.2699999999999996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289</v>
      </c>
      <c r="C12" s="15"/>
      <c r="D12" s="56"/>
      <c r="E12" s="16"/>
      <c r="F12" s="56"/>
      <c r="G12" s="56"/>
      <c r="H12" s="17"/>
      <c r="I12" s="83">
        <v>289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8">
        <v>145</v>
      </c>
      <c r="Q12" s="158">
        <v>7</v>
      </c>
      <c r="R12" s="159">
        <v>61.63</v>
      </c>
      <c r="S12" s="160"/>
      <c r="T12" s="160"/>
      <c r="U12" s="189">
        <f>((T12/U$10)*U$9)</f>
        <v>0</v>
      </c>
      <c r="V12" s="189">
        <f>R12*V$10</f>
        <v>0.462225</v>
      </c>
      <c r="W12" s="189">
        <f>+S12*V$10</f>
        <v>0</v>
      </c>
      <c r="X12" s="189">
        <f>+T12*X$10</f>
        <v>0</v>
      </c>
      <c r="Y12" s="189">
        <f>R12-V12</f>
        <v>61.167775000000006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478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478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8">
        <v>146</v>
      </c>
      <c r="Q13" s="158">
        <v>7</v>
      </c>
      <c r="R13" s="159">
        <v>362.97</v>
      </c>
      <c r="S13" s="160"/>
      <c r="T13" s="161">
        <v>21.21</v>
      </c>
      <c r="U13" s="189">
        <f t="shared" ref="U13:U41" si="2">((T13/U$10)*U$9)</f>
        <v>0.91422413793103452</v>
      </c>
      <c r="V13" s="189">
        <f t="shared" ref="V13:V41" si="3">R13*V$10</f>
        <v>2.7222750000000002</v>
      </c>
      <c r="W13" s="189">
        <f t="shared" ref="W13:W41" si="4">+S13*V$10</f>
        <v>0</v>
      </c>
      <c r="X13" s="189">
        <f t="shared" ref="X13:X41" si="5">+T13*X$10</f>
        <v>0.53025</v>
      </c>
      <c r="Y13" s="189">
        <f t="shared" ref="Y13:Z41" si="6">R13-V13</f>
        <v>360.247725</v>
      </c>
      <c r="Z13" s="189">
        <f t="shared" si="6"/>
        <v>0</v>
      </c>
      <c r="AA13" s="189">
        <f t="shared" ref="AA13:AA41" si="7">T13-U13-X13</f>
        <v>19.765525862068966</v>
      </c>
      <c r="AB13" s="156"/>
    </row>
    <row r="14" spans="1:28" ht="15.75" x14ac:dyDescent="0.25">
      <c r="A14" s="86" t="s">
        <v>83</v>
      </c>
      <c r="B14" s="57">
        <f>B13*B8</f>
        <v>2041.0599999999997</v>
      </c>
      <c r="C14" s="15"/>
      <c r="D14" s="56"/>
      <c r="E14" s="16"/>
      <c r="F14" s="56"/>
      <c r="G14" s="56"/>
      <c r="H14" s="17"/>
      <c r="I14" s="83"/>
      <c r="J14" s="81">
        <f t="shared" si="0"/>
        <v>2041.0599999999997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8"/>
      <c r="Q14" s="158"/>
      <c r="R14" s="159"/>
      <c r="S14" s="160"/>
      <c r="T14" s="161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8"/>
      <c r="Q15" s="158"/>
      <c r="R15" s="159"/>
      <c r="S15" s="160"/>
      <c r="T15" s="161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8"/>
      <c r="Q16" s="158"/>
      <c r="R16" s="159"/>
      <c r="S16" s="160"/>
      <c r="T16" s="161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8"/>
      <c r="Q17" s="158"/>
      <c r="R17" s="159"/>
      <c r="S17" s="160"/>
      <c r="T17" s="161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8"/>
      <c r="Q18" s="158"/>
      <c r="R18" s="159"/>
      <c r="S18" s="160"/>
      <c r="T18" s="161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478</v>
      </c>
      <c r="C19" s="95"/>
      <c r="D19" s="94"/>
      <c r="E19" s="96"/>
      <c r="F19" s="94"/>
      <c r="G19" s="94"/>
      <c r="H19" s="98"/>
      <c r="I19" s="99"/>
      <c r="J19" s="185">
        <f>B19-I19</f>
        <v>478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2041.0599999999997</v>
      </c>
      <c r="C20" s="95"/>
      <c r="D20" s="94"/>
      <c r="E20" s="96"/>
      <c r="F20" s="94"/>
      <c r="G20" s="94"/>
      <c r="H20" s="98"/>
      <c r="I20" s="99">
        <v>2050.62</v>
      </c>
      <c r="J20" s="185">
        <f t="shared" si="0"/>
        <v>-9.5600000000001728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3" t="s">
        <v>107</v>
      </c>
      <c r="O42" s="294"/>
      <c r="P42" s="294"/>
      <c r="Q42" s="295"/>
      <c r="R42" s="190">
        <f t="shared" ref="R42:AA42" si="8">SUM(R12:R41)</f>
        <v>424.6</v>
      </c>
      <c r="S42" s="190">
        <f t="shared" si="8"/>
        <v>0</v>
      </c>
      <c r="T42" s="190">
        <f t="shared" si="8"/>
        <v>21.21</v>
      </c>
      <c r="U42" s="190">
        <f t="shared" si="8"/>
        <v>0.91422413793103452</v>
      </c>
      <c r="V42" s="190">
        <f t="shared" si="8"/>
        <v>3.1845000000000003</v>
      </c>
      <c r="W42" s="190">
        <f t="shared" si="8"/>
        <v>0</v>
      </c>
      <c r="X42" s="190">
        <f t="shared" si="8"/>
        <v>0.53025</v>
      </c>
      <c r="Y42" s="190">
        <f t="shared" si="8"/>
        <v>421.41550000000001</v>
      </c>
      <c r="Z42" s="190">
        <f t="shared" si="8"/>
        <v>0</v>
      </c>
      <c r="AA42" s="190">
        <f t="shared" si="8"/>
        <v>19.765525862068966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424.6</v>
      </c>
      <c r="C46" s="116">
        <v>7.4999999999999997E-3</v>
      </c>
      <c r="D46" s="117">
        <f>B46*C46</f>
        <v>3.1844999999999999</v>
      </c>
      <c r="E46" s="172">
        <v>0</v>
      </c>
      <c r="F46" s="117">
        <f t="shared" ref="F46:F50" si="15">D46*E46</f>
        <v>0</v>
      </c>
      <c r="G46" s="117">
        <f t="shared" ref="G46:G51" si="16">B46-D46-F46</f>
        <v>421.41550000000001</v>
      </c>
      <c r="H46" s="173">
        <f>B$6+1</f>
        <v>44496</v>
      </c>
      <c r="I46" s="174">
        <v>21.21</v>
      </c>
      <c r="J46" s="81">
        <f t="shared" si="0"/>
        <v>403.39000000000004</v>
      </c>
      <c r="K46" s="80"/>
      <c r="L46" s="186">
        <f t="shared" ref="L46:L64" si="17">+G46-K46</f>
        <v>421.41550000000001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44496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44496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202</v>
      </c>
      <c r="B49" s="117">
        <f>R75</f>
        <v>2688.44</v>
      </c>
      <c r="C49" s="116">
        <v>7.4999999999999997E-3</v>
      </c>
      <c r="D49" s="117">
        <f t="shared" si="18"/>
        <v>20.1633</v>
      </c>
      <c r="E49" s="172">
        <v>0</v>
      </c>
      <c r="F49" s="117">
        <f t="shared" si="15"/>
        <v>0</v>
      </c>
      <c r="G49" s="117">
        <f t="shared" si="16"/>
        <v>2668.2766999999999</v>
      </c>
      <c r="H49" s="173">
        <f t="shared" si="19"/>
        <v>44496</v>
      </c>
      <c r="I49" s="176"/>
      <c r="J49" s="81">
        <f t="shared" si="0"/>
        <v>2688.44</v>
      </c>
      <c r="K49" s="80"/>
      <c r="L49" s="186">
        <f t="shared" si="17"/>
        <v>2668.2766999999999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0</v>
      </c>
      <c r="C50" s="116">
        <v>7.4999999999999997E-3</v>
      </c>
      <c r="D50" s="117">
        <f t="shared" si="18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44496</v>
      </c>
      <c r="I50" s="175"/>
      <c r="J50" s="81">
        <f t="shared" si="0"/>
        <v>0</v>
      </c>
      <c r="K50" s="80"/>
      <c r="L50" s="186">
        <f t="shared" si="17"/>
        <v>0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44496</v>
      </c>
      <c r="I51" s="175"/>
      <c r="J51" s="81">
        <f t="shared" si="0"/>
        <v>0</v>
      </c>
      <c r="K51" s="80"/>
      <c r="L51" s="186">
        <f t="shared" si="17"/>
        <v>0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21.21</v>
      </c>
      <c r="C52" s="116">
        <v>2.5000000000000001E-2</v>
      </c>
      <c r="D52" s="117">
        <f>B52*C52</f>
        <v>0.53025</v>
      </c>
      <c r="E52" s="172">
        <v>0.05</v>
      </c>
      <c r="F52" s="117">
        <f>(B52/E$10)*E52</f>
        <v>0.91422413793103452</v>
      </c>
      <c r="G52" s="117">
        <f>B52-D52-F52</f>
        <v>19.765525862068969</v>
      </c>
      <c r="H52" s="188">
        <f t="shared" si="19"/>
        <v>44496</v>
      </c>
      <c r="I52" s="176"/>
      <c r="J52" s="81">
        <f t="shared" si="0"/>
        <v>21.21</v>
      </c>
      <c r="K52" s="80"/>
      <c r="L52" s="186">
        <f t="shared" si="17"/>
        <v>19.765525862068969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44496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44496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44496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177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44496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44498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44500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44525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23.878049999999998</v>
      </c>
      <c r="E61" s="177"/>
      <c r="F61" s="57">
        <f>SUM(F46:F58)</f>
        <v>0.91422413793103452</v>
      </c>
      <c r="G61" s="57">
        <f>SUM(G46:G58)</f>
        <v>3109.4577258620689</v>
      </c>
      <c r="H61" s="173">
        <f t="shared" si="19"/>
        <v>44496</v>
      </c>
      <c r="I61" s="175"/>
      <c r="J61" s="81">
        <f t="shared" si="0"/>
        <v>0</v>
      </c>
      <c r="K61" s="80"/>
      <c r="L61" s="186">
        <f t="shared" si="17"/>
        <v>3109.4577258620689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44496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2" t="s">
        <v>109</v>
      </c>
      <c r="O63" s="282"/>
      <c r="P63" s="282"/>
      <c r="Q63" s="28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6218.9154517241377</v>
      </c>
      <c r="H64" s="184"/>
      <c r="I64" s="175"/>
      <c r="J64" s="81">
        <f t="shared" si="0"/>
        <v>0</v>
      </c>
      <c r="K64" s="80"/>
      <c r="L64" s="186">
        <f t="shared" si="17"/>
        <v>6218.9154517241377</v>
      </c>
      <c r="M64" s="130"/>
      <c r="N64" s="87">
        <v>1</v>
      </c>
      <c r="O64" s="122" t="s">
        <v>176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5464.3099999999995</v>
      </c>
      <c r="G65" s="22"/>
      <c r="L65" s="132"/>
      <c r="M65" s="131"/>
      <c r="N65" s="87">
        <v>2</v>
      </c>
      <c r="O65" s="122" t="s">
        <v>176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176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9" t="s">
        <v>20</v>
      </c>
      <c r="B67" s="300"/>
      <c r="F67" s="301" t="s">
        <v>136</v>
      </c>
      <c r="G67" s="301"/>
      <c r="H67" s="301"/>
      <c r="I67" s="302" t="s">
        <v>138</v>
      </c>
      <c r="J67" s="303"/>
      <c r="K67" s="138"/>
      <c r="N67" s="87">
        <v>4</v>
      </c>
      <c r="O67" s="122" t="s">
        <v>176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5430.98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176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5430.98</v>
      </c>
      <c r="C69" s="59"/>
      <c r="F69" s="87" t="s">
        <v>129</v>
      </c>
      <c r="G69" s="22"/>
      <c r="H69" s="89"/>
      <c r="I69" s="136"/>
      <c r="J69" s="136">
        <f>K52</f>
        <v>0</v>
      </c>
      <c r="N69" s="282" t="s">
        <v>110</v>
      </c>
      <c r="O69" s="282"/>
      <c r="P69" s="283"/>
      <c r="Q69" s="28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B68-B67</f>
        <v>5430.98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200</v>
      </c>
      <c r="P70" s="229">
        <v>340</v>
      </c>
      <c r="Q70" s="229">
        <v>2003</v>
      </c>
      <c r="R70" s="222">
        <v>431.18</v>
      </c>
      <c r="S70" s="229"/>
      <c r="T70" s="87"/>
      <c r="U70" s="189">
        <f t="shared" ref="U70:U74" si="34">((T70/U$10)*U$9)</f>
        <v>0</v>
      </c>
      <c r="V70" s="189">
        <f t="shared" ref="V70:V74" si="35">R70*V$10</f>
        <v>3.2338499999999999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427.94614999999999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33.329999999999927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200</v>
      </c>
      <c r="P71" s="229" t="s">
        <v>241</v>
      </c>
      <c r="Q71" s="229">
        <v>2002</v>
      </c>
      <c r="R71" s="222">
        <f>481.87+331.46</f>
        <v>813.32999999999993</v>
      </c>
      <c r="S71" s="229"/>
      <c r="T71" s="87"/>
      <c r="U71" s="189">
        <f t="shared" si="34"/>
        <v>0</v>
      </c>
      <c r="V71" s="189">
        <f t="shared" si="35"/>
        <v>6.0999749999999988</v>
      </c>
      <c r="W71" s="189">
        <f t="shared" si="36"/>
        <v>0</v>
      </c>
      <c r="X71" s="189">
        <f t="shared" si="37"/>
        <v>0</v>
      </c>
      <c r="Y71" s="189">
        <f t="shared" si="38"/>
        <v>807.23002499999996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200</v>
      </c>
      <c r="P72" s="229" t="s">
        <v>240</v>
      </c>
      <c r="Q72" s="229">
        <v>2003</v>
      </c>
      <c r="R72" s="222">
        <f>788+427.2</f>
        <v>1215.2</v>
      </c>
      <c r="S72" s="229"/>
      <c r="T72" s="87"/>
      <c r="U72" s="189">
        <f t="shared" si="34"/>
        <v>0</v>
      </c>
      <c r="V72" s="189">
        <f t="shared" si="35"/>
        <v>9.1140000000000008</v>
      </c>
      <c r="W72" s="189">
        <f t="shared" si="36"/>
        <v>0</v>
      </c>
      <c r="X72" s="189">
        <f t="shared" si="37"/>
        <v>0</v>
      </c>
      <c r="Y72" s="189">
        <f t="shared" si="38"/>
        <v>1206.086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201</v>
      </c>
      <c r="P73" s="229"/>
      <c r="Q73" s="229"/>
      <c r="R73" s="222"/>
      <c r="S73" s="229"/>
      <c r="T73" s="137"/>
      <c r="U73" s="189">
        <f t="shared" si="34"/>
        <v>0</v>
      </c>
      <c r="V73" s="189">
        <f t="shared" si="35"/>
        <v>0</v>
      </c>
      <c r="W73" s="189">
        <f t="shared" si="36"/>
        <v>0</v>
      </c>
      <c r="X73" s="189">
        <f t="shared" si="37"/>
        <v>0</v>
      </c>
      <c r="Y73" s="189">
        <f t="shared" si="38"/>
        <v>0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201</v>
      </c>
      <c r="P74" s="229">
        <v>357</v>
      </c>
      <c r="Q74" s="229">
        <v>2002</v>
      </c>
      <c r="R74" s="222">
        <v>228.73</v>
      </c>
      <c r="S74" s="229"/>
      <c r="T74" s="87"/>
      <c r="U74" s="189">
        <f t="shared" si="34"/>
        <v>0</v>
      </c>
      <c r="V74" s="189">
        <f t="shared" si="35"/>
        <v>1.7154749999999999</v>
      </c>
      <c r="W74" s="189">
        <f t="shared" si="36"/>
        <v>0</v>
      </c>
      <c r="X74" s="189">
        <f t="shared" si="37"/>
        <v>0</v>
      </c>
      <c r="Y74" s="189">
        <f t="shared" si="38"/>
        <v>227.01452499999999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2" t="s">
        <v>128</v>
      </c>
      <c r="O75" s="282"/>
      <c r="P75" s="283"/>
      <c r="Q75" s="283"/>
      <c r="R75" s="192">
        <f>SUM(R70:R74)</f>
        <v>2688.44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20.163300000000003</v>
      </c>
      <c r="W75" s="192">
        <f t="shared" si="41"/>
        <v>0</v>
      </c>
      <c r="X75" s="192">
        <f t="shared" si="41"/>
        <v>0</v>
      </c>
      <c r="Y75" s="192">
        <f t="shared" si="41"/>
        <v>2668.2766999999999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4" t="s">
        <v>73</v>
      </c>
      <c r="O76" s="286" t="s">
        <v>67</v>
      </c>
      <c r="P76" s="282" t="s">
        <v>62</v>
      </c>
      <c r="Q76" s="282"/>
      <c r="R76" s="282"/>
      <c r="S76" s="282"/>
      <c r="T76" s="282"/>
      <c r="U76" s="288" t="s">
        <v>68</v>
      </c>
      <c r="V76" s="289"/>
      <c r="W76" s="289"/>
      <c r="X76" s="289"/>
      <c r="Y76" s="290"/>
      <c r="Z76" s="279" t="s">
        <v>54</v>
      </c>
      <c r="AA76" s="279" t="s">
        <v>64</v>
      </c>
      <c r="AB76" s="279" t="s">
        <v>124</v>
      </c>
      <c r="AC76" s="280" t="s">
        <v>127</v>
      </c>
      <c r="AD76" s="281" t="s">
        <v>65</v>
      </c>
    </row>
    <row r="77" spans="1:30" ht="60" x14ac:dyDescent="0.25">
      <c r="F77" s="291" t="s">
        <v>140</v>
      </c>
      <c r="G77" s="292"/>
      <c r="H77" s="141" t="s">
        <v>142</v>
      </c>
      <c r="N77" s="285"/>
      <c r="O77" s="287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79"/>
      <c r="AA77" s="279"/>
      <c r="AB77" s="279"/>
      <c r="AC77" s="280" t="s">
        <v>127</v>
      </c>
      <c r="AD77" s="281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38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3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3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42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42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38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194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Q100" s="215">
        <f t="shared" ref="Q100:Q105" si="50">P78+Q78+U78</f>
        <v>0</v>
      </c>
    </row>
    <row r="101" spans="14:30" x14ac:dyDescent="0.25">
      <c r="N101" s="85"/>
      <c r="Q101" s="215">
        <f t="shared" si="50"/>
        <v>0</v>
      </c>
    </row>
    <row r="102" spans="14:30" x14ac:dyDescent="0.25">
      <c r="N102" s="85"/>
      <c r="Q102" s="215">
        <f t="shared" si="50"/>
        <v>0</v>
      </c>
    </row>
    <row r="103" spans="14:30" x14ac:dyDescent="0.25">
      <c r="N103" s="85"/>
      <c r="Q103" s="215">
        <f t="shared" si="50"/>
        <v>0</v>
      </c>
    </row>
    <row r="104" spans="14:30" x14ac:dyDescent="0.25">
      <c r="N104" s="85"/>
      <c r="Q104" s="215">
        <f t="shared" si="50"/>
        <v>0</v>
      </c>
    </row>
    <row r="105" spans="14:30" x14ac:dyDescent="0.25">
      <c r="N105" s="85"/>
      <c r="Q105" s="218">
        <f t="shared" si="50"/>
        <v>0</v>
      </c>
    </row>
    <row r="106" spans="14:30" x14ac:dyDescent="0.25">
      <c r="N106" s="85"/>
      <c r="Q106" s="225">
        <f>P86+Q86+U86</f>
        <v>0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1" priority="1" operator="greaterThan">
      <formula>0</formula>
    </cfRule>
    <cfRule type="cellIs" dxfId="1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52" zoomScale="90" zoomScaleNormal="90" workbookViewId="0">
      <selection activeCell="D32" sqref="D32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5703125" style="85" customWidth="1"/>
    <col min="16" max="17" width="17" style="85" customWidth="1"/>
    <col min="18" max="18" width="18.140625" style="85" customWidth="1"/>
    <col min="19" max="19" width="14.28515625" style="85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59"/>
      <c r="B1" s="296"/>
      <c r="C1" s="296"/>
      <c r="D1" s="296"/>
      <c r="E1" s="296"/>
      <c r="F1" s="296"/>
      <c r="G1" s="296"/>
      <c r="H1" s="296"/>
      <c r="M1" s="76"/>
      <c r="N1" s="71"/>
    </row>
    <row r="2" spans="1:28" s="84" customFormat="1" ht="16.5" customHeight="1" x14ac:dyDescent="0.35">
      <c r="A2" s="259"/>
      <c r="B2" s="296" t="s">
        <v>12</v>
      </c>
      <c r="C2" s="296"/>
      <c r="D2" s="296"/>
      <c r="E2" s="296"/>
      <c r="F2" s="296"/>
      <c r="G2" s="296"/>
      <c r="H2" s="296"/>
      <c r="M2" s="76"/>
      <c r="N2" s="71"/>
    </row>
    <row r="3" spans="1:28" s="84" customFormat="1" ht="21.75" customHeight="1" x14ac:dyDescent="0.25">
      <c r="A3" s="259"/>
      <c r="B3" s="297" t="s">
        <v>196</v>
      </c>
      <c r="C3" s="297"/>
      <c r="D3" s="297"/>
      <c r="E3" s="297"/>
      <c r="F3" s="297"/>
      <c r="G3" s="297"/>
      <c r="H3" s="297"/>
      <c r="M3" s="76"/>
      <c r="N3" s="71"/>
    </row>
    <row r="4" spans="1:28" x14ac:dyDescent="0.25">
      <c r="B4" s="298"/>
      <c r="C4" s="298"/>
      <c r="D4" s="298"/>
      <c r="E4" s="298"/>
      <c r="F4" s="298"/>
      <c r="G4" s="298"/>
      <c r="H4" s="298"/>
    </row>
    <row r="6" spans="1:28" x14ac:dyDescent="0.25">
      <c r="A6" s="7" t="s">
        <v>22</v>
      </c>
      <c r="B6" s="72">
        <v>44496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4.2699999999999996</v>
      </c>
      <c r="C8" s="85" t="s">
        <v>94</v>
      </c>
      <c r="D8" s="108"/>
    </row>
    <row r="9" spans="1:28" x14ac:dyDescent="0.25">
      <c r="A9" s="7" t="s">
        <v>78</v>
      </c>
      <c r="B9" s="108">
        <v>4.29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234.9</v>
      </c>
      <c r="C12" s="15"/>
      <c r="D12" s="56"/>
      <c r="E12" s="16"/>
      <c r="F12" s="56"/>
      <c r="G12" s="56"/>
      <c r="H12" s="17"/>
      <c r="I12" s="83">
        <v>234.9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>
        <v>147</v>
      </c>
      <c r="Q12" s="153">
        <v>7</v>
      </c>
      <c r="R12" s="154">
        <v>85.52</v>
      </c>
      <c r="S12" s="155"/>
      <c r="T12" s="155"/>
      <c r="U12" s="189">
        <f>((T12/U$10)*U$9)</f>
        <v>0</v>
      </c>
      <c r="V12" s="189">
        <f>R12*V$10</f>
        <v>0.64139999999999997</v>
      </c>
      <c r="W12" s="189">
        <f>+S12*V$10</f>
        <v>0</v>
      </c>
      <c r="X12" s="189">
        <f>+T12*X$10</f>
        <v>0</v>
      </c>
      <c r="Y12" s="189">
        <f>R12-V12</f>
        <v>84.878599999999992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52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52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0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222.03999999999996</v>
      </c>
      <c r="C14" s="15"/>
      <c r="D14" s="56"/>
      <c r="E14" s="16"/>
      <c r="F14" s="56"/>
      <c r="G14" s="56"/>
      <c r="H14" s="17"/>
      <c r="I14" s="83"/>
      <c r="J14" s="81">
        <f t="shared" si="0"/>
        <v>222.03999999999996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564</v>
      </c>
      <c r="C15" s="15"/>
      <c r="D15" s="56"/>
      <c r="E15" s="16"/>
      <c r="F15" s="56"/>
      <c r="G15" s="56"/>
      <c r="H15" s="17"/>
      <c r="I15" s="83"/>
      <c r="J15" s="81">
        <f t="shared" si="0"/>
        <v>564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2419.56</v>
      </c>
      <c r="C16" s="15"/>
      <c r="D16" s="56"/>
      <c r="E16" s="16"/>
      <c r="F16" s="56"/>
      <c r="G16" s="56"/>
      <c r="H16" s="17"/>
      <c r="I16" s="83"/>
      <c r="J16" s="81">
        <f t="shared" si="0"/>
        <v>2419.56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616</v>
      </c>
      <c r="C19" s="95"/>
      <c r="D19" s="94"/>
      <c r="E19" s="96"/>
      <c r="F19" s="94"/>
      <c r="G19" s="94"/>
      <c r="H19" s="98"/>
      <c r="I19" s="99"/>
      <c r="J19" s="185">
        <f>B19-I19</f>
        <v>616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2641.6</v>
      </c>
      <c r="C20" s="95"/>
      <c r="D20" s="94"/>
      <c r="E20" s="96"/>
      <c r="F20" s="94"/>
      <c r="G20" s="94"/>
      <c r="H20" s="98"/>
      <c r="I20" s="99">
        <v>2661.12</v>
      </c>
      <c r="J20" s="185">
        <f t="shared" si="0"/>
        <v>-19.519999999999982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3" t="s">
        <v>107</v>
      </c>
      <c r="O42" s="294"/>
      <c r="P42" s="294"/>
      <c r="Q42" s="295"/>
      <c r="R42" s="190">
        <f t="shared" ref="R42:AA42" si="8">SUM(R12:R41)</f>
        <v>85.52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0.64139999999999997</v>
      </c>
      <c r="W42" s="190">
        <f t="shared" si="8"/>
        <v>0</v>
      </c>
      <c r="X42" s="190">
        <f t="shared" si="8"/>
        <v>0</v>
      </c>
      <c r="Y42" s="190">
        <f t="shared" si="8"/>
        <v>84.878599999999992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85.52</v>
      </c>
      <c r="C46" s="116">
        <v>7.4999999999999997E-3</v>
      </c>
      <c r="D46" s="117">
        <f>B46*C46</f>
        <v>0.64139999999999997</v>
      </c>
      <c r="E46" s="172">
        <v>0</v>
      </c>
      <c r="F46" s="117">
        <f t="shared" ref="F46:F50" si="15">D46*E46</f>
        <v>0</v>
      </c>
      <c r="G46" s="117">
        <f t="shared" ref="G46:G51" si="16">B46-D46-F46</f>
        <v>84.878599999999992</v>
      </c>
      <c r="H46" s="173">
        <f>B$6+1</f>
        <v>44497</v>
      </c>
      <c r="I46" s="174"/>
      <c r="J46" s="81">
        <f t="shared" si="0"/>
        <v>85.52</v>
      </c>
      <c r="K46" s="80"/>
      <c r="L46" s="186">
        <f t="shared" ref="L46:L64" si="17">+G46-K46</f>
        <v>84.878599999999992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44497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44497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202</v>
      </c>
      <c r="B49" s="117">
        <f>R75</f>
        <v>3686.29</v>
      </c>
      <c r="C49" s="116">
        <v>7.4999999999999997E-3</v>
      </c>
      <c r="D49" s="117">
        <f t="shared" si="18"/>
        <v>27.647174999999997</v>
      </c>
      <c r="E49" s="172">
        <v>0</v>
      </c>
      <c r="F49" s="117">
        <f t="shared" si="15"/>
        <v>0</v>
      </c>
      <c r="G49" s="117">
        <f t="shared" si="16"/>
        <v>3658.6428249999999</v>
      </c>
      <c r="H49" s="173">
        <f t="shared" si="19"/>
        <v>44497</v>
      </c>
      <c r="I49" s="176"/>
      <c r="J49" s="81">
        <f t="shared" si="0"/>
        <v>3686.29</v>
      </c>
      <c r="K49" s="80"/>
      <c r="L49" s="186">
        <f t="shared" si="17"/>
        <v>3658.6428249999999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0</v>
      </c>
      <c r="C50" s="116">
        <v>7.4999999999999997E-3</v>
      </c>
      <c r="D50" s="117">
        <f t="shared" si="18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44497</v>
      </c>
      <c r="I50" s="175"/>
      <c r="J50" s="81">
        <f t="shared" si="0"/>
        <v>0</v>
      </c>
      <c r="K50" s="80"/>
      <c r="L50" s="186">
        <f t="shared" si="17"/>
        <v>0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44497</v>
      </c>
      <c r="I51" s="175"/>
      <c r="J51" s="81">
        <f t="shared" si="0"/>
        <v>0</v>
      </c>
      <c r="K51" s="80"/>
      <c r="L51" s="186">
        <f t="shared" si="17"/>
        <v>0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44497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44497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44497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44497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171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44497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44499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44501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44526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28.288574999999998</v>
      </c>
      <c r="E61" s="177"/>
      <c r="F61" s="57">
        <f>SUM(F46:F58)</f>
        <v>0</v>
      </c>
      <c r="G61" s="57">
        <f>SUM(G46:G58)</f>
        <v>3743.5214249999999</v>
      </c>
      <c r="H61" s="173">
        <f t="shared" si="19"/>
        <v>44497</v>
      </c>
      <c r="I61" s="175"/>
      <c r="J61" s="81">
        <f t="shared" si="0"/>
        <v>0</v>
      </c>
      <c r="K61" s="80"/>
      <c r="L61" s="186">
        <f t="shared" si="17"/>
        <v>3743.5214249999999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44497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2" t="s">
        <v>109</v>
      </c>
      <c r="O63" s="282"/>
      <c r="P63" s="282"/>
      <c r="Q63" s="28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7487.0428499999998</v>
      </c>
      <c r="H64" s="184"/>
      <c r="I64" s="175"/>
      <c r="J64" s="81">
        <f t="shared" si="0"/>
        <v>0</v>
      </c>
      <c r="K64" s="80"/>
      <c r="L64" s="186">
        <f t="shared" si="17"/>
        <v>7487.0428499999998</v>
      </c>
      <c r="M64" s="130"/>
      <c r="N64" s="87">
        <v>1</v>
      </c>
      <c r="O64" s="122" t="s">
        <v>176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6648.3099999999995</v>
      </c>
      <c r="G65" s="22"/>
      <c r="L65" s="132"/>
      <c r="M65" s="131"/>
      <c r="N65" s="87">
        <v>2</v>
      </c>
      <c r="O65" s="122" t="s">
        <v>176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176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9" t="s">
        <v>20</v>
      </c>
      <c r="B67" s="300"/>
      <c r="F67" s="301" t="s">
        <v>136</v>
      </c>
      <c r="G67" s="301"/>
      <c r="H67" s="301"/>
      <c r="I67" s="302" t="s">
        <v>138</v>
      </c>
      <c r="J67" s="303"/>
      <c r="K67" s="138"/>
      <c r="N67" s="87">
        <v>4</v>
      </c>
      <c r="O67" s="122" t="s">
        <v>176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6645.24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176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6645.24</v>
      </c>
      <c r="C69" s="59"/>
      <c r="F69" s="87" t="s">
        <v>129</v>
      </c>
      <c r="G69" s="22"/>
      <c r="H69" s="89">
        <f>+G52</f>
        <v>0</v>
      </c>
      <c r="I69" s="136"/>
      <c r="J69" s="136">
        <f>K52</f>
        <v>0</v>
      </c>
      <c r="N69" s="282" t="s">
        <v>110</v>
      </c>
      <c r="O69" s="282"/>
      <c r="P69" s="283"/>
      <c r="Q69" s="28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B68-B67</f>
        <v>6645.24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194</v>
      </c>
      <c r="P70" s="87">
        <v>342</v>
      </c>
      <c r="Q70" s="87">
        <v>2003</v>
      </c>
      <c r="R70" s="137">
        <v>898.11</v>
      </c>
      <c r="S70" s="87"/>
      <c r="T70" s="137"/>
      <c r="U70" s="189">
        <f t="shared" ref="U70:U74" si="34">((T70/U$10)*U$9)</f>
        <v>0</v>
      </c>
      <c r="V70" s="189">
        <f t="shared" ref="V70:V74" si="35">R70*V$10</f>
        <v>6.7358250000000002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891.37417500000004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3.069999999999709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194</v>
      </c>
      <c r="P71" s="87">
        <v>359</v>
      </c>
      <c r="Q71" s="87">
        <v>2002</v>
      </c>
      <c r="R71" s="137">
        <v>542.84</v>
      </c>
      <c r="S71" s="87"/>
      <c r="T71" s="137"/>
      <c r="U71" s="189">
        <f t="shared" si="34"/>
        <v>0</v>
      </c>
      <c r="V71" s="189">
        <f t="shared" si="35"/>
        <v>4.0712999999999999</v>
      </c>
      <c r="W71" s="189">
        <f t="shared" si="36"/>
        <v>0</v>
      </c>
      <c r="X71" s="189">
        <f t="shared" si="37"/>
        <v>0</v>
      </c>
      <c r="Y71" s="189">
        <f t="shared" si="38"/>
        <v>538.76870000000008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194</v>
      </c>
      <c r="P72" s="87" t="s">
        <v>242</v>
      </c>
      <c r="Q72" s="87">
        <v>2002</v>
      </c>
      <c r="R72" s="137">
        <f>963.22+698.86</f>
        <v>1662.08</v>
      </c>
      <c r="S72" s="87"/>
      <c r="T72" s="87"/>
      <c r="U72" s="189">
        <f t="shared" si="34"/>
        <v>0</v>
      </c>
      <c r="V72" s="189">
        <f t="shared" si="35"/>
        <v>12.465599999999998</v>
      </c>
      <c r="W72" s="189">
        <f t="shared" si="36"/>
        <v>0</v>
      </c>
      <c r="X72" s="189">
        <f t="shared" si="37"/>
        <v>0</v>
      </c>
      <c r="Y72" s="189">
        <f t="shared" si="38"/>
        <v>1649.6143999999999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203</v>
      </c>
      <c r="P73" s="87">
        <v>358</v>
      </c>
      <c r="Q73" s="87">
        <v>2002</v>
      </c>
      <c r="R73" s="137">
        <v>583.26</v>
      </c>
      <c r="S73" s="87"/>
      <c r="T73" s="87"/>
      <c r="U73" s="189">
        <f t="shared" si="34"/>
        <v>0</v>
      </c>
      <c r="V73" s="189">
        <f t="shared" si="35"/>
        <v>4.3744499999999995</v>
      </c>
      <c r="W73" s="189">
        <f t="shared" si="36"/>
        <v>0</v>
      </c>
      <c r="X73" s="189">
        <f t="shared" si="37"/>
        <v>0</v>
      </c>
      <c r="Y73" s="189">
        <f t="shared" si="38"/>
        <v>578.88554999999997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203</v>
      </c>
      <c r="P74" s="87"/>
      <c r="Q74" s="87"/>
      <c r="R74" s="137"/>
      <c r="S74" s="87"/>
      <c r="T74" s="8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2" t="s">
        <v>128</v>
      </c>
      <c r="O75" s="282"/>
      <c r="P75" s="283"/>
      <c r="Q75" s="283"/>
      <c r="R75" s="192">
        <f>SUM(R70:R74)</f>
        <v>3686.29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27.647174999999997</v>
      </c>
      <c r="W75" s="192">
        <f t="shared" si="41"/>
        <v>0</v>
      </c>
      <c r="X75" s="192">
        <f t="shared" si="41"/>
        <v>0</v>
      </c>
      <c r="Y75" s="192">
        <f t="shared" si="41"/>
        <v>3658.6428249999999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4" t="s">
        <v>73</v>
      </c>
      <c r="O76" s="286" t="s">
        <v>67</v>
      </c>
      <c r="P76" s="282" t="s">
        <v>62</v>
      </c>
      <c r="Q76" s="282"/>
      <c r="R76" s="282"/>
      <c r="S76" s="282"/>
      <c r="T76" s="282"/>
      <c r="U76" s="288" t="s">
        <v>68</v>
      </c>
      <c r="V76" s="289"/>
      <c r="W76" s="289"/>
      <c r="X76" s="289"/>
      <c r="Y76" s="290"/>
      <c r="Z76" s="279" t="s">
        <v>54</v>
      </c>
      <c r="AA76" s="279" t="s">
        <v>64</v>
      </c>
      <c r="AB76" s="279" t="s">
        <v>124</v>
      </c>
      <c r="AC76" s="280" t="s">
        <v>127</v>
      </c>
      <c r="AD76" s="281" t="s">
        <v>65</v>
      </c>
    </row>
    <row r="77" spans="1:30" ht="60" x14ac:dyDescent="0.25">
      <c r="F77" s="291" t="s">
        <v>140</v>
      </c>
      <c r="G77" s="292"/>
      <c r="H77" s="141" t="s">
        <v>142</v>
      </c>
      <c r="N77" s="285"/>
      <c r="O77" s="287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79"/>
      <c r="AA77" s="279"/>
      <c r="AB77" s="279"/>
      <c r="AC77" s="280" t="s">
        <v>127</v>
      </c>
      <c r="AD77" s="281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/>
      <c r="R78" s="82">
        <v>7.4999999999999997E-3</v>
      </c>
      <c r="S78" s="216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217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137"/>
      <c r="Q79" s="137"/>
      <c r="R79" s="82">
        <v>7.4999999999999997E-3</v>
      </c>
      <c r="S79" s="216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217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87"/>
      <c r="R80" s="82">
        <v>7.4999999999999997E-3</v>
      </c>
      <c r="S80" s="216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217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87"/>
      <c r="R81" s="82">
        <v>7.4999999999999997E-3</v>
      </c>
      <c r="S81" s="216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217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216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217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3"/>
        <v>0</v>
      </c>
      <c r="T83" s="220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196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8">
        <f>P78+U78</f>
        <v>0</v>
      </c>
    </row>
    <row r="102" spans="14:30" x14ac:dyDescent="0.25">
      <c r="N102" s="85"/>
      <c r="P102" s="218">
        <f>P79+U79+Q79</f>
        <v>0</v>
      </c>
    </row>
    <row r="103" spans="14:30" x14ac:dyDescent="0.25">
      <c r="N103" s="85"/>
      <c r="P103" s="218">
        <f>P80+Q80+U80</f>
        <v>0</v>
      </c>
    </row>
    <row r="104" spans="14:30" x14ac:dyDescent="0.25">
      <c r="N104" s="85"/>
      <c r="P104" s="218">
        <f>P81+U81</f>
        <v>0</v>
      </c>
    </row>
    <row r="105" spans="14:30" x14ac:dyDescent="0.25">
      <c r="N105" s="85"/>
      <c r="P105" s="218">
        <f>P82+Q82+U82</f>
        <v>0</v>
      </c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9" priority="1" operator="greaterThan">
      <formula>0</formula>
    </cfRule>
    <cfRule type="cellIs" dxfId="8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A43" zoomScale="90" zoomScaleNormal="90" workbookViewId="0">
      <selection activeCell="B58" sqref="B58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2.71093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59"/>
      <c r="B1" s="296"/>
      <c r="C1" s="296"/>
      <c r="D1" s="296"/>
      <c r="E1" s="296"/>
      <c r="F1" s="296"/>
      <c r="G1" s="296"/>
      <c r="H1" s="296"/>
      <c r="M1" s="76"/>
      <c r="N1" s="71"/>
    </row>
    <row r="2" spans="1:28" s="84" customFormat="1" ht="16.5" customHeight="1" x14ac:dyDescent="0.35">
      <c r="A2" s="259"/>
      <c r="B2" s="296" t="s">
        <v>12</v>
      </c>
      <c r="C2" s="296"/>
      <c r="D2" s="296"/>
      <c r="E2" s="296"/>
      <c r="F2" s="296"/>
      <c r="G2" s="296"/>
      <c r="H2" s="296"/>
      <c r="M2" s="76"/>
      <c r="N2" s="71"/>
    </row>
    <row r="3" spans="1:28" s="84" customFormat="1" ht="21.75" customHeight="1" x14ac:dyDescent="0.25">
      <c r="A3" s="259"/>
      <c r="B3" s="297" t="s">
        <v>191</v>
      </c>
      <c r="C3" s="297"/>
      <c r="D3" s="297"/>
      <c r="E3" s="297"/>
      <c r="F3" s="297"/>
      <c r="G3" s="297"/>
      <c r="H3" s="297"/>
      <c r="M3" s="76"/>
      <c r="N3" s="71"/>
    </row>
    <row r="4" spans="1:28" x14ac:dyDescent="0.25">
      <c r="B4" s="298"/>
      <c r="C4" s="298"/>
      <c r="D4" s="298"/>
      <c r="E4" s="298"/>
      <c r="F4" s="298"/>
      <c r="G4" s="298"/>
      <c r="H4" s="298"/>
    </row>
    <row r="6" spans="1:28" x14ac:dyDescent="0.25">
      <c r="A6" s="7" t="s">
        <v>22</v>
      </c>
      <c r="B6" s="72">
        <v>44132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4.32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395.8</v>
      </c>
      <c r="C12" s="15"/>
      <c r="D12" s="56"/>
      <c r="E12" s="16"/>
      <c r="F12" s="56"/>
      <c r="G12" s="56"/>
      <c r="H12" s="17"/>
      <c r="I12" s="83">
        <v>395.8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>
        <v>148</v>
      </c>
      <c r="Q12" s="153">
        <v>7</v>
      </c>
      <c r="R12" s="154">
        <v>28.94</v>
      </c>
      <c r="S12" s="155"/>
      <c r="T12" s="155"/>
      <c r="U12" s="189">
        <f>((T12/U$10)*U$9)</f>
        <v>0</v>
      </c>
      <c r="V12" s="189">
        <f>R12*V$10</f>
        <v>0.21704999999999999</v>
      </c>
      <c r="W12" s="189">
        <f>+S12*V$10</f>
        <v>0</v>
      </c>
      <c r="X12" s="189">
        <f>+T12*X$10</f>
        <v>0</v>
      </c>
      <c r="Y12" s="189">
        <f>R12-V12</f>
        <v>28.722950000000001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611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611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>
        <v>149</v>
      </c>
      <c r="Q13" s="153">
        <v>7</v>
      </c>
      <c r="R13" s="154">
        <v>922.53</v>
      </c>
      <c r="S13" s="155"/>
      <c r="T13" s="157">
        <v>8.99</v>
      </c>
      <c r="U13" s="189">
        <f t="shared" ref="U13:U41" si="2">((T13/U$10)*U$9)</f>
        <v>0.38750000000000007</v>
      </c>
      <c r="V13" s="189">
        <f t="shared" ref="V13:V41" si="3">R13*V$10</f>
        <v>6.9189749999999997</v>
      </c>
      <c r="W13" s="189">
        <f t="shared" ref="W13:W41" si="4">+S13*V$10</f>
        <v>0</v>
      </c>
      <c r="X13" s="189">
        <f t="shared" ref="X13:X41" si="5">+T13*X$10</f>
        <v>0.22475000000000001</v>
      </c>
      <c r="Y13" s="189">
        <f t="shared" ref="Y13:Z41" si="6">R13-V13</f>
        <v>915.61102499999993</v>
      </c>
      <c r="Z13" s="189">
        <f t="shared" si="6"/>
        <v>0</v>
      </c>
      <c r="AA13" s="189">
        <f t="shared" ref="AA13:AA41" si="7">T13-U13-X13</f>
        <v>8.3777500000000007</v>
      </c>
      <c r="AB13" s="156"/>
    </row>
    <row r="14" spans="1:28" ht="15.75" x14ac:dyDescent="0.25">
      <c r="A14" s="86" t="s">
        <v>83</v>
      </c>
      <c r="B14" s="57">
        <f>B13*B8</f>
        <v>2639.52</v>
      </c>
      <c r="C14" s="15"/>
      <c r="D14" s="56"/>
      <c r="E14" s="16"/>
      <c r="F14" s="56"/>
      <c r="G14" s="56"/>
      <c r="H14" s="17"/>
      <c r="I14" s="83"/>
      <c r="J14" s="81">
        <f t="shared" si="0"/>
        <v>2639.52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611</v>
      </c>
      <c r="C19" s="95"/>
      <c r="D19" s="94"/>
      <c r="E19" s="96"/>
      <c r="F19" s="94"/>
      <c r="G19" s="94"/>
      <c r="H19" s="98"/>
      <c r="I19" s="99"/>
      <c r="J19" s="185">
        <f>B19-I19</f>
        <v>611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2639.52</v>
      </c>
      <c r="C20" s="95"/>
      <c r="D20" s="94"/>
      <c r="E20" s="96"/>
      <c r="F20" s="94"/>
      <c r="G20" s="94"/>
      <c r="H20" s="98"/>
      <c r="I20" s="99">
        <v>2676.18</v>
      </c>
      <c r="J20" s="185">
        <f t="shared" si="0"/>
        <v>-36.659999999999854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3" t="s">
        <v>107</v>
      </c>
      <c r="O42" s="294"/>
      <c r="P42" s="294"/>
      <c r="Q42" s="295"/>
      <c r="R42" s="190">
        <f t="shared" ref="R42:AA42" si="8">SUM(R12:R41)</f>
        <v>951.47</v>
      </c>
      <c r="S42" s="190">
        <f t="shared" si="8"/>
        <v>0</v>
      </c>
      <c r="T42" s="190">
        <f t="shared" si="8"/>
        <v>8.99</v>
      </c>
      <c r="U42" s="190">
        <f t="shared" si="8"/>
        <v>0.38750000000000007</v>
      </c>
      <c r="V42" s="190">
        <f t="shared" si="8"/>
        <v>7.1360250000000001</v>
      </c>
      <c r="W42" s="190">
        <f t="shared" si="8"/>
        <v>0</v>
      </c>
      <c r="X42" s="190">
        <f t="shared" si="8"/>
        <v>0.22475000000000001</v>
      </c>
      <c r="Y42" s="190">
        <f t="shared" si="8"/>
        <v>944.3339749999999</v>
      </c>
      <c r="Z42" s="190">
        <f t="shared" si="8"/>
        <v>0</v>
      </c>
      <c r="AA42" s="190">
        <f t="shared" si="8"/>
        <v>8.3777500000000007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951.47</v>
      </c>
      <c r="C46" s="116">
        <v>7.4999999999999997E-3</v>
      </c>
      <c r="D46" s="117">
        <f>B46*C46</f>
        <v>7.1360250000000001</v>
      </c>
      <c r="E46" s="172">
        <v>0</v>
      </c>
      <c r="F46" s="117">
        <f t="shared" ref="F46:F50" si="15">D46*E46</f>
        <v>0</v>
      </c>
      <c r="G46" s="117">
        <f t="shared" ref="G46:G51" si="16">B46-D46-F46</f>
        <v>944.33397500000001</v>
      </c>
      <c r="H46" s="173">
        <f>B$6+1</f>
        <v>44133</v>
      </c>
      <c r="I46" s="174"/>
      <c r="J46" s="81">
        <f t="shared" si="0"/>
        <v>951.47</v>
      </c>
      <c r="K46" s="80"/>
      <c r="L46" s="186">
        <f t="shared" ref="L46:L64" si="17">+G46-K46</f>
        <v>944.33397500000001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44133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21.55</v>
      </c>
      <c r="C48" s="116">
        <v>7.4999999999999997E-3</v>
      </c>
      <c r="D48" s="117">
        <f t="shared" si="18"/>
        <v>0.16162499999999999</v>
      </c>
      <c r="E48" s="172">
        <v>0</v>
      </c>
      <c r="F48" s="117">
        <f t="shared" si="15"/>
        <v>0</v>
      </c>
      <c r="G48" s="117">
        <f t="shared" si="16"/>
        <v>21.388375</v>
      </c>
      <c r="H48" s="173">
        <f t="shared" ref="H48:H61" si="19">B$6+1</f>
        <v>44133</v>
      </c>
      <c r="I48" s="176">
        <v>21.55</v>
      </c>
      <c r="J48" s="81">
        <f t="shared" si="0"/>
        <v>0</v>
      </c>
      <c r="K48" s="80"/>
      <c r="L48" s="186">
        <f t="shared" si="17"/>
        <v>21.388375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204</v>
      </c>
      <c r="B49" s="117">
        <f>R75</f>
        <v>3792.9799999999996</v>
      </c>
      <c r="C49" s="116">
        <v>7.4999999999999997E-3</v>
      </c>
      <c r="D49" s="117">
        <f t="shared" si="18"/>
        <v>28.447349999999997</v>
      </c>
      <c r="E49" s="172">
        <v>0</v>
      </c>
      <c r="F49" s="117">
        <f t="shared" si="15"/>
        <v>0</v>
      </c>
      <c r="G49" s="117">
        <f t="shared" si="16"/>
        <v>3764.5326499999996</v>
      </c>
      <c r="H49" s="173">
        <f t="shared" si="19"/>
        <v>44133</v>
      </c>
      <c r="I49" s="176"/>
      <c r="J49" s="81">
        <f t="shared" si="0"/>
        <v>3792.9799999999996</v>
      </c>
      <c r="K49" s="80"/>
      <c r="L49" s="186">
        <f t="shared" si="17"/>
        <v>3764.5326499999996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0</v>
      </c>
      <c r="C50" s="116">
        <v>7.4999999999999997E-3</v>
      </c>
      <c r="D50" s="117">
        <f t="shared" si="18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44133</v>
      </c>
      <c r="I50" s="175"/>
      <c r="J50" s="81">
        <f t="shared" si="0"/>
        <v>0</v>
      </c>
      <c r="K50" s="80"/>
      <c r="L50" s="186">
        <f t="shared" si="17"/>
        <v>0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44133</v>
      </c>
      <c r="I51" s="175"/>
      <c r="J51" s="81">
        <f t="shared" si="0"/>
        <v>0</v>
      </c>
      <c r="K51" s="80"/>
      <c r="L51" s="186">
        <f t="shared" si="17"/>
        <v>0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8.99</v>
      </c>
      <c r="C52" s="116">
        <v>2.5000000000000001E-2</v>
      </c>
      <c r="D52" s="117">
        <f>B52*C52</f>
        <v>0.22475000000000001</v>
      </c>
      <c r="E52" s="172">
        <v>0.05</v>
      </c>
      <c r="F52" s="117">
        <f>(B52/E$10)*E52</f>
        <v>0.38750000000000007</v>
      </c>
      <c r="G52" s="117">
        <f>B52-D52-F52</f>
        <v>8.3777500000000007</v>
      </c>
      <c r="H52" s="188">
        <f t="shared" si="19"/>
        <v>44133</v>
      </c>
      <c r="I52" s="176">
        <v>8.99</v>
      </c>
      <c r="J52" s="81">
        <f t="shared" si="0"/>
        <v>0</v>
      </c>
      <c r="K52" s="80"/>
      <c r="L52" s="186">
        <f t="shared" si="17"/>
        <v>8.3777500000000007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44133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44133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44133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44133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44135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44137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44162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35.969749999999998</v>
      </c>
      <c r="E61" s="177"/>
      <c r="F61" s="57">
        <f>SUM(F46:F58)</f>
        <v>0.38750000000000007</v>
      </c>
      <c r="G61" s="57">
        <f>SUM(G46:G58)</f>
        <v>4738.6327499999989</v>
      </c>
      <c r="H61" s="173">
        <f t="shared" si="19"/>
        <v>44133</v>
      </c>
      <c r="I61" s="175"/>
      <c r="J61" s="81">
        <f t="shared" si="0"/>
        <v>0</v>
      </c>
      <c r="K61" s="80"/>
      <c r="L61" s="186">
        <f t="shared" si="17"/>
        <v>4738.6327499999989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44133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2" t="s">
        <v>109</v>
      </c>
      <c r="O63" s="282"/>
      <c r="P63" s="282"/>
      <c r="Q63" s="28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9477.2654999999977</v>
      </c>
      <c r="H64" s="184"/>
      <c r="I64" s="175"/>
      <c r="J64" s="81">
        <f t="shared" si="0"/>
        <v>0</v>
      </c>
      <c r="K64" s="80"/>
      <c r="L64" s="186">
        <f t="shared" si="17"/>
        <v>9477.2654999999977</v>
      </c>
      <c r="M64" s="130"/>
      <c r="N64" s="87">
        <v>1</v>
      </c>
      <c r="O64" s="122" t="s">
        <v>199</v>
      </c>
      <c r="P64" s="87">
        <v>7704</v>
      </c>
      <c r="Q64" s="87"/>
      <c r="R64" s="87">
        <v>21.55</v>
      </c>
      <c r="S64" s="87"/>
      <c r="T64" s="87"/>
      <c r="U64" s="189">
        <f t="shared" ref="U64:U68" si="27">((T64/U$10)*U$9)</f>
        <v>0</v>
      </c>
      <c r="V64" s="189">
        <f t="shared" ref="V64:V68" si="28">R64*V$10</f>
        <v>0.16162499999999999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21.388375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7810.3099999999995</v>
      </c>
      <c r="G65" s="22"/>
      <c r="L65" s="132"/>
      <c r="M65" s="131"/>
      <c r="N65" s="87">
        <v>2</v>
      </c>
      <c r="O65" s="122" t="s">
        <v>172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172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9" t="s">
        <v>20</v>
      </c>
      <c r="B67" s="300"/>
      <c r="F67" s="301" t="s">
        <v>136</v>
      </c>
      <c r="G67" s="301"/>
      <c r="H67" s="301"/>
      <c r="I67" s="302" t="s">
        <v>138</v>
      </c>
      <c r="J67" s="303"/>
      <c r="K67" s="138"/>
      <c r="N67" s="87">
        <v>4</v>
      </c>
      <c r="O67" s="122" t="s">
        <v>172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7807.63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172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7807.63</v>
      </c>
      <c r="C69" s="59"/>
      <c r="F69" s="87" t="s">
        <v>129</v>
      </c>
      <c r="G69" s="22"/>
      <c r="H69" s="89"/>
      <c r="I69" s="136"/>
      <c r="J69" s="136">
        <f>K52</f>
        <v>0</v>
      </c>
      <c r="N69" s="282" t="s">
        <v>110</v>
      </c>
      <c r="O69" s="282"/>
      <c r="P69" s="283"/>
      <c r="Q69" s="283"/>
      <c r="R69" s="192">
        <f>SUM(R64:R68)</f>
        <v>21.55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0.16162499999999999</v>
      </c>
      <c r="W69" s="192">
        <f t="shared" si="33"/>
        <v>0</v>
      </c>
      <c r="X69" s="192">
        <f t="shared" si="33"/>
        <v>0</v>
      </c>
      <c r="Y69" s="192">
        <f t="shared" si="33"/>
        <v>21.388375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B68-B67</f>
        <v>7807.63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197</v>
      </c>
      <c r="P70" s="87">
        <v>343</v>
      </c>
      <c r="Q70" s="87">
        <v>2003</v>
      </c>
      <c r="R70" s="222">
        <v>1027.06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7.7029499999999995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1019.35705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2.6799999999993815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197</v>
      </c>
      <c r="P71" s="87">
        <v>436</v>
      </c>
      <c r="Q71" s="87">
        <v>2002</v>
      </c>
      <c r="R71" s="222">
        <v>989.23</v>
      </c>
      <c r="S71" s="87"/>
      <c r="T71" s="87"/>
      <c r="U71" s="189">
        <f t="shared" si="34"/>
        <v>0</v>
      </c>
      <c r="V71" s="189">
        <f t="shared" si="35"/>
        <v>7.419225</v>
      </c>
      <c r="W71" s="189">
        <f t="shared" si="36"/>
        <v>0</v>
      </c>
      <c r="X71" s="189">
        <f t="shared" si="37"/>
        <v>0</v>
      </c>
      <c r="Y71" s="189">
        <f t="shared" si="38"/>
        <v>981.81077500000004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197</v>
      </c>
      <c r="P72" s="87">
        <v>437</v>
      </c>
      <c r="Q72" s="87">
        <v>2002</v>
      </c>
      <c r="R72" s="222">
        <v>861.39</v>
      </c>
      <c r="S72" s="87"/>
      <c r="T72" s="137"/>
      <c r="U72" s="189">
        <f t="shared" si="34"/>
        <v>0</v>
      </c>
      <c r="V72" s="189">
        <f t="shared" si="35"/>
        <v>6.4604249999999999</v>
      </c>
      <c r="W72" s="189">
        <f t="shared" si="36"/>
        <v>0</v>
      </c>
      <c r="X72" s="189">
        <f t="shared" si="37"/>
        <v>0</v>
      </c>
      <c r="Y72" s="189">
        <f t="shared" si="38"/>
        <v>854.929575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198</v>
      </c>
      <c r="P73" s="87">
        <v>360</v>
      </c>
      <c r="Q73" s="87">
        <v>2002</v>
      </c>
      <c r="R73" s="222">
        <v>915.3</v>
      </c>
      <c r="S73" s="87"/>
      <c r="T73" s="137"/>
      <c r="U73" s="189">
        <f t="shared" si="34"/>
        <v>0</v>
      </c>
      <c r="V73" s="189">
        <f t="shared" si="35"/>
        <v>6.864749999999999</v>
      </c>
      <c r="W73" s="189">
        <f t="shared" si="36"/>
        <v>0</v>
      </c>
      <c r="X73" s="189">
        <f t="shared" si="37"/>
        <v>0</v>
      </c>
      <c r="Y73" s="189">
        <f t="shared" si="38"/>
        <v>908.43525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198</v>
      </c>
      <c r="P74" s="87"/>
      <c r="Q74" s="87"/>
      <c r="R74" s="222"/>
      <c r="S74" s="87"/>
      <c r="T74" s="137"/>
      <c r="U74" s="189">
        <f t="shared" si="34"/>
        <v>0</v>
      </c>
      <c r="V74" s="189">
        <f t="shared" si="35"/>
        <v>0</v>
      </c>
      <c r="W74" s="189">
        <f t="shared" si="36"/>
        <v>0</v>
      </c>
      <c r="X74" s="189">
        <f t="shared" si="37"/>
        <v>0</v>
      </c>
      <c r="Y74" s="189">
        <f t="shared" si="38"/>
        <v>0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2" t="s">
        <v>128</v>
      </c>
      <c r="O75" s="282"/>
      <c r="P75" s="283"/>
      <c r="Q75" s="283"/>
      <c r="R75" s="192">
        <f>SUM(R70:R74)</f>
        <v>3792.9799999999996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28.44735</v>
      </c>
      <c r="W75" s="192">
        <f t="shared" si="41"/>
        <v>0</v>
      </c>
      <c r="X75" s="192">
        <f t="shared" si="41"/>
        <v>0</v>
      </c>
      <c r="Y75" s="192">
        <f t="shared" si="41"/>
        <v>3764.5326500000001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4" t="s">
        <v>73</v>
      </c>
      <c r="O76" s="286" t="s">
        <v>67</v>
      </c>
      <c r="P76" s="282" t="s">
        <v>62</v>
      </c>
      <c r="Q76" s="282"/>
      <c r="R76" s="282"/>
      <c r="S76" s="282"/>
      <c r="T76" s="282"/>
      <c r="U76" s="288" t="s">
        <v>68</v>
      </c>
      <c r="V76" s="289"/>
      <c r="W76" s="289"/>
      <c r="X76" s="289"/>
      <c r="Y76" s="290"/>
      <c r="Z76" s="279" t="s">
        <v>54</v>
      </c>
      <c r="AA76" s="279" t="s">
        <v>64</v>
      </c>
      <c r="AB76" s="279" t="s">
        <v>124</v>
      </c>
      <c r="AC76" s="280" t="s">
        <v>127</v>
      </c>
      <c r="AD76" s="281" t="s">
        <v>65</v>
      </c>
    </row>
    <row r="77" spans="1:30" ht="60" x14ac:dyDescent="0.25">
      <c r="F77" s="291" t="s">
        <v>140</v>
      </c>
      <c r="G77" s="292"/>
      <c r="H77" s="141" t="s">
        <v>142</v>
      </c>
      <c r="N77" s="285"/>
      <c r="O77" s="287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79"/>
      <c r="AA77" s="279"/>
      <c r="AB77" s="279"/>
      <c r="AC77" s="280" t="s">
        <v>127</v>
      </c>
      <c r="AD77" s="281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112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>
        <f>T98</f>
        <v>0</v>
      </c>
      <c r="H79" s="136"/>
      <c r="N79" s="87">
        <v>2</v>
      </c>
      <c r="O79" s="87" t="s">
        <v>112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87"/>
      <c r="Q80" s="8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8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112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3"/>
        <v>0</v>
      </c>
      <c r="T83" s="219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220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2">
        <f>P78+Q78+U78</f>
        <v>0</v>
      </c>
    </row>
    <row r="102" spans="14:30" x14ac:dyDescent="0.25">
      <c r="N102" s="85"/>
      <c r="P102" s="212">
        <f>P79+Q79+U79</f>
        <v>0</v>
      </c>
    </row>
    <row r="103" spans="14:30" x14ac:dyDescent="0.25">
      <c r="N103" s="85"/>
      <c r="P103" s="212">
        <f>P80+Q80+U80</f>
        <v>0</v>
      </c>
    </row>
    <row r="104" spans="14:30" x14ac:dyDescent="0.25">
      <c r="N104" s="85"/>
      <c r="P104" s="212">
        <f>P81+Q81+U81</f>
        <v>0</v>
      </c>
    </row>
    <row r="105" spans="14:30" x14ac:dyDescent="0.25">
      <c r="N105" s="85"/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7" priority="1" operator="greaterThan">
      <formula>0</formula>
    </cfRule>
    <cfRule type="cellIs" dxfId="6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G28" zoomScale="90" zoomScaleNormal="90" workbookViewId="0">
      <selection activeCell="L53" sqref="L53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3.855468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59"/>
      <c r="B1" s="296"/>
      <c r="C1" s="296"/>
      <c r="D1" s="296"/>
      <c r="E1" s="296"/>
      <c r="F1" s="296"/>
      <c r="G1" s="296"/>
      <c r="H1" s="296"/>
      <c r="M1" s="76"/>
      <c r="N1" s="71"/>
    </row>
    <row r="2" spans="1:28" s="84" customFormat="1" ht="16.5" customHeight="1" x14ac:dyDescent="0.35">
      <c r="A2" s="259"/>
      <c r="B2" s="296" t="s">
        <v>12</v>
      </c>
      <c r="C2" s="296"/>
      <c r="D2" s="296"/>
      <c r="E2" s="296"/>
      <c r="F2" s="296"/>
      <c r="G2" s="296"/>
      <c r="H2" s="296"/>
      <c r="M2" s="76"/>
      <c r="N2" s="71"/>
    </row>
    <row r="3" spans="1:28" s="84" customFormat="1" ht="21.75" customHeight="1" x14ac:dyDescent="0.25">
      <c r="A3" s="259"/>
      <c r="B3" s="297" t="s">
        <v>191</v>
      </c>
      <c r="C3" s="297"/>
      <c r="D3" s="297"/>
      <c r="E3" s="297"/>
      <c r="F3" s="297"/>
      <c r="G3" s="297"/>
      <c r="H3" s="297"/>
      <c r="M3" s="76"/>
      <c r="N3" s="71"/>
    </row>
    <row r="4" spans="1:28" x14ac:dyDescent="0.25">
      <c r="B4" s="298"/>
      <c r="C4" s="298"/>
      <c r="D4" s="298"/>
      <c r="E4" s="298"/>
      <c r="F4" s="298"/>
      <c r="G4" s="298"/>
      <c r="H4" s="298"/>
    </row>
    <row r="6" spans="1:28" x14ac:dyDescent="0.25">
      <c r="A6" s="7" t="s">
        <v>22</v>
      </c>
      <c r="B6" s="72">
        <v>44133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4.32</v>
      </c>
      <c r="C8" s="85" t="s">
        <v>94</v>
      </c>
      <c r="D8" s="108"/>
    </row>
    <row r="9" spans="1:28" x14ac:dyDescent="0.25">
      <c r="A9" s="7" t="s">
        <v>78</v>
      </c>
      <c r="B9" s="108">
        <v>4.38</v>
      </c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487.4</v>
      </c>
      <c r="C12" s="15"/>
      <c r="D12" s="56"/>
      <c r="E12" s="16"/>
      <c r="F12" s="56"/>
      <c r="G12" s="56"/>
      <c r="H12" s="17"/>
      <c r="I12" s="83">
        <v>487.4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>
        <v>150</v>
      </c>
      <c r="Q12" s="153">
        <v>7</v>
      </c>
      <c r="R12" s="154">
        <v>65.010000000000005</v>
      </c>
      <c r="S12" s="155"/>
      <c r="T12" s="155"/>
      <c r="U12" s="189">
        <f>((T12/U$10)*U$9)</f>
        <v>0</v>
      </c>
      <c r="V12" s="189">
        <f>R12*V$10</f>
        <v>0.48757500000000004</v>
      </c>
      <c r="W12" s="189">
        <f>+S12*V$10</f>
        <v>0</v>
      </c>
      <c r="X12" s="189">
        <f>+T12*X$10</f>
        <v>0</v>
      </c>
      <c r="Y12" s="189">
        <f>R12-V12</f>
        <v>64.522424999999998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98</v>
      </c>
      <c r="C13" s="15"/>
      <c r="D13" s="56"/>
      <c r="E13" s="16"/>
      <c r="F13" s="56"/>
      <c r="G13" s="56"/>
      <c r="H13" s="17"/>
      <c r="I13" s="83">
        <v>98</v>
      </c>
      <c r="J13" s="81">
        <f t="shared" ref="J13:J64" si="0">B13-I13</f>
        <v>0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>
        <v>151</v>
      </c>
      <c r="Q13" s="153">
        <v>7</v>
      </c>
      <c r="R13" s="154">
        <v>1240.56</v>
      </c>
      <c r="S13" s="155"/>
      <c r="T13" s="157"/>
      <c r="U13" s="189">
        <f t="shared" ref="U13:U41" si="2">((T13/U$10)*U$9)</f>
        <v>0</v>
      </c>
      <c r="V13" s="189">
        <f t="shared" ref="V13:V41" si="3">R13*V$10</f>
        <v>9.3041999999999998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1231.2557999999999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423.36</v>
      </c>
      <c r="C14" s="15"/>
      <c r="D14" s="56"/>
      <c r="E14" s="16"/>
      <c r="F14" s="56"/>
      <c r="G14" s="56"/>
      <c r="H14" s="17"/>
      <c r="I14" s="83"/>
      <c r="J14" s="81">
        <f t="shared" si="0"/>
        <v>423.36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>
        <v>702</v>
      </c>
      <c r="C15" s="15"/>
      <c r="D15" s="56"/>
      <c r="E15" s="16"/>
      <c r="F15" s="56"/>
      <c r="G15" s="56"/>
      <c r="H15" s="17"/>
      <c r="I15" s="83">
        <v>702</v>
      </c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3074.7599999999998</v>
      </c>
      <c r="C16" s="15"/>
      <c r="D16" s="56"/>
      <c r="E16" s="16"/>
      <c r="F16" s="56"/>
      <c r="G16" s="56"/>
      <c r="H16" s="17"/>
      <c r="I16" s="83"/>
      <c r="J16" s="81">
        <f t="shared" si="0"/>
        <v>3074.7599999999998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800</v>
      </c>
      <c r="C19" s="95"/>
      <c r="D19" s="94"/>
      <c r="E19" s="96"/>
      <c r="F19" s="94"/>
      <c r="G19" s="94"/>
      <c r="H19" s="98"/>
      <c r="I19" s="99">
        <v>800</v>
      </c>
      <c r="J19" s="185">
        <f>B19-I19</f>
        <v>0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3498.12</v>
      </c>
      <c r="C20" s="95"/>
      <c r="D20" s="94"/>
      <c r="E20" s="96"/>
      <c r="F20" s="94"/>
      <c r="G20" s="94"/>
      <c r="H20" s="98"/>
      <c r="I20" s="99">
        <v>3504</v>
      </c>
      <c r="J20" s="185">
        <f t="shared" si="0"/>
        <v>-5.8800000000001091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3" t="s">
        <v>107</v>
      </c>
      <c r="O42" s="294"/>
      <c r="P42" s="294"/>
      <c r="Q42" s="295"/>
      <c r="R42" s="190">
        <f t="shared" ref="R42:AA42" si="8">SUM(R12:R41)</f>
        <v>1305.57</v>
      </c>
      <c r="S42" s="190">
        <f t="shared" si="8"/>
        <v>0</v>
      </c>
      <c r="T42" s="190">
        <f t="shared" si="8"/>
        <v>0</v>
      </c>
      <c r="U42" s="190">
        <f t="shared" si="8"/>
        <v>0</v>
      </c>
      <c r="V42" s="190">
        <f t="shared" si="8"/>
        <v>9.7917749999999995</v>
      </c>
      <c r="W42" s="190">
        <f t="shared" si="8"/>
        <v>0</v>
      </c>
      <c r="X42" s="190">
        <f t="shared" si="8"/>
        <v>0</v>
      </c>
      <c r="Y42" s="190">
        <f t="shared" si="8"/>
        <v>1295.778225</v>
      </c>
      <c r="Z42" s="190">
        <f t="shared" si="8"/>
        <v>0</v>
      </c>
      <c r="AA42" s="190">
        <f t="shared" si="8"/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1305.57</v>
      </c>
      <c r="C46" s="116">
        <v>7.4999999999999997E-3</v>
      </c>
      <c r="D46" s="117">
        <f>B46*C46</f>
        <v>9.7917749999999995</v>
      </c>
      <c r="E46" s="172">
        <v>0</v>
      </c>
      <c r="F46" s="117">
        <f t="shared" ref="F46:F50" si="15">D46*E46</f>
        <v>0</v>
      </c>
      <c r="G46" s="117">
        <f t="shared" ref="G46:G51" si="16">B46-D46-F46</f>
        <v>1295.778225</v>
      </c>
      <c r="H46" s="173">
        <f>B$6+1</f>
        <v>44134</v>
      </c>
      <c r="I46" s="174"/>
      <c r="J46" s="81">
        <f t="shared" si="0"/>
        <v>1305.57</v>
      </c>
      <c r="K46" s="80"/>
      <c r="L46" s="186">
        <f t="shared" ref="L46:L64" si="17">+G46-K46</f>
        <v>1295.778225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44134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44134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204</v>
      </c>
      <c r="B49" s="117">
        <f>R75</f>
        <v>4491.92</v>
      </c>
      <c r="C49" s="116">
        <v>7.4999999999999997E-3</v>
      </c>
      <c r="D49" s="117">
        <f t="shared" si="18"/>
        <v>33.689399999999999</v>
      </c>
      <c r="E49" s="172">
        <v>0</v>
      </c>
      <c r="F49" s="117">
        <f t="shared" si="15"/>
        <v>0</v>
      </c>
      <c r="G49" s="117">
        <f t="shared" si="16"/>
        <v>4458.2305999999999</v>
      </c>
      <c r="H49" s="173">
        <f t="shared" si="19"/>
        <v>44134</v>
      </c>
      <c r="I49" s="176"/>
      <c r="J49" s="81">
        <f t="shared" si="0"/>
        <v>4491.92</v>
      </c>
      <c r="K49" s="80"/>
      <c r="L49" s="186">
        <f t="shared" si="17"/>
        <v>4458.2305999999999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0</v>
      </c>
      <c r="C50" s="116">
        <v>7.4999999999999997E-3</v>
      </c>
      <c r="D50" s="117">
        <f t="shared" si="18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44134</v>
      </c>
      <c r="I50" s="175"/>
      <c r="J50" s="81">
        <f t="shared" si="0"/>
        <v>0</v>
      </c>
      <c r="K50" s="80"/>
      <c r="L50" s="186">
        <f t="shared" si="17"/>
        <v>0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44134</v>
      </c>
      <c r="I51" s="175"/>
      <c r="J51" s="81">
        <f t="shared" si="0"/>
        <v>0</v>
      </c>
      <c r="K51" s="80"/>
      <c r="L51" s="186">
        <f t="shared" si="17"/>
        <v>0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19"/>
        <v>44134</v>
      </c>
      <c r="I52" s="176"/>
      <c r="J52" s="81">
        <f t="shared" si="0"/>
        <v>0</v>
      </c>
      <c r="K52" s="80"/>
      <c r="L52" s="186">
        <f t="shared" si="17"/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44134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44134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44134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63.06</v>
      </c>
      <c r="C56" s="116">
        <v>2.5000000000000001E-2</v>
      </c>
      <c r="D56" s="117">
        <f t="shared" si="20"/>
        <v>1.5765000000000002</v>
      </c>
      <c r="E56" s="172">
        <v>0.05</v>
      </c>
      <c r="F56" s="117">
        <f t="shared" si="21"/>
        <v>2.7181034482758624</v>
      </c>
      <c r="G56" s="117">
        <f t="shared" si="22"/>
        <v>58.765396551724137</v>
      </c>
      <c r="H56" s="173">
        <f t="shared" si="19"/>
        <v>44134</v>
      </c>
      <c r="I56" s="176">
        <v>63.06</v>
      </c>
      <c r="J56" s="81">
        <f t="shared" si="0"/>
        <v>0</v>
      </c>
      <c r="K56" s="80"/>
      <c r="L56" s="186">
        <f t="shared" si="17"/>
        <v>58.765396551724137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44136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44138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44163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45.057675000000003</v>
      </c>
      <c r="E61" s="177"/>
      <c r="F61" s="57">
        <f>SUM(F46:F58)</f>
        <v>2.7181034482758624</v>
      </c>
      <c r="G61" s="57">
        <f>SUM(G46:G58)</f>
        <v>5812.7742215517237</v>
      </c>
      <c r="H61" s="173">
        <f t="shared" si="19"/>
        <v>44134</v>
      </c>
      <c r="I61" s="175"/>
      <c r="J61" s="81">
        <f t="shared" si="0"/>
        <v>0</v>
      </c>
      <c r="K61" s="80"/>
      <c r="L61" s="186">
        <f t="shared" si="17"/>
        <v>5812.7742215517237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44134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2" t="s">
        <v>109</v>
      </c>
      <c r="O63" s="282"/>
      <c r="P63" s="282"/>
      <c r="Q63" s="28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11625.548443103447</v>
      </c>
      <c r="H64" s="184"/>
      <c r="I64" s="175"/>
      <c r="J64" s="81">
        <f t="shared" si="0"/>
        <v>0</v>
      </c>
      <c r="K64" s="80"/>
      <c r="L64" s="186">
        <f t="shared" si="17"/>
        <v>11625.548443103447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9846.07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9" t="s">
        <v>20</v>
      </c>
      <c r="B67" s="300"/>
      <c r="F67" s="301" t="s">
        <v>136</v>
      </c>
      <c r="G67" s="301"/>
      <c r="H67" s="301"/>
      <c r="I67" s="302" t="s">
        <v>138</v>
      </c>
      <c r="J67" s="303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9828.2000000000007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9828.2000000000007</v>
      </c>
      <c r="C69" s="59"/>
      <c r="F69" s="87" t="s">
        <v>129</v>
      </c>
      <c r="G69" s="22"/>
      <c r="H69" s="89">
        <f>+G52</f>
        <v>0</v>
      </c>
      <c r="I69" s="136"/>
      <c r="J69" s="136">
        <f>K52</f>
        <v>0</v>
      </c>
      <c r="N69" s="282" t="s">
        <v>110</v>
      </c>
      <c r="O69" s="282"/>
      <c r="P69" s="283"/>
      <c r="Q69" s="28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B68-B67</f>
        <v>9828.2000000000007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189</v>
      </c>
      <c r="P70" s="229">
        <v>344</v>
      </c>
      <c r="Q70" s="229">
        <v>2003</v>
      </c>
      <c r="R70" s="222">
        <v>701</v>
      </c>
      <c r="S70" s="229"/>
      <c r="T70" s="222"/>
      <c r="U70" s="189">
        <f t="shared" ref="U70:U74" si="34">((T70/U$10)*U$9)</f>
        <v>0</v>
      </c>
      <c r="V70" s="189">
        <f t="shared" ref="V70:V74" si="35">R70*V$10</f>
        <v>5.2574999999999994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695.74249999999995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17.869999999998981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189</v>
      </c>
      <c r="P71" s="229">
        <v>438</v>
      </c>
      <c r="Q71" s="229">
        <v>2002</v>
      </c>
      <c r="R71" s="222">
        <v>447.61</v>
      </c>
      <c r="S71" s="229"/>
      <c r="T71" s="229"/>
      <c r="U71" s="189">
        <f t="shared" si="34"/>
        <v>0</v>
      </c>
      <c r="V71" s="189">
        <f t="shared" si="35"/>
        <v>3.357075</v>
      </c>
      <c r="W71" s="189">
        <f t="shared" si="36"/>
        <v>0</v>
      </c>
      <c r="X71" s="189">
        <f t="shared" si="37"/>
        <v>0</v>
      </c>
      <c r="Y71" s="189">
        <f t="shared" si="38"/>
        <v>444.252925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189</v>
      </c>
      <c r="P72" s="229" t="s">
        <v>243</v>
      </c>
      <c r="Q72" s="229">
        <v>2003</v>
      </c>
      <c r="R72" s="222">
        <f>553.6+1189.57</f>
        <v>1743.17</v>
      </c>
      <c r="S72" s="229"/>
      <c r="T72" s="229"/>
      <c r="U72" s="189">
        <f t="shared" si="34"/>
        <v>0</v>
      </c>
      <c r="V72" s="189">
        <f t="shared" si="35"/>
        <v>13.073774999999999</v>
      </c>
      <c r="W72" s="189">
        <f t="shared" si="36"/>
        <v>0</v>
      </c>
      <c r="X72" s="189">
        <f t="shared" si="37"/>
        <v>0</v>
      </c>
      <c r="Y72" s="189">
        <f t="shared" si="38"/>
        <v>1730.096225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186</v>
      </c>
      <c r="P73" s="229">
        <v>362</v>
      </c>
      <c r="Q73" s="229">
        <v>2002</v>
      </c>
      <c r="R73" s="222">
        <v>783.29</v>
      </c>
      <c r="S73" s="229"/>
      <c r="T73" s="229"/>
      <c r="U73" s="189">
        <f t="shared" si="34"/>
        <v>0</v>
      </c>
      <c r="V73" s="189">
        <f t="shared" si="35"/>
        <v>5.8746749999999999</v>
      </c>
      <c r="W73" s="189">
        <f t="shared" si="36"/>
        <v>0</v>
      </c>
      <c r="X73" s="189">
        <f t="shared" si="37"/>
        <v>0</v>
      </c>
      <c r="Y73" s="189">
        <f t="shared" si="38"/>
        <v>777.41532499999994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186</v>
      </c>
      <c r="P74" s="229">
        <v>361</v>
      </c>
      <c r="Q74" s="229">
        <v>2002</v>
      </c>
      <c r="R74" s="222">
        <v>816.85</v>
      </c>
      <c r="S74" s="229"/>
      <c r="T74" s="222">
        <v>63.06</v>
      </c>
      <c r="U74" s="189">
        <f t="shared" si="34"/>
        <v>2.7181034482758624</v>
      </c>
      <c r="V74" s="189">
        <f t="shared" si="35"/>
        <v>6.1263750000000003</v>
      </c>
      <c r="W74" s="189">
        <f t="shared" si="36"/>
        <v>0</v>
      </c>
      <c r="X74" s="189">
        <f t="shared" si="37"/>
        <v>1.5765000000000002</v>
      </c>
      <c r="Y74" s="189">
        <f t="shared" si="38"/>
        <v>810.72362499999997</v>
      </c>
      <c r="Z74" s="189">
        <f t="shared" si="38"/>
        <v>0</v>
      </c>
      <c r="AA74" s="189">
        <f t="shared" si="39"/>
        <v>58.765396551724137</v>
      </c>
      <c r="AB74" s="87"/>
    </row>
    <row r="75" spans="1:30" ht="15.75" x14ac:dyDescent="0.25">
      <c r="N75" s="282" t="s">
        <v>128</v>
      </c>
      <c r="O75" s="282"/>
      <c r="P75" s="283"/>
      <c r="Q75" s="283"/>
      <c r="R75" s="192">
        <f>SUM(R70:R74)</f>
        <v>4491.92</v>
      </c>
      <c r="S75" s="192"/>
      <c r="T75" s="192">
        <f>SUM(T70:T74)</f>
        <v>63.06</v>
      </c>
      <c r="U75" s="192">
        <f>SUM(U70:U74)</f>
        <v>2.7181034482758624</v>
      </c>
      <c r="V75" s="192">
        <f t="shared" ref="V75:AA75" si="41">SUM(V70:V74)</f>
        <v>33.689399999999999</v>
      </c>
      <c r="W75" s="192">
        <f t="shared" si="41"/>
        <v>0</v>
      </c>
      <c r="X75" s="192">
        <f t="shared" si="41"/>
        <v>1.5765000000000002</v>
      </c>
      <c r="Y75" s="192">
        <f t="shared" si="41"/>
        <v>4458.2305999999999</v>
      </c>
      <c r="Z75" s="192">
        <f t="shared" si="41"/>
        <v>0</v>
      </c>
      <c r="AA75" s="193">
        <f t="shared" si="41"/>
        <v>58.765396551724137</v>
      </c>
      <c r="AB75" s="103"/>
    </row>
    <row r="76" spans="1:30" ht="15.75" x14ac:dyDescent="0.25">
      <c r="N76" s="284" t="s">
        <v>73</v>
      </c>
      <c r="O76" s="286" t="s">
        <v>67</v>
      </c>
      <c r="P76" s="282" t="s">
        <v>62</v>
      </c>
      <c r="Q76" s="282"/>
      <c r="R76" s="282"/>
      <c r="S76" s="282"/>
      <c r="T76" s="282"/>
      <c r="U76" s="288" t="s">
        <v>68</v>
      </c>
      <c r="V76" s="289"/>
      <c r="W76" s="289"/>
      <c r="X76" s="289"/>
      <c r="Y76" s="290"/>
      <c r="Z76" s="279" t="s">
        <v>54</v>
      </c>
      <c r="AA76" s="279" t="s">
        <v>64</v>
      </c>
      <c r="AB76" s="279" t="s">
        <v>124</v>
      </c>
      <c r="AC76" s="280" t="s">
        <v>127</v>
      </c>
      <c r="AD76" s="281" t="s">
        <v>65</v>
      </c>
    </row>
    <row r="77" spans="1:30" ht="60" x14ac:dyDescent="0.25">
      <c r="F77" s="291" t="s">
        <v>140</v>
      </c>
      <c r="G77" s="292"/>
      <c r="H77" s="141" t="s">
        <v>142</v>
      </c>
      <c r="N77" s="285"/>
      <c r="O77" s="287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79"/>
      <c r="AA77" s="279"/>
      <c r="AB77" s="279"/>
      <c r="AC77" s="280" t="s">
        <v>127</v>
      </c>
      <c r="AD77" s="281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/>
      <c r="R78" s="82">
        <v>7.4999999999999997E-3</v>
      </c>
      <c r="S78" s="194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0</v>
      </c>
      <c r="N79" s="87">
        <v>2</v>
      </c>
      <c r="O79" s="87" t="s">
        <v>112</v>
      </c>
      <c r="P79" s="137"/>
      <c r="Q79" s="137"/>
      <c r="R79" s="82">
        <v>7.4999999999999997E-3</v>
      </c>
      <c r="S79" s="194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87"/>
      <c r="R80" s="82">
        <v>7.4999999999999997E-3</v>
      </c>
      <c r="S80" s="194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137"/>
      <c r="R81" s="82">
        <v>7.4999999999999997E-3</v>
      </c>
      <c r="S81" s="194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196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87"/>
      <c r="R82" s="82">
        <v>7.4999999999999997E-3</v>
      </c>
      <c r="S82" s="194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137"/>
      <c r="Q83" s="137"/>
      <c r="R83" s="82">
        <v>7.4999999999999997E-3</v>
      </c>
      <c r="S83" s="194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196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220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Q101" s="237">
        <f>P78+Q78+U78</f>
        <v>0</v>
      </c>
      <c r="R101" s="85" t="s">
        <v>205</v>
      </c>
    </row>
    <row r="102" spans="14:30" x14ac:dyDescent="0.25">
      <c r="N102" s="85"/>
      <c r="Q102" s="215">
        <f>P79+Q79+U79</f>
        <v>0</v>
      </c>
      <c r="R102" s="85" t="s">
        <v>206</v>
      </c>
    </row>
    <row r="103" spans="14:30" x14ac:dyDescent="0.25">
      <c r="N103" s="85"/>
      <c r="Q103" s="215">
        <f>P80+U80+Q80</f>
        <v>0</v>
      </c>
      <c r="R103" s="85" t="s">
        <v>206</v>
      </c>
    </row>
    <row r="104" spans="14:30" x14ac:dyDescent="0.25">
      <c r="N104" s="85"/>
      <c r="Q104" s="215">
        <f>P81+Q81+U81</f>
        <v>0</v>
      </c>
      <c r="R104" s="85" t="s">
        <v>207</v>
      </c>
    </row>
    <row r="105" spans="14:30" x14ac:dyDescent="0.25">
      <c r="N105" s="85"/>
      <c r="Q105" s="215">
        <f>P82+U82</f>
        <v>0</v>
      </c>
      <c r="R105" s="85" t="s">
        <v>205</v>
      </c>
    </row>
    <row r="106" spans="14:30" x14ac:dyDescent="0.25">
      <c r="N106" s="85"/>
      <c r="Q106" s="215">
        <f>P83+Q83+U83</f>
        <v>0</v>
      </c>
      <c r="R106" s="85" t="s">
        <v>207</v>
      </c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5" priority="1" operator="greaterThan">
      <formula>0</formula>
    </cfRule>
    <cfRule type="cellIs" dxfId="4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zoomScale="90" zoomScaleNormal="90" workbookViewId="0">
      <selection activeCell="B71" sqref="B71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4.855468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59"/>
      <c r="B1" s="296"/>
      <c r="C1" s="296"/>
      <c r="D1" s="296"/>
      <c r="E1" s="296"/>
      <c r="F1" s="296"/>
      <c r="G1" s="296"/>
      <c r="H1" s="296"/>
      <c r="M1" s="76"/>
      <c r="N1" s="71"/>
    </row>
    <row r="2" spans="1:28" s="84" customFormat="1" ht="16.5" customHeight="1" x14ac:dyDescent="0.35">
      <c r="A2" s="259"/>
      <c r="B2" s="296" t="s">
        <v>12</v>
      </c>
      <c r="C2" s="296"/>
      <c r="D2" s="296"/>
      <c r="E2" s="296"/>
      <c r="F2" s="296"/>
      <c r="G2" s="296"/>
      <c r="H2" s="296"/>
      <c r="M2" s="76"/>
      <c r="N2" s="71"/>
    </row>
    <row r="3" spans="1:28" s="84" customFormat="1" ht="21.75" customHeight="1" x14ac:dyDescent="0.25">
      <c r="A3" s="259"/>
      <c r="B3" s="297" t="s">
        <v>188</v>
      </c>
      <c r="C3" s="297"/>
      <c r="D3" s="297"/>
      <c r="E3" s="297"/>
      <c r="F3" s="297"/>
      <c r="G3" s="297"/>
      <c r="H3" s="297"/>
      <c r="M3" s="76"/>
      <c r="N3" s="71"/>
    </row>
    <row r="4" spans="1:28" x14ac:dyDescent="0.25">
      <c r="B4" s="298"/>
      <c r="C4" s="298"/>
      <c r="D4" s="298"/>
      <c r="E4" s="298"/>
      <c r="F4" s="298"/>
      <c r="G4" s="298"/>
      <c r="H4" s="298"/>
    </row>
    <row r="6" spans="1:28" x14ac:dyDescent="0.25">
      <c r="A6" s="7" t="s">
        <v>22</v>
      </c>
      <c r="B6" s="72">
        <v>44499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4.38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885.7</v>
      </c>
      <c r="C12" s="15"/>
      <c r="D12" s="56"/>
      <c r="E12" s="16"/>
      <c r="F12" s="56"/>
      <c r="G12" s="56"/>
      <c r="H12" s="17"/>
      <c r="I12" s="83">
        <v>885.7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>
        <v>152</v>
      </c>
      <c r="Q12" s="153">
        <v>7</v>
      </c>
      <c r="R12" s="154">
        <v>1547.44</v>
      </c>
      <c r="S12" s="155"/>
      <c r="T12" s="155"/>
      <c r="U12" s="189">
        <f>((T12/U$10)*U$9)</f>
        <v>0</v>
      </c>
      <c r="V12" s="189">
        <f>R12*V$10</f>
        <v>11.6058</v>
      </c>
      <c r="W12" s="189">
        <f>+S12*V$10</f>
        <v>0</v>
      </c>
      <c r="X12" s="189">
        <f>+T12*X$10</f>
        <v>0</v>
      </c>
      <c r="Y12" s="189">
        <f>R12-V12</f>
        <v>1535.8342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1353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1353</v>
      </c>
      <c r="K13" s="75"/>
      <c r="L13" s="186">
        <f t="shared" ref="L13:L44" si="1">+G13-K13</f>
        <v>0</v>
      </c>
      <c r="M13" s="106"/>
      <c r="N13" s="104">
        <v>2</v>
      </c>
      <c r="O13" s="152" t="s">
        <v>69</v>
      </c>
      <c r="P13" s="153">
        <v>153</v>
      </c>
      <c r="Q13" s="153">
        <v>7</v>
      </c>
      <c r="R13" s="154">
        <v>780.65</v>
      </c>
      <c r="S13" s="155"/>
      <c r="T13" s="157">
        <v>128.72</v>
      </c>
      <c r="U13" s="189">
        <f t="shared" ref="U13:U41" si="2">((T13/U$10)*U$9)</f>
        <v>5.5482758620689658</v>
      </c>
      <c r="V13" s="189">
        <f t="shared" ref="V13:V41" si="3">R13*V$10</f>
        <v>5.8548749999999998</v>
      </c>
      <c r="W13" s="189">
        <f t="shared" ref="W13:W41" si="4">+S13*V$10</f>
        <v>0</v>
      </c>
      <c r="X13" s="189">
        <f t="shared" ref="X13:X41" si="5">+T13*X$10</f>
        <v>3.218</v>
      </c>
      <c r="Y13" s="189">
        <f t="shared" ref="Y13:Z41" si="6">R13-V13</f>
        <v>774.79512499999998</v>
      </c>
      <c r="Z13" s="189">
        <f t="shared" si="6"/>
        <v>0</v>
      </c>
      <c r="AA13" s="189">
        <f t="shared" ref="AA13:AA41" si="7">T13-U13-X13</f>
        <v>119.95372413793103</v>
      </c>
      <c r="AB13" s="156"/>
    </row>
    <row r="14" spans="1:28" ht="15.75" x14ac:dyDescent="0.25">
      <c r="A14" s="86" t="s">
        <v>83</v>
      </c>
      <c r="B14" s="57">
        <f>B13*B8</f>
        <v>5926.1399999999994</v>
      </c>
      <c r="C14" s="15"/>
      <c r="D14" s="56"/>
      <c r="E14" s="16"/>
      <c r="F14" s="56"/>
      <c r="G14" s="56"/>
      <c r="H14" s="17"/>
      <c r="I14" s="83"/>
      <c r="J14" s="81">
        <f t="shared" si="0"/>
        <v>5926.1399999999994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1353</v>
      </c>
      <c r="C19" s="95"/>
      <c r="D19" s="94"/>
      <c r="E19" s="96"/>
      <c r="F19" s="94"/>
      <c r="G19" s="94"/>
      <c r="H19" s="98"/>
      <c r="I19" s="99"/>
      <c r="J19" s="185">
        <f>B19-I19</f>
        <v>1353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5926.1399999999994</v>
      </c>
      <c r="C20" s="95"/>
      <c r="D20" s="94"/>
      <c r="E20" s="96"/>
      <c r="F20" s="94"/>
      <c r="G20" s="94"/>
      <c r="H20" s="98"/>
      <c r="I20" s="99">
        <v>5926.14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>
        <v>25</v>
      </c>
      <c r="C29" s="100"/>
      <c r="D29" s="66"/>
      <c r="E29" s="67"/>
      <c r="F29" s="66"/>
      <c r="G29" s="66"/>
      <c r="H29" s="102"/>
      <c r="I29" s="79">
        <v>25</v>
      </c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109.5</v>
      </c>
      <c r="C30" s="100"/>
      <c r="D30" s="66"/>
      <c r="E30" s="67"/>
      <c r="F30" s="66"/>
      <c r="G30" s="66"/>
      <c r="H30" s="102"/>
      <c r="I30" s="79"/>
      <c r="J30" s="81">
        <f t="shared" si="0"/>
        <v>109.5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25</v>
      </c>
      <c r="C35" s="95"/>
      <c r="D35" s="94"/>
      <c r="E35" s="96"/>
      <c r="F35" s="94"/>
      <c r="G35" s="94"/>
      <c r="H35" s="98"/>
      <c r="I35" s="99"/>
      <c r="J35" s="185">
        <f t="shared" si="0"/>
        <v>25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109.5</v>
      </c>
      <c r="C36" s="95"/>
      <c r="D36" s="94"/>
      <c r="E36" s="96"/>
      <c r="F36" s="94"/>
      <c r="G36" s="94"/>
      <c r="H36" s="98"/>
      <c r="I36" s="99"/>
      <c r="J36" s="185">
        <f t="shared" si="0"/>
        <v>109.5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>
        <v>100</v>
      </c>
      <c r="C37" s="100"/>
      <c r="D37" s="66"/>
      <c r="E37" s="67"/>
      <c r="F37" s="66"/>
      <c r="G37" s="66"/>
      <c r="H37" s="102"/>
      <c r="I37" s="79">
        <v>100</v>
      </c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438</v>
      </c>
      <c r="C38" s="100"/>
      <c r="D38" s="66"/>
      <c r="E38" s="67"/>
      <c r="F38" s="66"/>
      <c r="G38" s="66"/>
      <c r="H38" s="102"/>
      <c r="I38" s="79"/>
      <c r="J38" s="81">
        <f t="shared" si="0"/>
        <v>438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3" t="s">
        <v>107</v>
      </c>
      <c r="O42" s="294"/>
      <c r="P42" s="294"/>
      <c r="Q42" s="295"/>
      <c r="R42" s="190">
        <f t="shared" ref="R42:AA42" si="8">SUM(R12:R41)</f>
        <v>2328.09</v>
      </c>
      <c r="S42" s="190">
        <f t="shared" si="8"/>
        <v>0</v>
      </c>
      <c r="T42" s="190">
        <f t="shared" si="8"/>
        <v>128.72</v>
      </c>
      <c r="U42" s="190">
        <f t="shared" si="8"/>
        <v>5.5482758620689658</v>
      </c>
      <c r="V42" s="190">
        <f t="shared" si="8"/>
        <v>17.460675000000002</v>
      </c>
      <c r="W42" s="190">
        <f t="shared" si="8"/>
        <v>0</v>
      </c>
      <c r="X42" s="190">
        <f t="shared" si="8"/>
        <v>3.218</v>
      </c>
      <c r="Y42" s="190">
        <f t="shared" si="8"/>
        <v>2310.6293249999999</v>
      </c>
      <c r="Z42" s="190">
        <f t="shared" si="8"/>
        <v>0</v>
      </c>
      <c r="AA42" s="190">
        <f t="shared" si="8"/>
        <v>119.95372413793103</v>
      </c>
      <c r="AB42" s="166"/>
    </row>
    <row r="43" spans="1:28" ht="15.75" x14ac:dyDescent="0.25">
      <c r="A43" s="93" t="s">
        <v>103</v>
      </c>
      <c r="B43" s="97">
        <f>+B37+B39+B41</f>
        <v>100</v>
      </c>
      <c r="C43" s="95"/>
      <c r="D43" s="94"/>
      <c r="E43" s="96"/>
      <c r="F43" s="94"/>
      <c r="G43" s="94"/>
      <c r="H43" s="98"/>
      <c r="I43" s="99"/>
      <c r="J43" s="185">
        <f t="shared" si="0"/>
        <v>100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438</v>
      </c>
      <c r="C44" s="95"/>
      <c r="D44" s="94"/>
      <c r="E44" s="96"/>
      <c r="F44" s="94"/>
      <c r="G44" s="94"/>
      <c r="H44" s="98"/>
      <c r="I44" s="99"/>
      <c r="J44" s="185">
        <f t="shared" si="0"/>
        <v>438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2328.09</v>
      </c>
      <c r="C46" s="116">
        <v>7.4999999999999997E-3</v>
      </c>
      <c r="D46" s="117">
        <f>B46*C46</f>
        <v>17.460675000000002</v>
      </c>
      <c r="E46" s="172">
        <v>0</v>
      </c>
      <c r="F46" s="117">
        <f t="shared" ref="F46:F50" si="15">D46*E46</f>
        <v>0</v>
      </c>
      <c r="G46" s="117">
        <f t="shared" ref="G46:G51" si="16">B46-D46-F46</f>
        <v>2310.6293250000003</v>
      </c>
      <c r="H46" s="173">
        <f>B$6+1</f>
        <v>44500</v>
      </c>
      <c r="I46" s="174"/>
      <c r="J46" s="81">
        <f t="shared" si="0"/>
        <v>2328.09</v>
      </c>
      <c r="K46" s="80"/>
      <c r="L46" s="186">
        <f t="shared" ref="L46:L64" si="17">+G46-K46</f>
        <v>2310.6293250000003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44500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172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44500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173</v>
      </c>
      <c r="B49" s="117">
        <f>R75</f>
        <v>6147.95</v>
      </c>
      <c r="C49" s="116">
        <v>7.4999999999999997E-3</v>
      </c>
      <c r="D49" s="117">
        <f t="shared" si="18"/>
        <v>46.109624999999994</v>
      </c>
      <c r="E49" s="172">
        <v>0</v>
      </c>
      <c r="F49" s="117">
        <f t="shared" si="15"/>
        <v>0</v>
      </c>
      <c r="G49" s="117">
        <f t="shared" si="16"/>
        <v>6101.8403749999998</v>
      </c>
      <c r="H49" s="173">
        <f t="shared" si="19"/>
        <v>44500</v>
      </c>
      <c r="I49" s="176"/>
      <c r="J49" s="81">
        <f t="shared" si="0"/>
        <v>6147.95</v>
      </c>
      <c r="K49" s="80"/>
      <c r="L49" s="186">
        <f t="shared" si="17"/>
        <v>6101.8403749999998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0</v>
      </c>
      <c r="C50" s="116">
        <v>7.4999999999999997E-3</v>
      </c>
      <c r="D50" s="117">
        <f t="shared" si="18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44500</v>
      </c>
      <c r="I50" s="175"/>
      <c r="J50" s="81">
        <f t="shared" si="0"/>
        <v>0</v>
      </c>
      <c r="K50" s="80"/>
      <c r="L50" s="186">
        <f t="shared" si="17"/>
        <v>0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44500</v>
      </c>
      <c r="I51" s="175"/>
      <c r="J51" s="81">
        <f t="shared" si="0"/>
        <v>0</v>
      </c>
      <c r="K51" s="80"/>
      <c r="L51" s="186">
        <f t="shared" si="17"/>
        <v>0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128.72</v>
      </c>
      <c r="C52" s="116">
        <v>2.5000000000000001E-2</v>
      </c>
      <c r="D52" s="117">
        <f>B52*C52</f>
        <v>3.218</v>
      </c>
      <c r="E52" s="172">
        <v>0.05</v>
      </c>
      <c r="F52" s="117">
        <f>(B52/E$10)*E52</f>
        <v>5.5482758620689658</v>
      </c>
      <c r="G52" s="117">
        <f>B52-D52-F52</f>
        <v>119.95372413793103</v>
      </c>
      <c r="H52" s="188">
        <f t="shared" si="19"/>
        <v>44500</v>
      </c>
      <c r="I52" s="176">
        <v>128.72</v>
      </c>
      <c r="J52" s="81">
        <f t="shared" si="0"/>
        <v>0</v>
      </c>
      <c r="K52" s="80"/>
      <c r="L52" s="186">
        <f t="shared" si="17"/>
        <v>119.95372413793103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44500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44500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44500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44500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44502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44504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44529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66.788299999999992</v>
      </c>
      <c r="E61" s="177"/>
      <c r="F61" s="57">
        <f>SUM(F46:F58)</f>
        <v>5.5482758620689658</v>
      </c>
      <c r="G61" s="57">
        <f>SUM(G46:G58)</f>
        <v>8532.4234241379309</v>
      </c>
      <c r="H61" s="173">
        <f t="shared" si="19"/>
        <v>44500</v>
      </c>
      <c r="I61" s="175"/>
      <c r="J61" s="81">
        <f t="shared" si="0"/>
        <v>0</v>
      </c>
      <c r="K61" s="80"/>
      <c r="L61" s="186">
        <f t="shared" si="17"/>
        <v>8532.4234241379309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44500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2" t="s">
        <v>109</v>
      </c>
      <c r="O63" s="282"/>
      <c r="P63" s="282"/>
      <c r="Q63" s="28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17064.846848275862</v>
      </c>
      <c r="H64" s="184"/>
      <c r="I64" s="175"/>
      <c r="J64" s="81">
        <f t="shared" si="0"/>
        <v>0</v>
      </c>
      <c r="K64" s="80"/>
      <c r="L64" s="186">
        <f t="shared" si="17"/>
        <v>17064.846848275862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15964.1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9" t="s">
        <v>20</v>
      </c>
      <c r="B67" s="300"/>
      <c r="F67" s="301" t="s">
        <v>136</v>
      </c>
      <c r="G67" s="301"/>
      <c r="H67" s="301"/>
      <c r="I67" s="302" t="s">
        <v>138</v>
      </c>
      <c r="J67" s="303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15956.99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15956.99</v>
      </c>
      <c r="C69" s="59"/>
      <c r="F69" s="87" t="s">
        <v>129</v>
      </c>
      <c r="G69" s="22"/>
      <c r="H69" s="89"/>
      <c r="I69" s="136"/>
      <c r="J69" s="136">
        <f>K52</f>
        <v>0</v>
      </c>
      <c r="N69" s="282" t="s">
        <v>110</v>
      </c>
      <c r="O69" s="282"/>
      <c r="P69" s="283"/>
      <c r="Q69" s="28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B68-B67</f>
        <v>15956.99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208</v>
      </c>
      <c r="P70" s="87">
        <v>346</v>
      </c>
      <c r="Q70" s="87">
        <v>2003</v>
      </c>
      <c r="R70" s="137">
        <v>860.3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6.4522499999999994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853.84774999999991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7.1100000000005821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208</v>
      </c>
      <c r="P71" s="87">
        <v>347</v>
      </c>
      <c r="Q71" s="87">
        <v>2003</v>
      </c>
      <c r="R71" s="137">
        <v>1382.7</v>
      </c>
      <c r="S71" s="87"/>
      <c r="T71" s="87"/>
      <c r="U71" s="189">
        <f t="shared" si="34"/>
        <v>0</v>
      </c>
      <c r="V71" s="189">
        <f t="shared" si="35"/>
        <v>10.37025</v>
      </c>
      <c r="W71" s="189">
        <f t="shared" si="36"/>
        <v>0</v>
      </c>
      <c r="X71" s="189">
        <f t="shared" si="37"/>
        <v>0</v>
      </c>
      <c r="Y71" s="189">
        <f t="shared" si="38"/>
        <v>1372.3297500000001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208</v>
      </c>
      <c r="P72" s="87">
        <f>440+441</f>
        <v>881</v>
      </c>
      <c r="Q72" s="87">
        <v>2002</v>
      </c>
      <c r="R72" s="87">
        <f>683.44+1242.3</f>
        <v>1925.74</v>
      </c>
      <c r="S72" s="87"/>
      <c r="T72" s="87"/>
      <c r="U72" s="189">
        <f t="shared" si="34"/>
        <v>0</v>
      </c>
      <c r="V72" s="189">
        <f t="shared" si="35"/>
        <v>14.443049999999999</v>
      </c>
      <c r="W72" s="189">
        <f t="shared" si="36"/>
        <v>0</v>
      </c>
      <c r="X72" s="189">
        <f t="shared" si="37"/>
        <v>0</v>
      </c>
      <c r="Y72" s="189">
        <f t="shared" si="38"/>
        <v>1911.2969499999999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186</v>
      </c>
      <c r="P73" s="87">
        <v>364</v>
      </c>
      <c r="Q73" s="87">
        <v>2002</v>
      </c>
      <c r="R73" s="87">
        <v>652.91</v>
      </c>
      <c r="S73" s="87"/>
      <c r="T73" s="87"/>
      <c r="U73" s="189">
        <f t="shared" si="34"/>
        <v>0</v>
      </c>
      <c r="V73" s="189">
        <f t="shared" si="35"/>
        <v>4.8968249999999998</v>
      </c>
      <c r="W73" s="189">
        <f t="shared" si="36"/>
        <v>0</v>
      </c>
      <c r="X73" s="189">
        <f t="shared" si="37"/>
        <v>0</v>
      </c>
      <c r="Y73" s="189">
        <f t="shared" si="38"/>
        <v>648.01317499999993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186</v>
      </c>
      <c r="P74" s="87">
        <v>363</v>
      </c>
      <c r="Q74" s="87">
        <v>2002</v>
      </c>
      <c r="R74" s="137">
        <v>1326.3</v>
      </c>
      <c r="S74" s="87"/>
      <c r="T74" s="87"/>
      <c r="U74" s="189">
        <f t="shared" si="34"/>
        <v>0</v>
      </c>
      <c r="V74" s="189">
        <f t="shared" si="35"/>
        <v>9.9472499999999986</v>
      </c>
      <c r="W74" s="189">
        <f t="shared" si="36"/>
        <v>0</v>
      </c>
      <c r="X74" s="189">
        <f t="shared" si="37"/>
        <v>0</v>
      </c>
      <c r="Y74" s="189">
        <f t="shared" si="38"/>
        <v>1316.35275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2" t="s">
        <v>128</v>
      </c>
      <c r="O75" s="282"/>
      <c r="P75" s="283"/>
      <c r="Q75" s="283"/>
      <c r="R75" s="192">
        <f>SUM(R70:R74)</f>
        <v>6147.95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46.109624999999994</v>
      </c>
      <c r="W75" s="192">
        <f t="shared" si="41"/>
        <v>0</v>
      </c>
      <c r="X75" s="192">
        <f t="shared" si="41"/>
        <v>0</v>
      </c>
      <c r="Y75" s="192">
        <f t="shared" si="41"/>
        <v>6101.8403749999998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4" t="s">
        <v>73</v>
      </c>
      <c r="O76" s="286" t="s">
        <v>67</v>
      </c>
      <c r="P76" s="282" t="s">
        <v>62</v>
      </c>
      <c r="Q76" s="282"/>
      <c r="R76" s="282"/>
      <c r="S76" s="282"/>
      <c r="T76" s="282"/>
      <c r="U76" s="288" t="s">
        <v>68</v>
      </c>
      <c r="V76" s="289"/>
      <c r="W76" s="289"/>
      <c r="X76" s="289"/>
      <c r="Y76" s="290"/>
      <c r="Z76" s="279" t="s">
        <v>54</v>
      </c>
      <c r="AA76" s="279" t="s">
        <v>64</v>
      </c>
      <c r="AB76" s="279" t="s">
        <v>124</v>
      </c>
      <c r="AC76" s="280" t="s">
        <v>127</v>
      </c>
      <c r="AD76" s="281" t="s">
        <v>65</v>
      </c>
    </row>
    <row r="77" spans="1:30" ht="60" x14ac:dyDescent="0.25">
      <c r="F77" s="291" t="s">
        <v>140</v>
      </c>
      <c r="G77" s="292"/>
      <c r="H77" s="141" t="s">
        <v>142</v>
      </c>
      <c r="N77" s="285"/>
      <c r="O77" s="287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79"/>
      <c r="AA77" s="279"/>
      <c r="AB77" s="279"/>
      <c r="AC77" s="280" t="s">
        <v>127</v>
      </c>
      <c r="AD77" s="281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/>
      <c r="Q78" s="137"/>
      <c r="R78" s="82">
        <v>7.4999999999999997E-3</v>
      </c>
      <c r="S78" s="216">
        <f>+(P78+Q78)*R78</f>
        <v>0</v>
      </c>
      <c r="T78" s="219">
        <f>+(P78+Q78)-S78</f>
        <v>0</v>
      </c>
      <c r="U78" s="211"/>
      <c r="V78" s="112"/>
      <c r="W78" s="113">
        <v>1.4999999999999999E-2</v>
      </c>
      <c r="X78" s="217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/>
      <c r="N79" s="87">
        <v>2</v>
      </c>
      <c r="O79" s="87" t="s">
        <v>112</v>
      </c>
      <c r="P79" s="87"/>
      <c r="Q79" s="137"/>
      <c r="R79" s="82">
        <v>7.4999999999999997E-3</v>
      </c>
      <c r="S79" s="216">
        <f t="shared" ref="S79:S97" si="43">+(P79+Q79)*R79</f>
        <v>0</v>
      </c>
      <c r="T79" s="219">
        <f t="shared" ref="T79:T97" si="44">+(P79+Q79)-S79</f>
        <v>0</v>
      </c>
      <c r="U79" s="211"/>
      <c r="V79" s="112"/>
      <c r="W79" s="113">
        <v>1.4999999999999999E-2</v>
      </c>
      <c r="X79" s="217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87"/>
      <c r="Q80" s="137"/>
      <c r="R80" s="82">
        <v>7.4999999999999997E-3</v>
      </c>
      <c r="S80" s="216">
        <f t="shared" si="43"/>
        <v>0</v>
      </c>
      <c r="T80" s="219">
        <f t="shared" si="44"/>
        <v>0</v>
      </c>
      <c r="U80" s="211"/>
      <c r="V80" s="112"/>
      <c r="W80" s="113">
        <v>1.4999999999999999E-2</v>
      </c>
      <c r="X80" s="217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87"/>
      <c r="Q81" s="137"/>
      <c r="R81" s="82">
        <v>7.4999999999999997E-3</v>
      </c>
      <c r="S81" s="216">
        <f t="shared" si="43"/>
        <v>0</v>
      </c>
      <c r="T81" s="219">
        <f t="shared" si="44"/>
        <v>0</v>
      </c>
      <c r="U81" s="211"/>
      <c r="V81" s="112"/>
      <c r="W81" s="113">
        <v>1.4999999999999999E-2</v>
      </c>
      <c r="X81" s="217">
        <f t="shared" si="45"/>
        <v>0</v>
      </c>
      <c r="Y81" s="217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87"/>
      <c r="Q82" s="87"/>
      <c r="R82" s="82">
        <v>7.4999999999999997E-3</v>
      </c>
      <c r="S82" s="216">
        <f t="shared" si="43"/>
        <v>0</v>
      </c>
      <c r="T82" s="219">
        <f t="shared" si="44"/>
        <v>0</v>
      </c>
      <c r="U82" s="211"/>
      <c r="V82" s="112"/>
      <c r="W82" s="113">
        <v>1.4999999999999999E-2</v>
      </c>
      <c r="X82" s="217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137"/>
      <c r="R83" s="82">
        <v>7.4999999999999997E-3</v>
      </c>
      <c r="S83" s="216">
        <f t="shared" si="43"/>
        <v>0</v>
      </c>
      <c r="T83" s="219">
        <f t="shared" si="44"/>
        <v>0</v>
      </c>
      <c r="U83" s="211"/>
      <c r="V83" s="112"/>
      <c r="W83" s="113">
        <v>1.4999999999999999E-2</v>
      </c>
      <c r="X83" s="217">
        <f t="shared" si="45"/>
        <v>0</v>
      </c>
      <c r="Y83" s="217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216">
        <f t="shared" si="43"/>
        <v>0</v>
      </c>
      <c r="T84" s="219">
        <f t="shared" si="44"/>
        <v>0</v>
      </c>
      <c r="U84" s="112"/>
      <c r="V84" s="112"/>
      <c r="W84" s="113">
        <v>1.4999999999999999E-2</v>
      </c>
      <c r="X84" s="217">
        <f t="shared" si="45"/>
        <v>0</v>
      </c>
      <c r="Y84" s="217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217">
        <f t="shared" si="45"/>
        <v>0</v>
      </c>
      <c r="Y85" s="217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5.3E-3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5">
        <f>P78+Q78+U78</f>
        <v>0</v>
      </c>
    </row>
    <row r="102" spans="14:30" x14ac:dyDescent="0.25">
      <c r="N102" s="85"/>
      <c r="P102" s="215">
        <f>P79+Q79+U79</f>
        <v>0</v>
      </c>
    </row>
    <row r="103" spans="14:30" x14ac:dyDescent="0.25">
      <c r="N103" s="85"/>
      <c r="P103" s="215">
        <f>P80+Q80+U80</f>
        <v>0</v>
      </c>
    </row>
    <row r="104" spans="14:30" x14ac:dyDescent="0.25">
      <c r="N104" s="85"/>
      <c r="P104" s="212">
        <f>P81+Q81+U81</f>
        <v>0</v>
      </c>
    </row>
    <row r="105" spans="14:30" x14ac:dyDescent="0.25">
      <c r="N105" s="85"/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3" priority="1" operator="greaterThan">
      <formula>0</formula>
    </cfRule>
    <cfRule type="cellIs" dxfId="2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N46" zoomScale="90" zoomScaleNormal="90" workbookViewId="0">
      <selection activeCell="Q49" sqref="Q49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1.14062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59"/>
      <c r="B1" s="296"/>
      <c r="C1" s="296"/>
      <c r="D1" s="296"/>
      <c r="E1" s="296"/>
      <c r="F1" s="296"/>
      <c r="G1" s="296"/>
      <c r="H1" s="296"/>
      <c r="M1" s="76"/>
      <c r="N1" s="71"/>
    </row>
    <row r="2" spans="1:28" s="84" customFormat="1" ht="16.5" customHeight="1" x14ac:dyDescent="0.35">
      <c r="A2" s="259"/>
      <c r="B2" s="296" t="s">
        <v>12</v>
      </c>
      <c r="C2" s="296"/>
      <c r="D2" s="296"/>
      <c r="E2" s="296"/>
      <c r="F2" s="296"/>
      <c r="G2" s="296"/>
      <c r="H2" s="296"/>
      <c r="M2" s="76"/>
      <c r="N2" s="71"/>
    </row>
    <row r="3" spans="1:28" s="84" customFormat="1" ht="21.75" customHeight="1" x14ac:dyDescent="0.25">
      <c r="A3" s="259"/>
      <c r="B3" s="297"/>
      <c r="C3" s="297"/>
      <c r="D3" s="297"/>
      <c r="E3" s="297"/>
      <c r="F3" s="297"/>
      <c r="G3" s="297"/>
      <c r="H3" s="297"/>
      <c r="M3" s="76"/>
      <c r="N3" s="71"/>
    </row>
    <row r="4" spans="1:28" x14ac:dyDescent="0.25">
      <c r="B4" s="298" t="s">
        <v>245</v>
      </c>
      <c r="C4" s="298"/>
      <c r="D4" s="298"/>
      <c r="E4" s="298"/>
      <c r="F4" s="298"/>
      <c r="G4" s="298"/>
      <c r="H4" s="298"/>
    </row>
    <row r="6" spans="1:28" x14ac:dyDescent="0.25">
      <c r="A6" s="7" t="s">
        <v>22</v>
      </c>
      <c r="B6" s="72">
        <v>44500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4.38</v>
      </c>
      <c r="C8" s="85" t="s">
        <v>94</v>
      </c>
      <c r="D8" s="108"/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476.26</v>
      </c>
      <c r="C12" s="15"/>
      <c r="D12" s="56"/>
      <c r="E12" s="16"/>
      <c r="F12" s="56"/>
      <c r="G12" s="56"/>
      <c r="H12" s="17"/>
      <c r="I12" s="83">
        <v>476.26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246</v>
      </c>
      <c r="P12" s="153">
        <v>154</v>
      </c>
      <c r="Q12" s="153">
        <v>7</v>
      </c>
      <c r="R12" s="154">
        <v>823.06</v>
      </c>
      <c r="S12" s="155"/>
      <c r="T12" s="155">
        <v>15.8</v>
      </c>
      <c r="U12" s="189">
        <f>((T12/U$10)*U$9)</f>
        <v>0.68103448275862077</v>
      </c>
      <c r="V12" s="189">
        <f>R12*V$10</f>
        <v>6.1729499999999993</v>
      </c>
      <c r="W12" s="189">
        <f>+S12*V$10</f>
        <v>0</v>
      </c>
      <c r="X12" s="189">
        <f>+T12*X$10</f>
        <v>0.39500000000000002</v>
      </c>
      <c r="Y12" s="189">
        <f>R12-V12</f>
        <v>816.88704999999993</v>
      </c>
      <c r="Z12" s="189">
        <f>S12-W12</f>
        <v>0</v>
      </c>
      <c r="AA12" s="189">
        <f>T12-U12-X12</f>
        <v>14.72396551724138</v>
      </c>
      <c r="AB12" s="156"/>
    </row>
    <row r="13" spans="1:28" ht="15.75" x14ac:dyDescent="0.25">
      <c r="A13" s="86" t="s">
        <v>76</v>
      </c>
      <c r="B13" s="89">
        <v>1468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1468</v>
      </c>
      <c r="K13" s="75"/>
      <c r="L13" s="186">
        <f t="shared" ref="L13:L44" si="1">+G13-K13</f>
        <v>0</v>
      </c>
      <c r="M13" s="106"/>
      <c r="N13" s="104">
        <v>2</v>
      </c>
      <c r="O13" s="152" t="s">
        <v>246</v>
      </c>
      <c r="P13" s="153">
        <v>155</v>
      </c>
      <c r="Q13" s="153">
        <v>7</v>
      </c>
      <c r="R13" s="154">
        <v>511.55</v>
      </c>
      <c r="S13" s="155"/>
      <c r="T13" s="157"/>
      <c r="U13" s="189">
        <f t="shared" ref="U13:U41" si="2">((T13/U$10)*U$9)</f>
        <v>0</v>
      </c>
      <c r="V13" s="189">
        <f t="shared" ref="V13:V41" si="3">R13*V$10</f>
        <v>3.8366249999999997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Z41" si="6">R13-V13</f>
        <v>507.71337499999998</v>
      </c>
      <c r="Z13" s="189">
        <f t="shared" si="6"/>
        <v>0</v>
      </c>
      <c r="AA13" s="189">
        <f t="shared" ref="AA13:AA41" si="7">T13-U13-X13</f>
        <v>0</v>
      </c>
      <c r="AB13" s="156"/>
    </row>
    <row r="14" spans="1:28" ht="15.75" x14ac:dyDescent="0.25">
      <c r="A14" s="86" t="s">
        <v>83</v>
      </c>
      <c r="B14" s="57">
        <f>B13*B8</f>
        <v>6429.84</v>
      </c>
      <c r="C14" s="15"/>
      <c r="D14" s="56"/>
      <c r="E14" s="16"/>
      <c r="F14" s="56"/>
      <c r="G14" s="56"/>
      <c r="H14" s="17"/>
      <c r="I14" s="83"/>
      <c r="J14" s="81">
        <f t="shared" si="0"/>
        <v>6429.84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6"/>
        <v>0</v>
      </c>
      <c r="AA14" s="189">
        <f t="shared" si="7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6"/>
        <v>0</v>
      </c>
      <c r="AA15" s="189">
        <f t="shared" si="7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6"/>
        <v>0</v>
      </c>
      <c r="AA16" s="189">
        <f t="shared" si="7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6"/>
        <v>0</v>
      </c>
      <c r="AA17" s="189">
        <f t="shared" si="7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6"/>
        <v>0</v>
      </c>
      <c r="AA18" s="189">
        <f t="shared" si="7"/>
        <v>0</v>
      </c>
      <c r="AB18" s="156"/>
    </row>
    <row r="19" spans="1:28" ht="15.75" x14ac:dyDescent="0.25">
      <c r="A19" s="93" t="s">
        <v>81</v>
      </c>
      <c r="B19" s="97">
        <f>+B13+B15+B17</f>
        <v>1468</v>
      </c>
      <c r="C19" s="95"/>
      <c r="D19" s="94"/>
      <c r="E19" s="96"/>
      <c r="F19" s="94"/>
      <c r="G19" s="94"/>
      <c r="H19" s="98"/>
      <c r="I19" s="99"/>
      <c r="J19" s="185">
        <f>B19-I19</f>
        <v>1468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6"/>
        <v>0</v>
      </c>
      <c r="AA19" s="189">
        <f t="shared" si="7"/>
        <v>0</v>
      </c>
      <c r="AB19" s="156"/>
    </row>
    <row r="20" spans="1:28" ht="15.75" x14ac:dyDescent="0.25">
      <c r="A20" s="93" t="s">
        <v>82</v>
      </c>
      <c r="B20" s="97">
        <f>+B14+B16+B18</f>
        <v>6429.84</v>
      </c>
      <c r="C20" s="95"/>
      <c r="D20" s="94"/>
      <c r="E20" s="96"/>
      <c r="F20" s="94"/>
      <c r="G20" s="94"/>
      <c r="H20" s="98"/>
      <c r="I20" s="99">
        <v>6429.84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6"/>
        <v>0</v>
      </c>
      <c r="AA20" s="189">
        <f t="shared" si="7"/>
        <v>0</v>
      </c>
      <c r="AB20" s="156"/>
    </row>
    <row r="21" spans="1:28" ht="15.75" x14ac:dyDescent="0.25">
      <c r="A21" s="86" t="s">
        <v>84</v>
      </c>
      <c r="B21" s="89"/>
      <c r="C21" s="100"/>
      <c r="D21" s="66"/>
      <c r="E21" s="67"/>
      <c r="F21" s="66"/>
      <c r="G21" s="66"/>
      <c r="H21" s="102"/>
      <c r="I21" s="79"/>
      <c r="J21" s="81">
        <f t="shared" si="0"/>
        <v>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6"/>
        <v>0</v>
      </c>
      <c r="AA21" s="189">
        <f t="shared" si="7"/>
        <v>0</v>
      </c>
      <c r="AB21" s="156"/>
    </row>
    <row r="22" spans="1:28" ht="15.75" x14ac:dyDescent="0.25">
      <c r="A22" s="86" t="s">
        <v>87</v>
      </c>
      <c r="B22" s="57">
        <f>B21*D8</f>
        <v>0</v>
      </c>
      <c r="C22" s="100"/>
      <c r="D22" s="66"/>
      <c r="E22" s="67"/>
      <c r="F22" s="66"/>
      <c r="G22" s="66"/>
      <c r="H22" s="102"/>
      <c r="I22" s="79"/>
      <c r="J22" s="81">
        <f t="shared" si="0"/>
        <v>0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6"/>
        <v>0</v>
      </c>
      <c r="AA22" s="189">
        <f t="shared" si="7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6"/>
        <v>0</v>
      </c>
      <c r="AA23" s="189">
        <f t="shared" si="7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6"/>
        <v>0</v>
      </c>
      <c r="AA24" s="189">
        <f t="shared" si="7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6"/>
        <v>0</v>
      </c>
      <c r="AA25" s="189">
        <f t="shared" si="7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6"/>
        <v>0</v>
      </c>
      <c r="AA26" s="189">
        <f t="shared" si="7"/>
        <v>0</v>
      </c>
      <c r="AB26" s="163"/>
    </row>
    <row r="27" spans="1:28" ht="15.75" x14ac:dyDescent="0.25">
      <c r="A27" s="93" t="s">
        <v>88</v>
      </c>
      <c r="B27" s="97">
        <f>+B21+B23+B25</f>
        <v>0</v>
      </c>
      <c r="C27" s="95"/>
      <c r="D27" s="94"/>
      <c r="E27" s="96"/>
      <c r="F27" s="94"/>
      <c r="G27" s="94"/>
      <c r="H27" s="98"/>
      <c r="I27" s="99"/>
      <c r="J27" s="185">
        <f t="shared" si="0"/>
        <v>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6"/>
        <v>0</v>
      </c>
      <c r="AA27" s="189">
        <f t="shared" si="7"/>
        <v>0</v>
      </c>
      <c r="AB27" s="163"/>
    </row>
    <row r="28" spans="1:28" ht="15.75" x14ac:dyDescent="0.25">
      <c r="A28" s="93" t="s">
        <v>89</v>
      </c>
      <c r="B28" s="97">
        <f>+B22+B24+B26</f>
        <v>0</v>
      </c>
      <c r="C28" s="95"/>
      <c r="D28" s="94"/>
      <c r="E28" s="96"/>
      <c r="F28" s="94"/>
      <c r="G28" s="94"/>
      <c r="H28" s="98"/>
      <c r="I28" s="99"/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6"/>
        <v>0</v>
      </c>
      <c r="AA28" s="189">
        <f t="shared" si="7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si="1"/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6"/>
        <v>0</v>
      </c>
      <c r="AA29" s="189">
        <f t="shared" si="7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1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6"/>
        <v>0</v>
      </c>
      <c r="AA30" s="189">
        <f t="shared" si="7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1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6"/>
        <v>0</v>
      </c>
      <c r="AA31" s="189">
        <f t="shared" si="7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1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6"/>
        <v>0</v>
      </c>
      <c r="AA32" s="189">
        <f t="shared" si="7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1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6"/>
        <v>0</v>
      </c>
      <c r="AA33" s="189">
        <f t="shared" si="7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1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6"/>
        <v>0</v>
      </c>
      <c r="AA34" s="189">
        <f t="shared" si="7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1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6"/>
        <v>0</v>
      </c>
      <c r="AA35" s="189">
        <f t="shared" si="7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1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6"/>
        <v>0</v>
      </c>
      <c r="AA36" s="189">
        <f t="shared" si="7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1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6"/>
        <v>0</v>
      </c>
      <c r="AA37" s="189">
        <f t="shared" si="7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1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6"/>
        <v>0</v>
      </c>
      <c r="AA38" s="189">
        <f t="shared" si="7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1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6"/>
        <v>0</v>
      </c>
      <c r="AA39" s="189">
        <f t="shared" si="7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1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6"/>
        <v>0</v>
      </c>
      <c r="AA40" s="189">
        <f t="shared" si="7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1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6"/>
        <v>0</v>
      </c>
      <c r="AA41" s="189">
        <f t="shared" si="7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1"/>
        <v>0</v>
      </c>
      <c r="M42" s="107"/>
      <c r="N42" s="293" t="s">
        <v>107</v>
      </c>
      <c r="O42" s="294"/>
      <c r="P42" s="294"/>
      <c r="Q42" s="295"/>
      <c r="R42" s="190">
        <f t="shared" ref="R42:AA42" si="8">SUM(R12:R41)</f>
        <v>1334.61</v>
      </c>
      <c r="S42" s="190">
        <f t="shared" si="8"/>
        <v>0</v>
      </c>
      <c r="T42" s="190">
        <f t="shared" si="8"/>
        <v>15.8</v>
      </c>
      <c r="U42" s="190">
        <f t="shared" si="8"/>
        <v>0.68103448275862077</v>
      </c>
      <c r="V42" s="190">
        <f t="shared" si="8"/>
        <v>10.009574999999998</v>
      </c>
      <c r="W42" s="190">
        <f t="shared" si="8"/>
        <v>0</v>
      </c>
      <c r="X42" s="190">
        <f t="shared" si="8"/>
        <v>0.39500000000000002</v>
      </c>
      <c r="Y42" s="190">
        <f t="shared" si="8"/>
        <v>1324.6004249999999</v>
      </c>
      <c r="Z42" s="190">
        <f t="shared" si="8"/>
        <v>0</v>
      </c>
      <c r="AA42" s="190">
        <f t="shared" si="8"/>
        <v>14.72396551724138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1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:U62" si="9">((T43/U$10)*U$9)</f>
        <v>0</v>
      </c>
      <c r="V43" s="189">
        <f t="shared" ref="V43:V62" si="10">R43*V$10</f>
        <v>0</v>
      </c>
      <c r="W43" s="189">
        <f t="shared" ref="W43:W62" si="11">+S43*V$10</f>
        <v>0</v>
      </c>
      <c r="X43" s="189">
        <f t="shared" ref="X43:X62" si="12">+T43*X$10</f>
        <v>0</v>
      </c>
      <c r="Y43" s="189">
        <f t="shared" ref="Y43:Z58" si="13">R43-V43</f>
        <v>0</v>
      </c>
      <c r="Z43" s="189">
        <f t="shared" si="13"/>
        <v>0</v>
      </c>
      <c r="AA43" s="189">
        <f t="shared" ref="AA43:AA62" si="14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1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si="9"/>
        <v>0</v>
      </c>
      <c r="V44" s="189">
        <f t="shared" si="10"/>
        <v>0</v>
      </c>
      <c r="W44" s="189">
        <f t="shared" si="11"/>
        <v>0</v>
      </c>
      <c r="X44" s="189">
        <f t="shared" si="12"/>
        <v>0</v>
      </c>
      <c r="Y44" s="189">
        <f t="shared" si="13"/>
        <v>0</v>
      </c>
      <c r="Z44" s="189">
        <f t="shared" si="13"/>
        <v>0</v>
      </c>
      <c r="AA44" s="189">
        <f t="shared" si="14"/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9"/>
        <v>0</v>
      </c>
      <c r="V45" s="189">
        <f t="shared" si="10"/>
        <v>0</v>
      </c>
      <c r="W45" s="189">
        <f t="shared" si="11"/>
        <v>0</v>
      </c>
      <c r="X45" s="189">
        <f t="shared" si="12"/>
        <v>0</v>
      </c>
      <c r="Y45" s="189">
        <f t="shared" si="13"/>
        <v>0</v>
      </c>
      <c r="Z45" s="189">
        <f t="shared" si="13"/>
        <v>0</v>
      </c>
      <c r="AA45" s="189">
        <f t="shared" si="14"/>
        <v>0</v>
      </c>
      <c r="AB45" s="156"/>
    </row>
    <row r="46" spans="1:28" ht="15.75" x14ac:dyDescent="0.25">
      <c r="A46" s="115" t="s">
        <v>28</v>
      </c>
      <c r="B46" s="117">
        <f>R42</f>
        <v>1334.61</v>
      </c>
      <c r="C46" s="116">
        <v>7.4999999999999997E-3</v>
      </c>
      <c r="D46" s="117">
        <f>B46*C46</f>
        <v>10.009574999999998</v>
      </c>
      <c r="E46" s="172">
        <v>0</v>
      </c>
      <c r="F46" s="117">
        <f t="shared" ref="F46:F50" si="15">D46*E46</f>
        <v>0</v>
      </c>
      <c r="G46" s="117">
        <f t="shared" ref="G46:G51" si="16">B46-D46-F46</f>
        <v>1324.6004249999999</v>
      </c>
      <c r="H46" s="173">
        <f>B$6+1</f>
        <v>44501</v>
      </c>
      <c r="I46" s="174"/>
      <c r="J46" s="81">
        <f t="shared" si="0"/>
        <v>1334.61</v>
      </c>
      <c r="K46" s="80"/>
      <c r="L46" s="186">
        <f t="shared" ref="L46:L64" si="17">+G46-K46</f>
        <v>1324.6004249999999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9"/>
        <v>0</v>
      </c>
      <c r="V46" s="189">
        <f t="shared" si="10"/>
        <v>0</v>
      </c>
      <c r="W46" s="189">
        <f t="shared" si="11"/>
        <v>0</v>
      </c>
      <c r="X46" s="189">
        <f t="shared" si="12"/>
        <v>0</v>
      </c>
      <c r="Y46" s="189">
        <f t="shared" si="13"/>
        <v>0</v>
      </c>
      <c r="Z46" s="189">
        <f t="shared" si="13"/>
        <v>0</v>
      </c>
      <c r="AA46" s="189">
        <f t="shared" si="14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18">B47*C47</f>
        <v>0</v>
      </c>
      <c r="E47" s="172">
        <v>0</v>
      </c>
      <c r="F47" s="117">
        <f t="shared" si="15"/>
        <v>0</v>
      </c>
      <c r="G47" s="117">
        <f t="shared" si="16"/>
        <v>0</v>
      </c>
      <c r="H47" s="173">
        <f>B$6+1</f>
        <v>44501</v>
      </c>
      <c r="I47" s="175"/>
      <c r="J47" s="81">
        <f t="shared" si="0"/>
        <v>0</v>
      </c>
      <c r="K47" s="80"/>
      <c r="L47" s="186">
        <f t="shared" si="17"/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9"/>
        <v>0</v>
      </c>
      <c r="V47" s="189">
        <f t="shared" si="10"/>
        <v>0</v>
      </c>
      <c r="W47" s="189">
        <f t="shared" si="11"/>
        <v>0</v>
      </c>
      <c r="X47" s="189">
        <f t="shared" si="12"/>
        <v>0</v>
      </c>
      <c r="Y47" s="189">
        <f t="shared" si="13"/>
        <v>0</v>
      </c>
      <c r="Z47" s="189">
        <f t="shared" si="13"/>
        <v>0</v>
      </c>
      <c r="AA47" s="189">
        <f t="shared" si="14"/>
        <v>0</v>
      </c>
      <c r="AB47" s="156"/>
    </row>
    <row r="48" spans="1:28" ht="15.75" x14ac:dyDescent="0.25">
      <c r="A48" s="115" t="s">
        <v>10</v>
      </c>
      <c r="B48" s="117">
        <f>R69</f>
        <v>0</v>
      </c>
      <c r="C48" s="116">
        <v>7.4999999999999997E-3</v>
      </c>
      <c r="D48" s="117">
        <f t="shared" si="18"/>
        <v>0</v>
      </c>
      <c r="E48" s="172">
        <v>0</v>
      </c>
      <c r="F48" s="117">
        <f t="shared" si="15"/>
        <v>0</v>
      </c>
      <c r="G48" s="117">
        <f t="shared" si="16"/>
        <v>0</v>
      </c>
      <c r="H48" s="173">
        <f t="shared" ref="H48:H61" si="19">B$6+1</f>
        <v>44501</v>
      </c>
      <c r="I48" s="176"/>
      <c r="J48" s="81">
        <f t="shared" si="0"/>
        <v>0</v>
      </c>
      <c r="K48" s="80"/>
      <c r="L48" s="186">
        <f t="shared" si="17"/>
        <v>0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9"/>
        <v>0</v>
      </c>
      <c r="V48" s="189">
        <f t="shared" si="10"/>
        <v>0</v>
      </c>
      <c r="W48" s="189">
        <f t="shared" si="11"/>
        <v>0</v>
      </c>
      <c r="X48" s="189">
        <f t="shared" si="12"/>
        <v>0</v>
      </c>
      <c r="Y48" s="189">
        <f t="shared" si="13"/>
        <v>0</v>
      </c>
      <c r="Z48" s="189">
        <f t="shared" si="13"/>
        <v>0</v>
      </c>
      <c r="AA48" s="189">
        <f t="shared" si="14"/>
        <v>0</v>
      </c>
      <c r="AB48" s="156"/>
    </row>
    <row r="49" spans="1:28" ht="15.75" x14ac:dyDescent="0.25">
      <c r="A49" s="115" t="s">
        <v>7</v>
      </c>
      <c r="B49" s="117">
        <f>R75</f>
        <v>4440.33</v>
      </c>
      <c r="C49" s="116">
        <v>7.4999999999999997E-3</v>
      </c>
      <c r="D49" s="117">
        <f t="shared" si="18"/>
        <v>33.302475000000001</v>
      </c>
      <c r="E49" s="172">
        <v>0</v>
      </c>
      <c r="F49" s="117">
        <f t="shared" si="15"/>
        <v>0</v>
      </c>
      <c r="G49" s="117">
        <f t="shared" si="16"/>
        <v>4407.0275249999995</v>
      </c>
      <c r="H49" s="173">
        <f t="shared" si="19"/>
        <v>44501</v>
      </c>
      <c r="I49" s="176"/>
      <c r="J49" s="81">
        <f t="shared" si="0"/>
        <v>4440.33</v>
      </c>
      <c r="K49" s="80"/>
      <c r="L49" s="186">
        <f t="shared" si="17"/>
        <v>4407.0275249999995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9"/>
        <v>0</v>
      </c>
      <c r="V49" s="189">
        <f t="shared" si="10"/>
        <v>0</v>
      </c>
      <c r="W49" s="189">
        <f t="shared" si="11"/>
        <v>0</v>
      </c>
      <c r="X49" s="189">
        <f t="shared" si="12"/>
        <v>0</v>
      </c>
      <c r="Y49" s="189">
        <f t="shared" si="13"/>
        <v>0</v>
      </c>
      <c r="Z49" s="189">
        <f t="shared" si="13"/>
        <v>0</v>
      </c>
      <c r="AA49" s="189">
        <f t="shared" si="14"/>
        <v>0</v>
      </c>
      <c r="AB49" s="156"/>
    </row>
    <row r="50" spans="1:28" ht="15.75" x14ac:dyDescent="0.25">
      <c r="A50" s="115" t="s">
        <v>62</v>
      </c>
      <c r="B50" s="171">
        <f>P98+Q98</f>
        <v>0</v>
      </c>
      <c r="C50" s="116">
        <v>7.4999999999999997E-3</v>
      </c>
      <c r="D50" s="117">
        <f t="shared" si="18"/>
        <v>0</v>
      </c>
      <c r="E50" s="172">
        <v>0</v>
      </c>
      <c r="F50" s="117">
        <f t="shared" si="15"/>
        <v>0</v>
      </c>
      <c r="G50" s="117">
        <f t="shared" si="16"/>
        <v>0</v>
      </c>
      <c r="H50" s="173">
        <f t="shared" si="19"/>
        <v>44501</v>
      </c>
      <c r="I50" s="175"/>
      <c r="J50" s="81">
        <f t="shared" si="0"/>
        <v>0</v>
      </c>
      <c r="K50" s="80"/>
      <c r="L50" s="186">
        <f t="shared" si="17"/>
        <v>0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9"/>
        <v>0</v>
      </c>
      <c r="V50" s="189">
        <f t="shared" si="10"/>
        <v>0</v>
      </c>
      <c r="W50" s="189">
        <f t="shared" si="11"/>
        <v>0</v>
      </c>
      <c r="X50" s="189">
        <f t="shared" si="12"/>
        <v>0</v>
      </c>
      <c r="Y50" s="189">
        <f t="shared" si="13"/>
        <v>0</v>
      </c>
      <c r="Z50" s="189">
        <f t="shared" si="13"/>
        <v>0</v>
      </c>
      <c r="AA50" s="189">
        <f t="shared" si="14"/>
        <v>0</v>
      </c>
      <c r="AB50" s="156"/>
    </row>
    <row r="51" spans="1:28" ht="15.75" x14ac:dyDescent="0.25">
      <c r="A51" s="115" t="s">
        <v>68</v>
      </c>
      <c r="B51" s="117">
        <f>U98+V98</f>
        <v>0</v>
      </c>
      <c r="C51" s="116">
        <v>1.4999999999999999E-2</v>
      </c>
      <c r="D51" s="117">
        <f>+B51*C51</f>
        <v>0</v>
      </c>
      <c r="E51" s="172">
        <v>0</v>
      </c>
      <c r="F51" s="117">
        <f>D51*E51</f>
        <v>0</v>
      </c>
      <c r="G51" s="117">
        <f t="shared" si="16"/>
        <v>0</v>
      </c>
      <c r="H51" s="173">
        <f t="shared" si="19"/>
        <v>44501</v>
      </c>
      <c r="I51" s="175"/>
      <c r="J51" s="81">
        <f t="shared" si="0"/>
        <v>0</v>
      </c>
      <c r="K51" s="80"/>
      <c r="L51" s="186">
        <f t="shared" si="17"/>
        <v>0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9"/>
        <v>0</v>
      </c>
      <c r="V51" s="189">
        <f t="shared" si="10"/>
        <v>0</v>
      </c>
      <c r="W51" s="189">
        <f t="shared" si="11"/>
        <v>0</v>
      </c>
      <c r="X51" s="189">
        <f t="shared" si="12"/>
        <v>0</v>
      </c>
      <c r="Y51" s="189">
        <f t="shared" si="13"/>
        <v>0</v>
      </c>
      <c r="Z51" s="189">
        <f t="shared" si="13"/>
        <v>0</v>
      </c>
      <c r="AA51" s="189">
        <f t="shared" si="14"/>
        <v>0</v>
      </c>
      <c r="AB51" s="156"/>
    </row>
    <row r="52" spans="1:28" ht="15.75" x14ac:dyDescent="0.25">
      <c r="A52" s="115" t="s">
        <v>119</v>
      </c>
      <c r="B52" s="117">
        <f>T42</f>
        <v>15.8</v>
      </c>
      <c r="C52" s="116">
        <v>2.5000000000000001E-2</v>
      </c>
      <c r="D52" s="117">
        <f>B52*C52</f>
        <v>0.39500000000000002</v>
      </c>
      <c r="E52" s="172">
        <v>0.05</v>
      </c>
      <c r="F52" s="117">
        <f>(B52/E$10)*E52</f>
        <v>0.68103448275862077</v>
      </c>
      <c r="G52" s="117">
        <f>B52-D52-F52</f>
        <v>14.72396551724138</v>
      </c>
      <c r="H52" s="188">
        <f t="shared" si="19"/>
        <v>44501</v>
      </c>
      <c r="I52" s="176">
        <v>15.8</v>
      </c>
      <c r="J52" s="81">
        <f t="shared" si="0"/>
        <v>0</v>
      </c>
      <c r="K52" s="80"/>
      <c r="L52" s="186">
        <f t="shared" si="17"/>
        <v>14.72396551724138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9"/>
        <v>0</v>
      </c>
      <c r="V52" s="189">
        <f t="shared" si="10"/>
        <v>0</v>
      </c>
      <c r="W52" s="189">
        <f t="shared" si="11"/>
        <v>0</v>
      </c>
      <c r="X52" s="189">
        <f t="shared" si="12"/>
        <v>0</v>
      </c>
      <c r="Y52" s="189">
        <f t="shared" si="13"/>
        <v>0</v>
      </c>
      <c r="Z52" s="189">
        <f t="shared" si="13"/>
        <v>0</v>
      </c>
      <c r="AA52" s="189">
        <f t="shared" si="14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20">B53*C53</f>
        <v>0</v>
      </c>
      <c r="E53" s="172">
        <v>0.05</v>
      </c>
      <c r="F53" s="117">
        <f t="shared" ref="F53:F56" si="21">(B53/E$10)*E53</f>
        <v>0</v>
      </c>
      <c r="G53" s="117">
        <f t="shared" ref="G53:G58" si="22">B53-D53-F53</f>
        <v>0</v>
      </c>
      <c r="H53" s="188">
        <f t="shared" si="19"/>
        <v>44501</v>
      </c>
      <c r="I53" s="176"/>
      <c r="J53" s="81">
        <f t="shared" si="0"/>
        <v>0</v>
      </c>
      <c r="K53" s="80"/>
      <c r="L53" s="186">
        <f t="shared" si="17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9"/>
        <v>0</v>
      </c>
      <c r="V53" s="189">
        <f t="shared" si="10"/>
        <v>0</v>
      </c>
      <c r="W53" s="189">
        <f t="shared" si="11"/>
        <v>0</v>
      </c>
      <c r="X53" s="189">
        <f t="shared" si="12"/>
        <v>0</v>
      </c>
      <c r="Y53" s="189">
        <f t="shared" si="13"/>
        <v>0</v>
      </c>
      <c r="Z53" s="189">
        <f t="shared" si="13"/>
        <v>0</v>
      </c>
      <c r="AA53" s="189">
        <f t="shared" si="14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20"/>
        <v>0</v>
      </c>
      <c r="E54" s="172">
        <v>0.05</v>
      </c>
      <c r="F54" s="117">
        <f t="shared" si="21"/>
        <v>0</v>
      </c>
      <c r="G54" s="117">
        <f t="shared" si="22"/>
        <v>0</v>
      </c>
      <c r="H54" s="173">
        <f t="shared" si="19"/>
        <v>44501</v>
      </c>
      <c r="I54" s="176"/>
      <c r="J54" s="81">
        <f t="shared" si="0"/>
        <v>0</v>
      </c>
      <c r="K54" s="80"/>
      <c r="L54" s="186">
        <f t="shared" si="17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9"/>
        <v>0</v>
      </c>
      <c r="V54" s="189">
        <f t="shared" si="10"/>
        <v>0</v>
      </c>
      <c r="W54" s="189">
        <f t="shared" si="11"/>
        <v>0</v>
      </c>
      <c r="X54" s="189">
        <f t="shared" si="12"/>
        <v>0</v>
      </c>
      <c r="Y54" s="189">
        <f t="shared" si="13"/>
        <v>0</v>
      </c>
      <c r="Z54" s="189">
        <f t="shared" si="13"/>
        <v>0</v>
      </c>
      <c r="AA54" s="189">
        <f t="shared" si="14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20"/>
        <v>0</v>
      </c>
      <c r="E55" s="172">
        <v>0.05</v>
      </c>
      <c r="F55" s="117">
        <f t="shared" si="21"/>
        <v>0</v>
      </c>
      <c r="G55" s="117">
        <f t="shared" si="22"/>
        <v>0</v>
      </c>
      <c r="H55" s="173">
        <f t="shared" si="19"/>
        <v>44501</v>
      </c>
      <c r="I55" s="176"/>
      <c r="J55" s="81">
        <f t="shared" si="0"/>
        <v>0</v>
      </c>
      <c r="K55" s="80"/>
      <c r="L55" s="186">
        <f t="shared" si="17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9"/>
        <v>0</v>
      </c>
      <c r="V55" s="189">
        <f t="shared" si="10"/>
        <v>0</v>
      </c>
      <c r="W55" s="189">
        <f t="shared" si="11"/>
        <v>0</v>
      </c>
      <c r="X55" s="189">
        <f t="shared" si="12"/>
        <v>0</v>
      </c>
      <c r="Y55" s="189">
        <f t="shared" si="13"/>
        <v>0</v>
      </c>
      <c r="Z55" s="189">
        <f t="shared" si="13"/>
        <v>0</v>
      </c>
      <c r="AA55" s="189">
        <f t="shared" si="14"/>
        <v>0</v>
      </c>
      <c r="AB55" s="156"/>
    </row>
    <row r="56" spans="1:28" ht="15.75" x14ac:dyDescent="0.25">
      <c r="A56" s="115" t="s">
        <v>8</v>
      </c>
      <c r="B56" s="117">
        <f>T75</f>
        <v>0</v>
      </c>
      <c r="C56" s="116">
        <v>2.5000000000000001E-2</v>
      </c>
      <c r="D56" s="117">
        <f t="shared" si="20"/>
        <v>0</v>
      </c>
      <c r="E56" s="172">
        <v>0.05</v>
      </c>
      <c r="F56" s="117">
        <f t="shared" si="21"/>
        <v>0</v>
      </c>
      <c r="G56" s="117">
        <f t="shared" si="22"/>
        <v>0</v>
      </c>
      <c r="H56" s="173">
        <f t="shared" si="19"/>
        <v>44501</v>
      </c>
      <c r="I56" s="176"/>
      <c r="J56" s="81">
        <f t="shared" si="0"/>
        <v>0</v>
      </c>
      <c r="K56" s="80"/>
      <c r="L56" s="186">
        <f t="shared" si="17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9"/>
        <v>0</v>
      </c>
      <c r="V56" s="189">
        <f t="shared" si="10"/>
        <v>0</v>
      </c>
      <c r="W56" s="189">
        <f t="shared" si="11"/>
        <v>0</v>
      </c>
      <c r="X56" s="189">
        <f t="shared" si="12"/>
        <v>0</v>
      </c>
      <c r="Y56" s="189">
        <f t="shared" si="13"/>
        <v>0</v>
      </c>
      <c r="Z56" s="189">
        <f t="shared" si="13"/>
        <v>0</v>
      </c>
      <c r="AA56" s="189">
        <f t="shared" si="14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22"/>
        <v>0</v>
      </c>
      <c r="H57" s="173">
        <f>B6+3</f>
        <v>44503</v>
      </c>
      <c r="I57" s="175"/>
      <c r="J57" s="81">
        <f t="shared" si="0"/>
        <v>0</v>
      </c>
      <c r="K57" s="80"/>
      <c r="L57" s="186">
        <f t="shared" si="17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9"/>
        <v>0</v>
      </c>
      <c r="V57" s="189">
        <f t="shared" si="10"/>
        <v>0</v>
      </c>
      <c r="W57" s="189">
        <f t="shared" si="11"/>
        <v>0</v>
      </c>
      <c r="X57" s="189">
        <f t="shared" si="12"/>
        <v>0</v>
      </c>
      <c r="Y57" s="189">
        <f t="shared" si="13"/>
        <v>0</v>
      </c>
      <c r="Z57" s="189">
        <f t="shared" si="13"/>
        <v>0</v>
      </c>
      <c r="AA57" s="189">
        <f t="shared" si="14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5.3E-3</v>
      </c>
      <c r="D58" s="117">
        <f>B58*C58</f>
        <v>0</v>
      </c>
      <c r="E58" s="172">
        <v>0</v>
      </c>
      <c r="F58" s="117">
        <f>D58*E58</f>
        <v>0</v>
      </c>
      <c r="G58" s="117">
        <f t="shared" si="22"/>
        <v>0</v>
      </c>
      <c r="H58" s="173">
        <f>B$6+5</f>
        <v>44505</v>
      </c>
      <c r="I58" s="175"/>
      <c r="J58" s="81">
        <f t="shared" si="0"/>
        <v>0</v>
      </c>
      <c r="K58" s="80"/>
      <c r="L58" s="186">
        <f t="shared" si="17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9"/>
        <v>0</v>
      </c>
      <c r="V58" s="189">
        <f t="shared" si="10"/>
        <v>0</v>
      </c>
      <c r="W58" s="189">
        <f t="shared" si="11"/>
        <v>0</v>
      </c>
      <c r="X58" s="189">
        <f t="shared" si="12"/>
        <v>0</v>
      </c>
      <c r="Y58" s="189">
        <f t="shared" si="13"/>
        <v>0</v>
      </c>
      <c r="Z58" s="189">
        <f t="shared" si="13"/>
        <v>0</v>
      </c>
      <c r="AA58" s="189">
        <f t="shared" si="14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17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9"/>
        <v>0</v>
      </c>
      <c r="V59" s="189">
        <f t="shared" si="10"/>
        <v>0</v>
      </c>
      <c r="W59" s="189">
        <f t="shared" si="11"/>
        <v>0</v>
      </c>
      <c r="X59" s="189">
        <f t="shared" si="12"/>
        <v>0</v>
      </c>
      <c r="Y59" s="189">
        <f t="shared" ref="Y59:Z62" si="23">R59-V59</f>
        <v>0</v>
      </c>
      <c r="Z59" s="189">
        <f t="shared" si="23"/>
        <v>0</v>
      </c>
      <c r="AA59" s="189">
        <f t="shared" si="14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24">B60-D60-F60</f>
        <v>0</v>
      </c>
      <c r="H60" s="173">
        <f>B6+30</f>
        <v>44530</v>
      </c>
      <c r="I60" s="175"/>
      <c r="J60" s="81">
        <f t="shared" si="0"/>
        <v>0</v>
      </c>
      <c r="K60" s="80"/>
      <c r="L60" s="186">
        <f t="shared" si="17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9"/>
        <v>0</v>
      </c>
      <c r="V60" s="189">
        <f t="shared" si="10"/>
        <v>0</v>
      </c>
      <c r="W60" s="189">
        <f t="shared" si="11"/>
        <v>0</v>
      </c>
      <c r="X60" s="189">
        <f t="shared" si="12"/>
        <v>0</v>
      </c>
      <c r="Y60" s="189">
        <f t="shared" si="23"/>
        <v>0</v>
      </c>
      <c r="Z60" s="189">
        <f t="shared" si="23"/>
        <v>0</v>
      </c>
      <c r="AA60" s="189">
        <f t="shared" si="14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43.707050000000002</v>
      </c>
      <c r="E61" s="177"/>
      <c r="F61" s="57">
        <f>SUM(F46:F58)</f>
        <v>0.68103448275862077</v>
      </c>
      <c r="G61" s="57">
        <f>SUM(G46:G58)</f>
        <v>5746.3519155172407</v>
      </c>
      <c r="H61" s="173">
        <f t="shared" si="19"/>
        <v>44501</v>
      </c>
      <c r="I61" s="175"/>
      <c r="J61" s="81">
        <f t="shared" si="0"/>
        <v>0</v>
      </c>
      <c r="K61" s="80"/>
      <c r="L61" s="186">
        <f t="shared" si="17"/>
        <v>5746.3519155172407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9"/>
        <v>0</v>
      </c>
      <c r="V61" s="189">
        <f t="shared" si="10"/>
        <v>0</v>
      </c>
      <c r="W61" s="189">
        <f t="shared" si="11"/>
        <v>0</v>
      </c>
      <c r="X61" s="189">
        <f t="shared" si="12"/>
        <v>0</v>
      </c>
      <c r="Y61" s="189">
        <f t="shared" si="23"/>
        <v>0</v>
      </c>
      <c r="Z61" s="189">
        <f t="shared" si="23"/>
        <v>0</v>
      </c>
      <c r="AA61" s="189">
        <f t="shared" si="14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44501</v>
      </c>
      <c r="I62" s="176"/>
      <c r="J62" s="81">
        <f t="shared" si="0"/>
        <v>0</v>
      </c>
      <c r="K62" s="80"/>
      <c r="L62" s="186">
        <f t="shared" si="17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9"/>
        <v>0</v>
      </c>
      <c r="V62" s="189">
        <f t="shared" si="10"/>
        <v>0</v>
      </c>
      <c r="W62" s="189">
        <f t="shared" si="11"/>
        <v>0</v>
      </c>
      <c r="X62" s="189">
        <f t="shared" si="12"/>
        <v>0</v>
      </c>
      <c r="Y62" s="189">
        <f t="shared" si="23"/>
        <v>0</v>
      </c>
      <c r="Z62" s="189">
        <f t="shared" si="23"/>
        <v>0</v>
      </c>
      <c r="AA62" s="189">
        <f t="shared" si="14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2" t="s">
        <v>109</v>
      </c>
      <c r="O63" s="282"/>
      <c r="P63" s="282"/>
      <c r="Q63" s="28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X63" si="25">SUM(U43:U62)</f>
        <v>0</v>
      </c>
      <c r="V63" s="191">
        <f t="shared" si="25"/>
        <v>0</v>
      </c>
      <c r="W63" s="191">
        <f t="shared" si="25"/>
        <v>0</v>
      </c>
      <c r="X63" s="191">
        <f t="shared" si="25"/>
        <v>0</v>
      </c>
      <c r="Y63" s="191">
        <f>SUM(Y43:Y62)</f>
        <v>0</v>
      </c>
      <c r="Z63" s="191">
        <f t="shared" ref="Z63:AA63" si="26">SUM(Z43:Z62)</f>
        <v>0</v>
      </c>
      <c r="AA63" s="191">
        <f t="shared" si="26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11492.703831034481</v>
      </c>
      <c r="H64" s="184"/>
      <c r="I64" s="175"/>
      <c r="J64" s="81">
        <f t="shared" si="0"/>
        <v>0</v>
      </c>
      <c r="K64" s="80"/>
      <c r="L64" s="186">
        <f t="shared" si="17"/>
        <v>11492.703831034481</v>
      </c>
      <c r="M64" s="130"/>
      <c r="N64" s="87">
        <v>1</v>
      </c>
      <c r="O64" s="122" t="s">
        <v>71</v>
      </c>
      <c r="P64" s="87"/>
      <c r="Q64" s="87"/>
      <c r="R64" s="87"/>
      <c r="S64" s="87"/>
      <c r="T64" s="87"/>
      <c r="U64" s="189">
        <f t="shared" ref="U64:U68" si="27">((T64/U$10)*U$9)</f>
        <v>0</v>
      </c>
      <c r="V64" s="189">
        <f t="shared" ref="V64:V68" si="28">R64*V$10</f>
        <v>0</v>
      </c>
      <c r="W64" s="189">
        <f t="shared" ref="W64:W68" si="29">+S64*V$10</f>
        <v>0</v>
      </c>
      <c r="X64" s="189">
        <f t="shared" ref="X64:X68" si="30">+T64*X$10</f>
        <v>0</v>
      </c>
      <c r="Y64" s="189">
        <f t="shared" ref="Y64:Z68" si="31">R64-V64</f>
        <v>0</v>
      </c>
      <c r="Z64" s="189">
        <f t="shared" si="31"/>
        <v>0</v>
      </c>
      <c r="AA64" s="189">
        <f t="shared" ref="AA64:AA68" si="32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12696.84</v>
      </c>
      <c r="G65" s="22"/>
      <c r="L65" s="132"/>
      <c r="M65" s="131"/>
      <c r="N65" s="87">
        <v>2</v>
      </c>
      <c r="O65" s="122" t="s">
        <v>71</v>
      </c>
      <c r="P65" s="87"/>
      <c r="Q65" s="87"/>
      <c r="R65" s="87"/>
      <c r="S65" s="87"/>
      <c r="T65" s="87"/>
      <c r="U65" s="189">
        <f t="shared" si="27"/>
        <v>0</v>
      </c>
      <c r="V65" s="189">
        <f t="shared" si="28"/>
        <v>0</v>
      </c>
      <c r="W65" s="189">
        <f t="shared" si="29"/>
        <v>0</v>
      </c>
      <c r="X65" s="189">
        <f t="shared" si="30"/>
        <v>0</v>
      </c>
      <c r="Y65" s="189">
        <f t="shared" si="31"/>
        <v>0</v>
      </c>
      <c r="Z65" s="189">
        <f t="shared" si="31"/>
        <v>0</v>
      </c>
      <c r="AA65" s="189">
        <f t="shared" si="32"/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 t="s">
        <v>71</v>
      </c>
      <c r="P66" s="87"/>
      <c r="Q66" s="87"/>
      <c r="R66" s="87"/>
      <c r="S66" s="87"/>
      <c r="T66" s="87"/>
      <c r="U66" s="189">
        <f t="shared" si="27"/>
        <v>0</v>
      </c>
      <c r="V66" s="189">
        <f t="shared" si="28"/>
        <v>0</v>
      </c>
      <c r="W66" s="189">
        <f t="shared" si="29"/>
        <v>0</v>
      </c>
      <c r="X66" s="189">
        <f t="shared" si="30"/>
        <v>0</v>
      </c>
      <c r="Y66" s="189">
        <f t="shared" si="31"/>
        <v>0</v>
      </c>
      <c r="Z66" s="189">
        <f t="shared" si="31"/>
        <v>0</v>
      </c>
      <c r="AA66" s="189">
        <f t="shared" si="32"/>
        <v>0</v>
      </c>
      <c r="AB66" s="87"/>
    </row>
    <row r="67" spans="1:30" ht="15.75" x14ac:dyDescent="0.25">
      <c r="A67" s="299" t="s">
        <v>20</v>
      </c>
      <c r="B67" s="300"/>
      <c r="F67" s="301" t="s">
        <v>136</v>
      </c>
      <c r="G67" s="301"/>
      <c r="H67" s="301"/>
      <c r="I67" s="302" t="s">
        <v>138</v>
      </c>
      <c r="J67" s="303"/>
      <c r="K67" s="138"/>
      <c r="N67" s="87">
        <v>4</v>
      </c>
      <c r="O67" s="122" t="s">
        <v>71</v>
      </c>
      <c r="P67" s="87"/>
      <c r="Q67" s="87"/>
      <c r="R67" s="87"/>
      <c r="S67" s="87"/>
      <c r="T67" s="87"/>
      <c r="U67" s="189">
        <f t="shared" si="27"/>
        <v>0</v>
      </c>
      <c r="V67" s="189">
        <f t="shared" si="28"/>
        <v>0</v>
      </c>
      <c r="W67" s="189">
        <f t="shared" si="29"/>
        <v>0</v>
      </c>
      <c r="X67" s="189">
        <f t="shared" si="30"/>
        <v>0</v>
      </c>
      <c r="Y67" s="189">
        <f t="shared" si="31"/>
        <v>0</v>
      </c>
      <c r="Z67" s="189">
        <f t="shared" si="31"/>
        <v>0</v>
      </c>
      <c r="AA67" s="189">
        <f t="shared" si="32"/>
        <v>0</v>
      </c>
      <c r="AB67" s="87"/>
    </row>
    <row r="68" spans="1:30" ht="15.75" x14ac:dyDescent="0.25">
      <c r="A68" s="23" t="s">
        <v>19</v>
      </c>
      <c r="B68" s="77">
        <v>12600.07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 t="s">
        <v>71</v>
      </c>
      <c r="P68" s="87"/>
      <c r="Q68" s="87"/>
      <c r="R68" s="87"/>
      <c r="S68" s="87"/>
      <c r="T68" s="87"/>
      <c r="U68" s="189">
        <f t="shared" si="27"/>
        <v>0</v>
      </c>
      <c r="V68" s="189">
        <f t="shared" si="28"/>
        <v>0</v>
      </c>
      <c r="W68" s="189">
        <f t="shared" si="29"/>
        <v>0</v>
      </c>
      <c r="X68" s="189">
        <f t="shared" si="30"/>
        <v>0</v>
      </c>
      <c r="Y68" s="189">
        <f t="shared" si="31"/>
        <v>0</v>
      </c>
      <c r="Z68" s="189">
        <f t="shared" si="31"/>
        <v>0</v>
      </c>
      <c r="AA68" s="189">
        <f t="shared" si="32"/>
        <v>0</v>
      </c>
      <c r="AB68" s="87"/>
    </row>
    <row r="69" spans="1:30" ht="16.5" thickBot="1" x14ac:dyDescent="0.3">
      <c r="A69" s="24" t="s">
        <v>5</v>
      </c>
      <c r="B69" s="62">
        <v>12600.07</v>
      </c>
      <c r="C69" s="59"/>
      <c r="F69" s="87" t="s">
        <v>129</v>
      </c>
      <c r="G69" s="22"/>
      <c r="H69" s="89"/>
      <c r="I69" s="136"/>
      <c r="J69" s="136">
        <f>K52</f>
        <v>0</v>
      </c>
      <c r="N69" s="282" t="s">
        <v>110</v>
      </c>
      <c r="O69" s="282"/>
      <c r="P69" s="283"/>
      <c r="Q69" s="283"/>
      <c r="R69" s="192">
        <f>SUM(R64:R68)</f>
        <v>0</v>
      </c>
      <c r="S69" s="123"/>
      <c r="T69" s="192">
        <f>SUM(T64:T68)</f>
        <v>0</v>
      </c>
      <c r="U69" s="192">
        <f>SUM(U64:U68)</f>
        <v>0</v>
      </c>
      <c r="V69" s="192">
        <f t="shared" ref="V69:AA69" si="33">SUM(V64:V68)</f>
        <v>0</v>
      </c>
      <c r="W69" s="192">
        <f t="shared" si="33"/>
        <v>0</v>
      </c>
      <c r="X69" s="192">
        <f t="shared" si="33"/>
        <v>0</v>
      </c>
      <c r="Y69" s="192">
        <f t="shared" si="33"/>
        <v>0</v>
      </c>
      <c r="Z69" s="192">
        <f t="shared" si="33"/>
        <v>0</v>
      </c>
      <c r="AA69" s="193">
        <f t="shared" si="33"/>
        <v>0</v>
      </c>
      <c r="AB69" s="103"/>
    </row>
    <row r="70" spans="1:30" ht="26.25" customHeight="1" thickBot="1" x14ac:dyDescent="0.3">
      <c r="A70" s="25" t="s">
        <v>58</v>
      </c>
      <c r="B70" s="170">
        <f>B68-B67</f>
        <v>12600.07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194</v>
      </c>
      <c r="P70" s="87">
        <v>348</v>
      </c>
      <c r="Q70" s="87">
        <v>2003</v>
      </c>
      <c r="R70" s="87">
        <v>1251.9100000000001</v>
      </c>
      <c r="S70" s="87"/>
      <c r="T70" s="87"/>
      <c r="U70" s="189">
        <f t="shared" ref="U70:U74" si="34">((T70/U$10)*U$9)</f>
        <v>0</v>
      </c>
      <c r="V70" s="189">
        <f t="shared" ref="V70:V74" si="35">R70*V$10</f>
        <v>9.3893249999999995</v>
      </c>
      <c r="W70" s="189">
        <f t="shared" ref="W70:W74" si="36">+S70*V$10</f>
        <v>0</v>
      </c>
      <c r="X70" s="189">
        <f t="shared" ref="X70:X74" si="37">+T70*X$10</f>
        <v>0</v>
      </c>
      <c r="Y70" s="189">
        <f t="shared" ref="Y70:Z74" si="38">R70-V70</f>
        <v>1242.520675</v>
      </c>
      <c r="Z70" s="189">
        <f t="shared" si="38"/>
        <v>0</v>
      </c>
      <c r="AA70" s="189">
        <f t="shared" ref="AA70:AA74" si="39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96.770000000000437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194</v>
      </c>
      <c r="P71" s="87">
        <v>349</v>
      </c>
      <c r="Q71" s="87">
        <v>2003</v>
      </c>
      <c r="R71" s="87">
        <v>470.05</v>
      </c>
      <c r="S71" s="87"/>
      <c r="T71" s="87"/>
      <c r="U71" s="189">
        <f t="shared" si="34"/>
        <v>0</v>
      </c>
      <c r="V71" s="189">
        <f t="shared" si="35"/>
        <v>3.5253749999999999</v>
      </c>
      <c r="W71" s="189">
        <f t="shared" si="36"/>
        <v>0</v>
      </c>
      <c r="X71" s="189">
        <f t="shared" si="37"/>
        <v>0</v>
      </c>
      <c r="Y71" s="189">
        <f t="shared" si="38"/>
        <v>466.52462500000001</v>
      </c>
      <c r="Z71" s="189">
        <f t="shared" si="38"/>
        <v>0</v>
      </c>
      <c r="AA71" s="189">
        <f t="shared" si="39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194</v>
      </c>
      <c r="P72" s="87" t="s">
        <v>244</v>
      </c>
      <c r="Q72" s="87">
        <v>2002</v>
      </c>
      <c r="R72" s="87">
        <f>1139.52+486.12</f>
        <v>1625.6399999999999</v>
      </c>
      <c r="S72" s="87"/>
      <c r="T72" s="87"/>
      <c r="U72" s="189">
        <f t="shared" si="34"/>
        <v>0</v>
      </c>
      <c r="V72" s="189">
        <f t="shared" si="35"/>
        <v>12.192299999999999</v>
      </c>
      <c r="W72" s="189">
        <f t="shared" si="36"/>
        <v>0</v>
      </c>
      <c r="X72" s="189">
        <f t="shared" si="37"/>
        <v>0</v>
      </c>
      <c r="Y72" s="189">
        <f t="shared" si="38"/>
        <v>1613.4476999999999</v>
      </c>
      <c r="Z72" s="189">
        <f t="shared" si="38"/>
        <v>0</v>
      </c>
      <c r="AA72" s="189">
        <f t="shared" si="39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203</v>
      </c>
      <c r="P73" s="87">
        <v>366</v>
      </c>
      <c r="Q73" s="87">
        <v>2002</v>
      </c>
      <c r="R73" s="87">
        <v>426.82</v>
      </c>
      <c r="S73" s="87"/>
      <c r="T73" s="87"/>
      <c r="U73" s="189">
        <f t="shared" si="34"/>
        <v>0</v>
      </c>
      <c r="V73" s="189">
        <f t="shared" si="35"/>
        <v>3.2011499999999997</v>
      </c>
      <c r="W73" s="189">
        <f t="shared" si="36"/>
        <v>0</v>
      </c>
      <c r="X73" s="189">
        <f t="shared" si="37"/>
        <v>0</v>
      </c>
      <c r="Y73" s="189">
        <f t="shared" si="38"/>
        <v>423.61885000000001</v>
      </c>
      <c r="Z73" s="189">
        <f t="shared" si="38"/>
        <v>0</v>
      </c>
      <c r="AA73" s="189">
        <f t="shared" si="39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40">+H69+H70+H71+H72+H73</f>
        <v>0</v>
      </c>
      <c r="N74" s="87">
        <v>5</v>
      </c>
      <c r="O74" s="122" t="s">
        <v>203</v>
      </c>
      <c r="P74" s="87">
        <v>365</v>
      </c>
      <c r="Q74" s="87">
        <v>2002</v>
      </c>
      <c r="R74" s="87">
        <v>665.91</v>
      </c>
      <c r="S74" s="87"/>
      <c r="T74" s="87"/>
      <c r="U74" s="189">
        <f t="shared" si="34"/>
        <v>0</v>
      </c>
      <c r="V74" s="189">
        <f t="shared" si="35"/>
        <v>4.9943249999999999</v>
      </c>
      <c r="W74" s="189">
        <f t="shared" si="36"/>
        <v>0</v>
      </c>
      <c r="X74" s="189">
        <f t="shared" si="37"/>
        <v>0</v>
      </c>
      <c r="Y74" s="189">
        <f t="shared" si="38"/>
        <v>660.91567499999996</v>
      </c>
      <c r="Z74" s="189">
        <f t="shared" si="38"/>
        <v>0</v>
      </c>
      <c r="AA74" s="189">
        <f t="shared" si="39"/>
        <v>0</v>
      </c>
      <c r="AB74" s="87"/>
    </row>
    <row r="75" spans="1:30" ht="15.75" x14ac:dyDescent="0.25">
      <c r="N75" s="282" t="s">
        <v>128</v>
      </c>
      <c r="O75" s="282"/>
      <c r="P75" s="283"/>
      <c r="Q75" s="283"/>
      <c r="R75" s="192">
        <f>SUM(R70:R74)</f>
        <v>4440.33</v>
      </c>
      <c r="S75" s="192"/>
      <c r="T75" s="192">
        <f>SUM(T70:T74)</f>
        <v>0</v>
      </c>
      <c r="U75" s="192">
        <f>SUM(U70:U74)</f>
        <v>0</v>
      </c>
      <c r="V75" s="192">
        <f t="shared" ref="V75:AA75" si="41">SUM(V70:V74)</f>
        <v>33.302475000000001</v>
      </c>
      <c r="W75" s="192">
        <f t="shared" si="41"/>
        <v>0</v>
      </c>
      <c r="X75" s="192">
        <f t="shared" si="41"/>
        <v>0</v>
      </c>
      <c r="Y75" s="192">
        <f t="shared" si="41"/>
        <v>4407.0275249999995</v>
      </c>
      <c r="Z75" s="192">
        <f t="shared" si="41"/>
        <v>0</v>
      </c>
      <c r="AA75" s="193">
        <f t="shared" si="41"/>
        <v>0</v>
      </c>
      <c r="AB75" s="103"/>
    </row>
    <row r="76" spans="1:30" ht="15.75" x14ac:dyDescent="0.25">
      <c r="N76" s="284" t="s">
        <v>73</v>
      </c>
      <c r="O76" s="286" t="s">
        <v>67</v>
      </c>
      <c r="P76" s="282" t="s">
        <v>62</v>
      </c>
      <c r="Q76" s="282"/>
      <c r="R76" s="282"/>
      <c r="S76" s="282"/>
      <c r="T76" s="282"/>
      <c r="U76" s="288" t="s">
        <v>68</v>
      </c>
      <c r="V76" s="289"/>
      <c r="W76" s="289"/>
      <c r="X76" s="289"/>
      <c r="Y76" s="290"/>
      <c r="Z76" s="279" t="s">
        <v>54</v>
      </c>
      <c r="AA76" s="279" t="s">
        <v>64</v>
      </c>
      <c r="AB76" s="279" t="s">
        <v>124</v>
      </c>
      <c r="AC76" s="280" t="s">
        <v>127</v>
      </c>
      <c r="AD76" s="281" t="s">
        <v>65</v>
      </c>
    </row>
    <row r="77" spans="1:30" ht="60" x14ac:dyDescent="0.25">
      <c r="F77" s="291" t="s">
        <v>140</v>
      </c>
      <c r="G77" s="292"/>
      <c r="H77" s="141" t="s">
        <v>142</v>
      </c>
      <c r="N77" s="285"/>
      <c r="O77" s="287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79"/>
      <c r="AA77" s="279"/>
      <c r="AB77" s="279"/>
      <c r="AC77" s="280" t="s">
        <v>127</v>
      </c>
      <c r="AD77" s="281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87"/>
      <c r="Q78" s="137"/>
      <c r="R78" s="82">
        <v>7.4999999999999997E-3</v>
      </c>
      <c r="S78" s="194">
        <f>+(P78+Q78)*R78</f>
        <v>0</v>
      </c>
      <c r="T78" s="194">
        <f>+(P78+Q78)-S78</f>
        <v>0</v>
      </c>
      <c r="U78" s="211"/>
      <c r="V78" s="112"/>
      <c r="W78" s="113">
        <v>1.4999999999999999E-2</v>
      </c>
      <c r="X78" s="196">
        <f>+(U78+V78)*W78</f>
        <v>0</v>
      </c>
      <c r="Y78" s="217">
        <f>+(U78+V78)-X78</f>
        <v>0</v>
      </c>
      <c r="Z78" s="87"/>
      <c r="AA78" s="189">
        <f t="shared" ref="AA78:AA97" si="42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>
        <f>T98</f>
        <v>0</v>
      </c>
      <c r="H79" s="136">
        <f>K50</f>
        <v>0</v>
      </c>
      <c r="N79" s="87">
        <v>2</v>
      </c>
      <c r="O79" s="87" t="s">
        <v>112</v>
      </c>
      <c r="P79" s="137"/>
      <c r="Q79" s="87"/>
      <c r="R79" s="82">
        <v>7.4999999999999997E-3</v>
      </c>
      <c r="S79" s="194">
        <f t="shared" ref="S79:S97" si="43">+(P79+Q79)*R79</f>
        <v>0</v>
      </c>
      <c r="T79" s="194">
        <f t="shared" ref="T79:T97" si="44">+(P79+Q79)-S79</f>
        <v>0</v>
      </c>
      <c r="U79" s="211"/>
      <c r="V79" s="112"/>
      <c r="W79" s="113">
        <v>1.4999999999999999E-2</v>
      </c>
      <c r="X79" s="196">
        <f t="shared" ref="X79:X97" si="45">+(U79+V79)*W79</f>
        <v>0</v>
      </c>
      <c r="Y79" s="217">
        <f t="shared" ref="Y79:Y97" si="46">+(U79+V79)-X79</f>
        <v>0</v>
      </c>
      <c r="Z79" s="87"/>
      <c r="AA79" s="189">
        <f t="shared" si="42"/>
        <v>0</v>
      </c>
      <c r="AB79" s="189">
        <f t="shared" ref="AB79:AB97" si="47">+Z79*X$10</f>
        <v>0</v>
      </c>
      <c r="AC79" s="189">
        <f t="shared" ref="AC79:AC97" si="48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/>
      <c r="Q80" s="137"/>
      <c r="R80" s="82">
        <v>7.4999999999999997E-3</v>
      </c>
      <c r="S80" s="194">
        <f t="shared" si="43"/>
        <v>0</v>
      </c>
      <c r="T80" s="194">
        <f t="shared" si="44"/>
        <v>0</v>
      </c>
      <c r="U80" s="211"/>
      <c r="V80" s="112"/>
      <c r="W80" s="113">
        <v>1.4999999999999999E-2</v>
      </c>
      <c r="X80" s="196">
        <f t="shared" si="45"/>
        <v>0</v>
      </c>
      <c r="Y80" s="217">
        <f t="shared" si="46"/>
        <v>0</v>
      </c>
      <c r="Z80" s="87"/>
      <c r="AA80" s="189">
        <f t="shared" si="42"/>
        <v>0</v>
      </c>
      <c r="AB80" s="189">
        <f t="shared" si="47"/>
        <v>0</v>
      </c>
      <c r="AC80" s="189">
        <f t="shared" si="48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0</v>
      </c>
      <c r="N81" s="87">
        <v>4</v>
      </c>
      <c r="O81" s="87" t="s">
        <v>112</v>
      </c>
      <c r="P81" s="137"/>
      <c r="Q81" s="87"/>
      <c r="R81" s="82">
        <v>7.4999999999999997E-3</v>
      </c>
      <c r="S81" s="194">
        <f t="shared" si="43"/>
        <v>0</v>
      </c>
      <c r="T81" s="194">
        <f t="shared" si="44"/>
        <v>0</v>
      </c>
      <c r="U81" s="112"/>
      <c r="V81" s="112"/>
      <c r="W81" s="113">
        <v>1.4999999999999999E-2</v>
      </c>
      <c r="X81" s="196">
        <f t="shared" si="45"/>
        <v>0</v>
      </c>
      <c r="Y81" s="196">
        <f t="shared" si="46"/>
        <v>0</v>
      </c>
      <c r="Z81" s="87"/>
      <c r="AA81" s="189">
        <f t="shared" si="42"/>
        <v>0</v>
      </c>
      <c r="AB81" s="189">
        <f t="shared" si="47"/>
        <v>0</v>
      </c>
      <c r="AC81" s="189">
        <f t="shared" si="48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137"/>
      <c r="Q82" s="137"/>
      <c r="R82" s="82">
        <v>7.4999999999999997E-3</v>
      </c>
      <c r="S82" s="194">
        <f t="shared" si="43"/>
        <v>0</v>
      </c>
      <c r="T82" s="194">
        <f t="shared" si="44"/>
        <v>0</v>
      </c>
      <c r="U82" s="211"/>
      <c r="V82" s="112"/>
      <c r="W82" s="113">
        <v>1.4999999999999999E-2</v>
      </c>
      <c r="X82" s="196">
        <f t="shared" si="45"/>
        <v>0</v>
      </c>
      <c r="Y82" s="217">
        <f t="shared" si="46"/>
        <v>0</v>
      </c>
      <c r="Z82" s="87"/>
      <c r="AA82" s="189">
        <f t="shared" si="42"/>
        <v>0</v>
      </c>
      <c r="AB82" s="189">
        <f t="shared" si="47"/>
        <v>0</v>
      </c>
      <c r="AC82" s="189">
        <f t="shared" si="48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43"/>
        <v>0</v>
      </c>
      <c r="T83" s="194">
        <f t="shared" si="44"/>
        <v>0</v>
      </c>
      <c r="U83" s="112"/>
      <c r="V83" s="112"/>
      <c r="W83" s="113">
        <v>1.4999999999999999E-2</v>
      </c>
      <c r="X83" s="196">
        <f t="shared" si="45"/>
        <v>0</v>
      </c>
      <c r="Y83" s="196">
        <f t="shared" si="46"/>
        <v>0</v>
      </c>
      <c r="Z83" s="87"/>
      <c r="AA83" s="189">
        <f t="shared" si="42"/>
        <v>0</v>
      </c>
      <c r="AB83" s="189">
        <f t="shared" si="47"/>
        <v>0</v>
      </c>
      <c r="AC83" s="189">
        <f t="shared" si="48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43"/>
        <v>0</v>
      </c>
      <c r="T84" s="194">
        <f t="shared" si="44"/>
        <v>0</v>
      </c>
      <c r="U84" s="112"/>
      <c r="V84" s="112"/>
      <c r="W84" s="113">
        <v>1.4999999999999999E-2</v>
      </c>
      <c r="X84" s="196">
        <f t="shared" si="45"/>
        <v>0</v>
      </c>
      <c r="Y84" s="196">
        <f t="shared" si="46"/>
        <v>0</v>
      </c>
      <c r="Z84" s="87"/>
      <c r="AA84" s="189">
        <f t="shared" si="42"/>
        <v>0</v>
      </c>
      <c r="AB84" s="189">
        <f t="shared" si="47"/>
        <v>0</v>
      </c>
      <c r="AC84" s="189">
        <f t="shared" si="48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43"/>
        <v>0</v>
      </c>
      <c r="T85" s="194">
        <f t="shared" si="44"/>
        <v>0</v>
      </c>
      <c r="U85" s="112"/>
      <c r="V85" s="112"/>
      <c r="W85" s="113">
        <v>1.4999999999999999E-2</v>
      </c>
      <c r="X85" s="196">
        <f t="shared" si="45"/>
        <v>0</v>
      </c>
      <c r="Y85" s="196">
        <f t="shared" si="46"/>
        <v>0</v>
      </c>
      <c r="Z85" s="87"/>
      <c r="AA85" s="189">
        <f t="shared" si="42"/>
        <v>0</v>
      </c>
      <c r="AB85" s="189">
        <f t="shared" si="47"/>
        <v>0</v>
      </c>
      <c r="AC85" s="189">
        <f t="shared" si="48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43"/>
        <v>0</v>
      </c>
      <c r="T86" s="194">
        <f t="shared" si="44"/>
        <v>0</v>
      </c>
      <c r="U86" s="112"/>
      <c r="V86" s="112"/>
      <c r="W86" s="113">
        <v>1.4999999999999999E-2</v>
      </c>
      <c r="X86" s="196">
        <f t="shared" si="45"/>
        <v>0</v>
      </c>
      <c r="Y86" s="196">
        <f t="shared" si="46"/>
        <v>0</v>
      </c>
      <c r="Z86" s="87"/>
      <c r="AA86" s="189">
        <f t="shared" si="42"/>
        <v>0</v>
      </c>
      <c r="AB86" s="189">
        <f t="shared" si="47"/>
        <v>0</v>
      </c>
      <c r="AC86" s="189">
        <f t="shared" si="48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43"/>
        <v>0</v>
      </c>
      <c r="T87" s="194">
        <f t="shared" si="44"/>
        <v>0</v>
      </c>
      <c r="U87" s="112"/>
      <c r="V87" s="112"/>
      <c r="W87" s="113">
        <v>1.4999999999999999E-2</v>
      </c>
      <c r="X87" s="196">
        <f t="shared" si="45"/>
        <v>0</v>
      </c>
      <c r="Y87" s="196">
        <f t="shared" si="46"/>
        <v>0</v>
      </c>
      <c r="Z87" s="87"/>
      <c r="AA87" s="189">
        <f t="shared" si="42"/>
        <v>0</v>
      </c>
      <c r="AB87" s="189">
        <f t="shared" si="47"/>
        <v>0</v>
      </c>
      <c r="AC87" s="189">
        <f t="shared" si="48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43"/>
        <v>0</v>
      </c>
      <c r="T88" s="194">
        <f t="shared" si="44"/>
        <v>0</v>
      </c>
      <c r="U88" s="112"/>
      <c r="V88" s="112"/>
      <c r="W88" s="113">
        <v>1.4999999999999999E-2</v>
      </c>
      <c r="X88" s="196">
        <f t="shared" si="45"/>
        <v>0</v>
      </c>
      <c r="Y88" s="196">
        <f t="shared" si="46"/>
        <v>0</v>
      </c>
      <c r="Z88" s="87"/>
      <c r="AA88" s="189">
        <f t="shared" si="42"/>
        <v>0</v>
      </c>
      <c r="AB88" s="189">
        <f t="shared" si="47"/>
        <v>0</v>
      </c>
      <c r="AC88" s="189">
        <f t="shared" si="48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43"/>
        <v>0</v>
      </c>
      <c r="T89" s="194">
        <f t="shared" si="44"/>
        <v>0</v>
      </c>
      <c r="U89" s="112"/>
      <c r="V89" s="112"/>
      <c r="W89" s="113">
        <v>1.4999999999999999E-2</v>
      </c>
      <c r="X89" s="196">
        <f t="shared" si="45"/>
        <v>0</v>
      </c>
      <c r="Y89" s="196">
        <f t="shared" si="46"/>
        <v>0</v>
      </c>
      <c r="Z89" s="87"/>
      <c r="AA89" s="189">
        <f t="shared" si="42"/>
        <v>0</v>
      </c>
      <c r="AB89" s="189">
        <f t="shared" si="47"/>
        <v>0</v>
      </c>
      <c r="AC89" s="189">
        <f t="shared" si="48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43"/>
        <v>0</v>
      </c>
      <c r="T90" s="194">
        <f t="shared" si="44"/>
        <v>0</v>
      </c>
      <c r="U90" s="112"/>
      <c r="V90" s="112"/>
      <c r="W90" s="113">
        <v>1.4999999999999999E-2</v>
      </c>
      <c r="X90" s="196">
        <f t="shared" si="45"/>
        <v>0</v>
      </c>
      <c r="Y90" s="196">
        <f t="shared" si="46"/>
        <v>0</v>
      </c>
      <c r="Z90" s="87"/>
      <c r="AA90" s="189">
        <f t="shared" si="42"/>
        <v>0</v>
      </c>
      <c r="AB90" s="189">
        <f t="shared" si="47"/>
        <v>0</v>
      </c>
      <c r="AC90" s="189">
        <f t="shared" si="48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43"/>
        <v>0</v>
      </c>
      <c r="T91" s="194">
        <f t="shared" si="44"/>
        <v>0</v>
      </c>
      <c r="U91" s="112"/>
      <c r="V91" s="112"/>
      <c r="W91" s="113">
        <v>1.4999999999999999E-2</v>
      </c>
      <c r="X91" s="196">
        <f t="shared" si="45"/>
        <v>0</v>
      </c>
      <c r="Y91" s="196">
        <f t="shared" si="46"/>
        <v>0</v>
      </c>
      <c r="Z91" s="87"/>
      <c r="AA91" s="189">
        <f t="shared" si="42"/>
        <v>0</v>
      </c>
      <c r="AB91" s="189">
        <f t="shared" si="47"/>
        <v>0</v>
      </c>
      <c r="AC91" s="189">
        <f t="shared" si="48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43"/>
        <v>0</v>
      </c>
      <c r="T92" s="194">
        <f t="shared" si="44"/>
        <v>0</v>
      </c>
      <c r="U92" s="112"/>
      <c r="V92" s="112"/>
      <c r="W92" s="113">
        <v>1.4999999999999999E-2</v>
      </c>
      <c r="X92" s="196">
        <f t="shared" si="45"/>
        <v>0</v>
      </c>
      <c r="Y92" s="196">
        <f t="shared" si="46"/>
        <v>0</v>
      </c>
      <c r="Z92" s="87"/>
      <c r="AA92" s="189">
        <f t="shared" si="42"/>
        <v>0</v>
      </c>
      <c r="AB92" s="189">
        <f t="shared" si="47"/>
        <v>0</v>
      </c>
      <c r="AC92" s="189">
        <f t="shared" si="48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43"/>
        <v>0</v>
      </c>
      <c r="T93" s="194">
        <f t="shared" si="44"/>
        <v>0</v>
      </c>
      <c r="U93" s="112"/>
      <c r="V93" s="112"/>
      <c r="W93" s="113">
        <v>1.4999999999999999E-2</v>
      </c>
      <c r="X93" s="196">
        <f t="shared" si="45"/>
        <v>0</v>
      </c>
      <c r="Y93" s="196">
        <f t="shared" si="46"/>
        <v>0</v>
      </c>
      <c r="Z93" s="87"/>
      <c r="AA93" s="189">
        <f t="shared" si="42"/>
        <v>0</v>
      </c>
      <c r="AB93" s="189">
        <f t="shared" si="47"/>
        <v>0</v>
      </c>
      <c r="AC93" s="189">
        <f t="shared" si="48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43"/>
        <v>0</v>
      </c>
      <c r="T94" s="194">
        <f t="shared" si="44"/>
        <v>0</v>
      </c>
      <c r="U94" s="112"/>
      <c r="V94" s="112"/>
      <c r="W94" s="113">
        <v>1.4999999999999999E-2</v>
      </c>
      <c r="X94" s="196">
        <f t="shared" si="45"/>
        <v>0</v>
      </c>
      <c r="Y94" s="196">
        <f t="shared" si="46"/>
        <v>0</v>
      </c>
      <c r="Z94" s="87"/>
      <c r="AA94" s="189">
        <f t="shared" si="42"/>
        <v>0</v>
      </c>
      <c r="AB94" s="189">
        <f t="shared" si="47"/>
        <v>0</v>
      </c>
      <c r="AC94" s="189">
        <f t="shared" si="48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43"/>
        <v>0</v>
      </c>
      <c r="T95" s="194">
        <f t="shared" si="44"/>
        <v>0</v>
      </c>
      <c r="U95" s="112"/>
      <c r="V95" s="112"/>
      <c r="W95" s="113">
        <v>1.4999999999999999E-2</v>
      </c>
      <c r="X95" s="196">
        <f t="shared" si="45"/>
        <v>0</v>
      </c>
      <c r="Y95" s="196">
        <f t="shared" si="46"/>
        <v>0</v>
      </c>
      <c r="Z95" s="87"/>
      <c r="AA95" s="189">
        <f t="shared" si="42"/>
        <v>0</v>
      </c>
      <c r="AB95" s="189">
        <f t="shared" si="47"/>
        <v>0</v>
      </c>
      <c r="AC95" s="189">
        <f t="shared" si="48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43"/>
        <v>0</v>
      </c>
      <c r="T96" s="194">
        <f t="shared" si="44"/>
        <v>0</v>
      </c>
      <c r="U96" s="112"/>
      <c r="V96" s="112"/>
      <c r="W96" s="113">
        <v>1.4999999999999999E-2</v>
      </c>
      <c r="X96" s="196">
        <f t="shared" si="45"/>
        <v>0</v>
      </c>
      <c r="Y96" s="196">
        <f t="shared" si="46"/>
        <v>0</v>
      </c>
      <c r="Z96" s="87"/>
      <c r="AA96" s="189">
        <f t="shared" si="42"/>
        <v>0</v>
      </c>
      <c r="AB96" s="189">
        <f t="shared" si="47"/>
        <v>0</v>
      </c>
      <c r="AC96" s="189">
        <f t="shared" si="48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43"/>
        <v>0</v>
      </c>
      <c r="T97" s="194">
        <f t="shared" si="44"/>
        <v>0</v>
      </c>
      <c r="U97" s="112"/>
      <c r="V97" s="112"/>
      <c r="W97" s="113">
        <v>1.4999999999999999E-2</v>
      </c>
      <c r="X97" s="196">
        <f t="shared" si="45"/>
        <v>0</v>
      </c>
      <c r="Y97" s="196">
        <f t="shared" si="46"/>
        <v>0</v>
      </c>
      <c r="Z97" s="87"/>
      <c r="AA97" s="189">
        <f t="shared" si="42"/>
        <v>0</v>
      </c>
      <c r="AB97" s="189">
        <f t="shared" si="47"/>
        <v>0</v>
      </c>
      <c r="AC97" s="189">
        <f t="shared" si="48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0</v>
      </c>
      <c r="Q98" s="195">
        <f>SUM(Q78:Q97)</f>
        <v>0</v>
      </c>
      <c r="R98" s="111"/>
      <c r="S98" s="195">
        <f>SUM(S78:S97)</f>
        <v>0</v>
      </c>
      <c r="T98" s="195">
        <f>SUM(T78:T97)</f>
        <v>0</v>
      </c>
      <c r="U98" s="114">
        <f>SUM(U78:U97)</f>
        <v>0</v>
      </c>
      <c r="V98" s="114">
        <f>SUM(V78:V97)</f>
        <v>0</v>
      </c>
      <c r="W98" s="112"/>
      <c r="X98" s="197">
        <f>SUM(X78:X97)</f>
        <v>0</v>
      </c>
      <c r="Y98" s="197">
        <f>SUM(Y78:Y97)</f>
        <v>0</v>
      </c>
      <c r="Z98" s="63">
        <f>SUM(Z78:Z97)</f>
        <v>0</v>
      </c>
      <c r="AA98" s="198">
        <f t="shared" ref="AA98:AB98" si="49">SUM(AA78:AA97)</f>
        <v>0</v>
      </c>
      <c r="AB98" s="198">
        <f t="shared" si="49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</row>
    <row r="101" spans="14:30" x14ac:dyDescent="0.25">
      <c r="N101" s="85"/>
      <c r="P101" s="215">
        <f>Q78+U78</f>
        <v>0</v>
      </c>
    </row>
    <row r="102" spans="14:30" x14ac:dyDescent="0.25">
      <c r="N102" s="85"/>
      <c r="P102" s="215">
        <f>P79+U79</f>
        <v>0</v>
      </c>
    </row>
    <row r="103" spans="14:30" x14ac:dyDescent="0.25">
      <c r="N103" s="85"/>
      <c r="P103" s="212">
        <f>P80+Q80+U80</f>
        <v>0</v>
      </c>
    </row>
    <row r="104" spans="14:30" x14ac:dyDescent="0.25">
      <c r="N104" s="85"/>
      <c r="P104" s="215">
        <f>P81</f>
        <v>0</v>
      </c>
    </row>
    <row r="105" spans="14:30" x14ac:dyDescent="0.25">
      <c r="N105" s="85"/>
      <c r="P105" s="215">
        <f>P82+Q82+U82</f>
        <v>0</v>
      </c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AB76:AB77"/>
    <mergeCell ref="AC76:AC77"/>
    <mergeCell ref="AD76:AD77"/>
    <mergeCell ref="F77:G77"/>
    <mergeCell ref="N76:N77"/>
    <mergeCell ref="O76:O77"/>
    <mergeCell ref="P76:T76"/>
    <mergeCell ref="U76:Y76"/>
    <mergeCell ref="Z76:Z77"/>
    <mergeCell ref="AA76:AA77"/>
    <mergeCell ref="N75:Q75"/>
    <mergeCell ref="A1:A3"/>
    <mergeCell ref="B1:H1"/>
    <mergeCell ref="B2:H2"/>
    <mergeCell ref="B3:H3"/>
    <mergeCell ref="B4:H4"/>
    <mergeCell ref="N42:Q42"/>
    <mergeCell ref="N63:Q63"/>
    <mergeCell ref="A67:B67"/>
    <mergeCell ref="F67:H67"/>
    <mergeCell ref="I67:J67"/>
    <mergeCell ref="N69:Q69"/>
  </mergeCells>
  <conditionalFormatting sqref="B70">
    <cfRule type="cellIs" dxfId="1" priority="1" operator="greaterThan">
      <formula>0</formula>
    </cfRule>
    <cfRule type="cellIs" dxfId="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zoomScale="90" zoomScaleNormal="90" workbookViewId="0">
      <selection activeCell="A9" sqref="A9:A39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7" width="20.42578125" style="85" customWidth="1"/>
    <col min="8" max="9" width="22.140625" style="85" customWidth="1"/>
    <col min="10" max="16384" width="11.42578125" style="85"/>
  </cols>
  <sheetData>
    <row r="1" spans="1:10" s="84" customFormat="1" ht="16.5" customHeight="1" x14ac:dyDescent="0.35">
      <c r="A1" s="259"/>
      <c r="B1" s="263" t="s">
        <v>12</v>
      </c>
      <c r="C1" s="264"/>
      <c r="D1" s="264"/>
      <c r="E1" s="264"/>
      <c r="F1" s="264"/>
      <c r="G1" s="264"/>
      <c r="H1" s="264"/>
      <c r="I1" s="264"/>
      <c r="J1" s="265"/>
    </row>
    <row r="2" spans="1:10" s="84" customFormat="1" ht="16.5" customHeight="1" x14ac:dyDescent="0.25">
      <c r="A2" s="259"/>
      <c r="B2" s="266" t="s">
        <v>149</v>
      </c>
      <c r="C2" s="267"/>
      <c r="D2" s="267"/>
      <c r="E2" s="267"/>
      <c r="F2" s="267"/>
      <c r="G2" s="267"/>
      <c r="H2" s="267"/>
      <c r="I2" s="267"/>
      <c r="J2" s="268"/>
    </row>
    <row r="3" spans="1:10" s="84" customFormat="1" ht="16.5" customHeight="1" x14ac:dyDescent="0.25">
      <c r="A3" s="259"/>
      <c r="B3" s="262"/>
      <c r="C3" s="262"/>
      <c r="D3" s="262"/>
      <c r="E3" s="262"/>
      <c r="F3" s="262"/>
      <c r="G3" s="262"/>
      <c r="H3" s="262"/>
      <c r="I3" s="262"/>
      <c r="J3" s="262"/>
    </row>
    <row r="4" spans="1:10" x14ac:dyDescent="0.25">
      <c r="B4" s="262"/>
      <c r="C4" s="262"/>
      <c r="D4" s="262"/>
      <c r="E4" s="262"/>
      <c r="F4" s="262"/>
      <c r="G4" s="262"/>
      <c r="H4" s="262"/>
    </row>
    <row r="6" spans="1:10" ht="15.75" thickBot="1" x14ac:dyDescent="0.3"/>
    <row r="7" spans="1:10" x14ac:dyDescent="0.25">
      <c r="E7" s="260" t="s">
        <v>14</v>
      </c>
      <c r="F7" s="261"/>
      <c r="G7" s="201"/>
    </row>
    <row r="8" spans="1:10" ht="27" customHeight="1" x14ac:dyDescent="0.25">
      <c r="A8" s="45" t="s">
        <v>33</v>
      </c>
      <c r="B8" s="45" t="s">
        <v>150</v>
      </c>
      <c r="C8" s="45" t="s">
        <v>68</v>
      </c>
      <c r="D8" s="45" t="s">
        <v>151</v>
      </c>
      <c r="E8" s="52" t="s">
        <v>27</v>
      </c>
      <c r="F8" s="49" t="s">
        <v>152</v>
      </c>
      <c r="G8" s="202" t="s">
        <v>68</v>
      </c>
      <c r="H8" s="50" t="s">
        <v>2</v>
      </c>
      <c r="I8" s="51" t="s">
        <v>53</v>
      </c>
      <c r="J8" s="51" t="s">
        <v>54</v>
      </c>
    </row>
    <row r="9" spans="1:10" x14ac:dyDescent="0.25">
      <c r="A9" s="46">
        <f>'DIA 1'!B$6</f>
        <v>44501</v>
      </c>
      <c r="B9" s="199">
        <f>+'DIA 1'!G$50</f>
        <v>187.90010000000001</v>
      </c>
      <c r="C9" s="199">
        <f>+'DIA 1'!G$51</f>
        <v>388.84844999999996</v>
      </c>
      <c r="D9" s="199">
        <f>+'DIA 1'!G$55</f>
        <v>0</v>
      </c>
      <c r="E9" s="203">
        <f t="shared" ref="E9:E39" si="0">B9+D9</f>
        <v>187.90010000000001</v>
      </c>
      <c r="F9" s="204">
        <f>+'DIA 1'!K$50</f>
        <v>187.9</v>
      </c>
      <c r="G9" s="204">
        <f>+'DIA 1'!K$51</f>
        <v>388.95</v>
      </c>
      <c r="H9" s="205">
        <f>+'DIA 1'!K$55</f>
        <v>0</v>
      </c>
      <c r="I9" s="60">
        <f t="shared" ref="I9:I39" si="1">B9-F9</f>
        <v>1.0000000000331966E-4</v>
      </c>
      <c r="J9" s="60">
        <f>D9-H9</f>
        <v>0</v>
      </c>
    </row>
    <row r="10" spans="1:10" x14ac:dyDescent="0.25">
      <c r="A10" s="46">
        <f>'DIA 2'!B$6</f>
        <v>44502</v>
      </c>
      <c r="B10" s="199">
        <f>'DIA 2'!G$50</f>
        <v>94.257724999999994</v>
      </c>
      <c r="C10" s="199">
        <f>'DIA 2'!G$51</f>
        <v>252.30774999999997</v>
      </c>
      <c r="D10" s="199">
        <f>'DIA 2'!G$55</f>
        <v>0</v>
      </c>
      <c r="E10" s="203">
        <f t="shared" si="0"/>
        <v>94.257724999999994</v>
      </c>
      <c r="F10" s="199">
        <f>'DIA 2'!K$50</f>
        <v>94.26</v>
      </c>
      <c r="G10" s="199">
        <f>'DIA 2'!K$51</f>
        <v>252.31</v>
      </c>
      <c r="H10" s="199">
        <f>'DIA 2'!K$55</f>
        <v>0</v>
      </c>
      <c r="I10" s="60">
        <f t="shared" si="1"/>
        <v>-2.2750000000115733E-3</v>
      </c>
      <c r="J10" s="60">
        <f t="shared" ref="J10:J39" si="2">D10-H10</f>
        <v>0</v>
      </c>
    </row>
    <row r="11" spans="1:10" x14ac:dyDescent="0.25">
      <c r="A11" s="46">
        <f>'DIA 3'!B$6</f>
        <v>44503</v>
      </c>
      <c r="B11" s="199">
        <f>'DIA 3'!G$50</f>
        <v>121.93854999999999</v>
      </c>
      <c r="C11" s="199">
        <f>'DIA 3'!G$51</f>
        <v>475.70574999999997</v>
      </c>
      <c r="D11" s="199">
        <f>'DIA 3'!G$55</f>
        <v>0</v>
      </c>
      <c r="E11" s="203">
        <f t="shared" si="0"/>
        <v>121.93854999999999</v>
      </c>
      <c r="F11" s="199">
        <f>'DIA 3'!K$50</f>
        <v>0</v>
      </c>
      <c r="G11" s="199">
        <f>'DIA 3'!K$51</f>
        <v>0</v>
      </c>
      <c r="H11" s="199">
        <f>'DIA 3'!K$55</f>
        <v>0</v>
      </c>
      <c r="I11" s="60">
        <f t="shared" si="1"/>
        <v>121.93854999999999</v>
      </c>
      <c r="J11" s="60">
        <f t="shared" si="2"/>
        <v>0</v>
      </c>
    </row>
    <row r="12" spans="1:10" x14ac:dyDescent="0.25">
      <c r="A12" s="46">
        <f>'DIA 4'!B$6</f>
        <v>44504</v>
      </c>
      <c r="B12" s="199">
        <f>'DIA 4'!G$50</f>
        <v>385.45722499999999</v>
      </c>
      <c r="C12" s="199">
        <f>'DIA 4'!G$51</f>
        <v>302.82840000000004</v>
      </c>
      <c r="D12" s="199">
        <f>'DIA 4'!G$55</f>
        <v>0</v>
      </c>
      <c r="E12" s="203">
        <f t="shared" si="0"/>
        <v>385.45722499999999</v>
      </c>
      <c r="F12" s="199">
        <f>'DIA 4'!K$50</f>
        <v>0</v>
      </c>
      <c r="G12" s="199">
        <f>'DIA 4'!K$51</f>
        <v>0</v>
      </c>
      <c r="H12" s="199">
        <f>'DIA 4'!K$55</f>
        <v>0</v>
      </c>
      <c r="I12" s="60">
        <f t="shared" si="1"/>
        <v>385.45722499999999</v>
      </c>
      <c r="J12" s="60">
        <f t="shared" si="2"/>
        <v>0</v>
      </c>
    </row>
    <row r="13" spans="1:10" x14ac:dyDescent="0.25">
      <c r="A13" s="46">
        <f>'DIA 5'!B$6</f>
        <v>44505</v>
      </c>
      <c r="B13" s="199">
        <f>'DIA 5'!G$50</f>
        <v>271.54799999999994</v>
      </c>
      <c r="C13" s="199">
        <f>'DIA 5'!G$51</f>
        <v>384.57355000000001</v>
      </c>
      <c r="D13" s="199">
        <f>'DIA 5'!G$55</f>
        <v>0</v>
      </c>
      <c r="E13" s="203">
        <f t="shared" si="0"/>
        <v>271.54799999999994</v>
      </c>
      <c r="F13" s="199">
        <f>'DIA 5'!K$50</f>
        <v>0</v>
      </c>
      <c r="G13" s="199">
        <f>'DIA 5'!K$51</f>
        <v>0</v>
      </c>
      <c r="H13" s="199">
        <f>'DIA 5'!K$55</f>
        <v>0</v>
      </c>
      <c r="I13" s="60">
        <f t="shared" si="1"/>
        <v>271.54799999999994</v>
      </c>
      <c r="J13" s="60">
        <f t="shared" si="2"/>
        <v>0</v>
      </c>
    </row>
    <row r="14" spans="1:10" x14ac:dyDescent="0.25">
      <c r="A14" s="46">
        <f>'DIA 6'!B$6</f>
        <v>44506</v>
      </c>
      <c r="B14" s="199">
        <f>'DIA 6'!G$50</f>
        <v>444.43157500000001</v>
      </c>
      <c r="C14" s="199">
        <f>'DIA 6'!G$51</f>
        <v>331.84649999999999</v>
      </c>
      <c r="D14" s="199">
        <f>'DIA 6'!G$55</f>
        <v>0</v>
      </c>
      <c r="E14" s="203">
        <f t="shared" si="0"/>
        <v>444.43157500000001</v>
      </c>
      <c r="F14" s="199">
        <f>'DIA 6'!K$50</f>
        <v>0</v>
      </c>
      <c r="G14" s="199">
        <f>'DIA 6'!K$51</f>
        <v>0</v>
      </c>
      <c r="H14" s="199">
        <f>'DIA 6'!K$55</f>
        <v>0</v>
      </c>
      <c r="I14" s="60">
        <f t="shared" si="1"/>
        <v>444.43157500000001</v>
      </c>
      <c r="J14" s="60">
        <f t="shared" si="2"/>
        <v>0</v>
      </c>
    </row>
    <row r="15" spans="1:10" x14ac:dyDescent="0.25">
      <c r="A15" s="46">
        <f>'DIA 7'!B$6</f>
        <v>44507</v>
      </c>
      <c r="B15" s="199">
        <f>'DIA 7'!G$50</f>
        <v>122.20652500000001</v>
      </c>
      <c r="C15" s="199">
        <f>'DIA 7'!G$51</f>
        <v>290.88035000000002</v>
      </c>
      <c r="D15" s="199">
        <f>'DIA 7'!G$55</f>
        <v>0</v>
      </c>
      <c r="E15" s="203">
        <f t="shared" si="0"/>
        <v>122.20652500000001</v>
      </c>
      <c r="F15" s="199">
        <f>'DIA 7'!K$50</f>
        <v>0</v>
      </c>
      <c r="G15" s="199">
        <f>'DIA 7'!K$51</f>
        <v>0</v>
      </c>
      <c r="H15" s="199">
        <f>'DIA 7'!K$55</f>
        <v>0</v>
      </c>
      <c r="I15" s="60">
        <f t="shared" si="1"/>
        <v>122.20652500000001</v>
      </c>
      <c r="J15" s="60">
        <f t="shared" si="2"/>
        <v>0</v>
      </c>
    </row>
    <row r="16" spans="1:10" x14ac:dyDescent="0.25">
      <c r="A16" s="46">
        <f>'DIA 8'!B$6</f>
        <v>44508</v>
      </c>
      <c r="B16" s="199">
        <f>'DIA 8'!G$50</f>
        <v>73.673275000000004</v>
      </c>
      <c r="C16" s="199">
        <f>'DIA 8'!G$51</f>
        <v>443.82130000000006</v>
      </c>
      <c r="D16" s="199">
        <f>'DIA 8'!G$55</f>
        <v>0</v>
      </c>
      <c r="E16" s="203">
        <f t="shared" si="0"/>
        <v>73.673275000000004</v>
      </c>
      <c r="F16" s="199">
        <f>'DIA 8'!K$50</f>
        <v>0</v>
      </c>
      <c r="G16" s="199">
        <f>'DIA 8'!K$51</f>
        <v>0</v>
      </c>
      <c r="H16" s="199">
        <f>'DIA 8'!K$55</f>
        <v>0</v>
      </c>
      <c r="I16" s="60">
        <f t="shared" si="1"/>
        <v>73.673275000000004</v>
      </c>
      <c r="J16" s="60">
        <f t="shared" si="2"/>
        <v>0</v>
      </c>
    </row>
    <row r="17" spans="1:10" x14ac:dyDescent="0.25">
      <c r="A17" s="46">
        <f>'DIA 9'!B$6</f>
        <v>44509</v>
      </c>
      <c r="B17" s="199">
        <f>'DIA 9'!G$50</f>
        <v>240.16911999999999</v>
      </c>
      <c r="C17" s="199">
        <f>'DIA 9'!G$51</f>
        <v>545.5521</v>
      </c>
      <c r="D17" s="199">
        <f>'DIA 9'!G$55</f>
        <v>0</v>
      </c>
      <c r="E17" s="203">
        <f t="shared" si="0"/>
        <v>240.16911999999999</v>
      </c>
      <c r="F17" s="199">
        <f>'DIA 9'!K$50</f>
        <v>0</v>
      </c>
      <c r="G17" s="199">
        <f>'DIA 9'!K$51</f>
        <v>0</v>
      </c>
      <c r="H17" s="199">
        <f>'DIA 9'!K$55</f>
        <v>0</v>
      </c>
      <c r="I17" s="60">
        <f t="shared" si="1"/>
        <v>240.16911999999999</v>
      </c>
      <c r="J17" s="60">
        <f t="shared" si="2"/>
        <v>0</v>
      </c>
    </row>
    <row r="18" spans="1:10" x14ac:dyDescent="0.25">
      <c r="A18" s="46">
        <f>'DIA 10'!B$6</f>
        <v>44479</v>
      </c>
      <c r="B18" s="199">
        <f>'DIA 10'!G$50</f>
        <v>258.97302500000001</v>
      </c>
      <c r="C18" s="199">
        <f>'DIA 10'!G$51</f>
        <v>123.29244999999999</v>
      </c>
      <c r="D18" s="199">
        <f>'DIA 10'!G$55</f>
        <v>0</v>
      </c>
      <c r="E18" s="203">
        <f t="shared" si="0"/>
        <v>258.97302500000001</v>
      </c>
      <c r="F18" s="199">
        <f>'DIA 10'!K$50</f>
        <v>0</v>
      </c>
      <c r="G18" s="199">
        <f>'DIA 10'!K$51</f>
        <v>0</v>
      </c>
      <c r="H18" s="199">
        <f>'DIA 10'!K$55</f>
        <v>0</v>
      </c>
      <c r="I18" s="60">
        <f t="shared" si="1"/>
        <v>258.97302500000001</v>
      </c>
      <c r="J18" s="60">
        <f t="shared" si="2"/>
        <v>0</v>
      </c>
    </row>
    <row r="19" spans="1:10" x14ac:dyDescent="0.25">
      <c r="A19" s="46">
        <f>'DIA 11'!B$6</f>
        <v>44480</v>
      </c>
      <c r="B19" s="199">
        <f>'DIA 11'!G$50</f>
        <v>0</v>
      </c>
      <c r="C19" s="199">
        <f>'DIA 11'!G$51</f>
        <v>0</v>
      </c>
      <c r="D19" s="199">
        <f>'DIA 11'!G$55</f>
        <v>0</v>
      </c>
      <c r="E19" s="203">
        <f t="shared" si="0"/>
        <v>0</v>
      </c>
      <c r="F19" s="199">
        <f>'DIA 11'!K$50</f>
        <v>0</v>
      </c>
      <c r="G19" s="199">
        <f>'DIA 11'!K$51</f>
        <v>0</v>
      </c>
      <c r="H19" s="199">
        <f>'DIA 11'!K$55</f>
        <v>0</v>
      </c>
      <c r="I19" s="60">
        <f t="shared" si="1"/>
        <v>0</v>
      </c>
      <c r="J19" s="60">
        <f t="shared" si="2"/>
        <v>0</v>
      </c>
    </row>
    <row r="20" spans="1:10" x14ac:dyDescent="0.25">
      <c r="A20" s="46">
        <f>'DIA 12'!B$6</f>
        <v>44481</v>
      </c>
      <c r="B20" s="199">
        <f>'DIA 12'!G$50</f>
        <v>34.390124999999998</v>
      </c>
      <c r="C20" s="199">
        <f>'DIA 12'!G$51</f>
        <v>232.38119999999998</v>
      </c>
      <c r="D20" s="199">
        <f>'DIA 12'!G$55</f>
        <v>0</v>
      </c>
      <c r="E20" s="203">
        <f t="shared" si="0"/>
        <v>34.390124999999998</v>
      </c>
      <c r="F20" s="199">
        <f>'DIA 12'!K$50</f>
        <v>0</v>
      </c>
      <c r="G20" s="199">
        <f>'DIA 12'!K$51</f>
        <v>0</v>
      </c>
      <c r="H20" s="199">
        <f>'DIA 12'!K$55</f>
        <v>0</v>
      </c>
      <c r="I20" s="60">
        <f t="shared" si="1"/>
        <v>34.390124999999998</v>
      </c>
      <c r="J20" s="60">
        <f t="shared" si="2"/>
        <v>0</v>
      </c>
    </row>
    <row r="21" spans="1:10" x14ac:dyDescent="0.25">
      <c r="A21" s="46">
        <f>'DIA 13'!B$6</f>
        <v>44482</v>
      </c>
      <c r="B21" s="199">
        <f>'DIA 13'!G$50</f>
        <v>0</v>
      </c>
      <c r="C21" s="199">
        <f>'DIA 13'!G$51</f>
        <v>0</v>
      </c>
      <c r="D21" s="199">
        <f>'DIA 13'!G$55</f>
        <v>0</v>
      </c>
      <c r="E21" s="203">
        <f t="shared" si="0"/>
        <v>0</v>
      </c>
      <c r="F21" s="199">
        <f>'DIA 13'!K$50</f>
        <v>0</v>
      </c>
      <c r="G21" s="199">
        <f>'DIA 13'!K$51</f>
        <v>0</v>
      </c>
      <c r="H21" s="199">
        <f>'DIA 13'!K$55</f>
        <v>0</v>
      </c>
      <c r="I21" s="60">
        <f t="shared" si="1"/>
        <v>0</v>
      </c>
      <c r="J21" s="60">
        <f t="shared" si="2"/>
        <v>0</v>
      </c>
    </row>
    <row r="22" spans="1:10" x14ac:dyDescent="0.25">
      <c r="A22" s="46">
        <f>'DIA 14'!B$6</f>
        <v>44483</v>
      </c>
      <c r="B22" s="199">
        <f>'DIA 14'!G$50</f>
        <v>0</v>
      </c>
      <c r="C22" s="199">
        <f>'DIA 14'!G$51</f>
        <v>0</v>
      </c>
      <c r="D22" s="199">
        <f>'DIA 14'!G$55</f>
        <v>0</v>
      </c>
      <c r="E22" s="203">
        <f t="shared" si="0"/>
        <v>0</v>
      </c>
      <c r="F22" s="199">
        <f>'DIA 14'!K$50</f>
        <v>0</v>
      </c>
      <c r="G22" s="199">
        <f>'DIA 14'!K$51</f>
        <v>0</v>
      </c>
      <c r="H22" s="199">
        <f>'DIA 14'!K$55</f>
        <v>0</v>
      </c>
      <c r="I22" s="60">
        <f t="shared" si="1"/>
        <v>0</v>
      </c>
      <c r="J22" s="60">
        <f t="shared" si="2"/>
        <v>0</v>
      </c>
    </row>
    <row r="23" spans="1:10" x14ac:dyDescent="0.25">
      <c r="A23" s="46">
        <f>'DIA 15'!B$6</f>
        <v>44484</v>
      </c>
      <c r="B23" s="199">
        <f>'DIA 15'!G$50</f>
        <v>0</v>
      </c>
      <c r="C23" s="199">
        <f>'DIA 15'!G$51</f>
        <v>0</v>
      </c>
      <c r="D23" s="199">
        <f>'DIA 15'!G$55</f>
        <v>0</v>
      </c>
      <c r="E23" s="203">
        <f t="shared" si="0"/>
        <v>0</v>
      </c>
      <c r="F23" s="199">
        <f>'DIA 15'!K$50</f>
        <v>0</v>
      </c>
      <c r="G23" s="199">
        <f>'DIA 15'!K$51</f>
        <v>0</v>
      </c>
      <c r="H23" s="199">
        <f>'DIA 15'!K$55</f>
        <v>0</v>
      </c>
      <c r="I23" s="60">
        <f t="shared" si="1"/>
        <v>0</v>
      </c>
      <c r="J23" s="60">
        <f t="shared" si="2"/>
        <v>0</v>
      </c>
    </row>
    <row r="24" spans="1:10" x14ac:dyDescent="0.25">
      <c r="A24" s="46">
        <f>'DIA 16'!B$6</f>
        <v>44485</v>
      </c>
      <c r="B24" s="199">
        <f>'DIA 16'!G$50</f>
        <v>0</v>
      </c>
      <c r="C24" s="199">
        <f>'DIA 16'!G$51</f>
        <v>0</v>
      </c>
      <c r="D24" s="199">
        <f>'DIA 16'!G$55</f>
        <v>0</v>
      </c>
      <c r="E24" s="203">
        <f t="shared" si="0"/>
        <v>0</v>
      </c>
      <c r="F24" s="199">
        <f>'DIA 16'!K$50</f>
        <v>0</v>
      </c>
      <c r="G24" s="199">
        <f>'DIA 16'!K$51</f>
        <v>151742489.27000001</v>
      </c>
      <c r="H24" s="199">
        <f>'DIA 16'!K$55</f>
        <v>0</v>
      </c>
      <c r="I24" s="60">
        <f t="shared" si="1"/>
        <v>0</v>
      </c>
      <c r="J24" s="60">
        <f t="shared" si="2"/>
        <v>0</v>
      </c>
    </row>
    <row r="25" spans="1:10" x14ac:dyDescent="0.25">
      <c r="A25" s="46">
        <f>'DIA 17'!B$6</f>
        <v>44486</v>
      </c>
      <c r="B25" s="199">
        <f>'DIA 17'!G$50</f>
        <v>0</v>
      </c>
      <c r="C25" s="199">
        <f>'DIA 17'!G$51</f>
        <v>0</v>
      </c>
      <c r="D25" s="199">
        <f>'DIA 17'!G$55</f>
        <v>0</v>
      </c>
      <c r="E25" s="203">
        <f t="shared" si="0"/>
        <v>0</v>
      </c>
      <c r="F25" s="199">
        <f>'DIA 17'!K$50</f>
        <v>0</v>
      </c>
      <c r="G25" s="199">
        <f>'DIA 17'!K$51</f>
        <v>0</v>
      </c>
      <c r="H25" s="199">
        <f>'DIA 17'!K$55</f>
        <v>0</v>
      </c>
      <c r="I25" s="60">
        <f t="shared" si="1"/>
        <v>0</v>
      </c>
      <c r="J25" s="60">
        <f t="shared" si="2"/>
        <v>0</v>
      </c>
    </row>
    <row r="26" spans="1:10" x14ac:dyDescent="0.25">
      <c r="A26" s="46">
        <f>'DIA 18'!B$6</f>
        <v>44122</v>
      </c>
      <c r="B26" s="199">
        <f>'DIA 18'!G$50</f>
        <v>0</v>
      </c>
      <c r="C26" s="199">
        <f>'DIA 18'!G$51</f>
        <v>0</v>
      </c>
      <c r="D26" s="199">
        <f>'DIA 18'!G$55</f>
        <v>0</v>
      </c>
      <c r="E26" s="203">
        <f t="shared" si="0"/>
        <v>0</v>
      </c>
      <c r="F26" s="199">
        <f>'DIA 18'!K$50</f>
        <v>0</v>
      </c>
      <c r="G26" s="199">
        <f>'DIA 18'!K$51</f>
        <v>0</v>
      </c>
      <c r="H26" s="199">
        <f>'DIA 18'!K$55</f>
        <v>0</v>
      </c>
      <c r="I26" s="60">
        <f t="shared" si="1"/>
        <v>0</v>
      </c>
      <c r="J26" s="60">
        <f t="shared" si="2"/>
        <v>0</v>
      </c>
    </row>
    <row r="27" spans="1:10" x14ac:dyDescent="0.25">
      <c r="A27" s="46">
        <f>'DIA 19'!B$6</f>
        <v>44488</v>
      </c>
      <c r="B27" s="199">
        <f>'DIA 19'!G$50</f>
        <v>0</v>
      </c>
      <c r="C27" s="199">
        <f>'DIA 19'!G$51</f>
        <v>0</v>
      </c>
      <c r="D27" s="199">
        <f>'DIA 19'!G$55</f>
        <v>0</v>
      </c>
      <c r="E27" s="203">
        <f t="shared" si="0"/>
        <v>0</v>
      </c>
      <c r="F27" s="199">
        <f>'DIA 19'!K$50</f>
        <v>0</v>
      </c>
      <c r="G27" s="199">
        <f>'DIA 19'!K$51</f>
        <v>0</v>
      </c>
      <c r="H27" s="199">
        <f>'DIA 19'!K$55</f>
        <v>0</v>
      </c>
      <c r="I27" s="60">
        <f t="shared" si="1"/>
        <v>0</v>
      </c>
      <c r="J27" s="60">
        <f t="shared" si="2"/>
        <v>0</v>
      </c>
    </row>
    <row r="28" spans="1:10" x14ac:dyDescent="0.25">
      <c r="A28" s="46">
        <f>'DIA 20'!B$6</f>
        <v>44459</v>
      </c>
      <c r="B28" s="199">
        <f>'DIA 20'!G$50</f>
        <v>0</v>
      </c>
      <c r="C28" s="199">
        <f>'DIA 20'!G$51</f>
        <v>0</v>
      </c>
      <c r="D28" s="199">
        <f>'DIA 20'!G$55</f>
        <v>0</v>
      </c>
      <c r="E28" s="203">
        <f t="shared" si="0"/>
        <v>0</v>
      </c>
      <c r="F28" s="199">
        <f>'DIA 20'!K$50</f>
        <v>0</v>
      </c>
      <c r="G28" s="199">
        <f>'DIA 20'!K$51</f>
        <v>129218239.55</v>
      </c>
      <c r="H28" s="199">
        <f>'DIA 20'!K$55</f>
        <v>0</v>
      </c>
      <c r="I28" s="60">
        <f t="shared" si="1"/>
        <v>0</v>
      </c>
      <c r="J28" s="60">
        <f t="shared" si="2"/>
        <v>0</v>
      </c>
    </row>
    <row r="29" spans="1:10" x14ac:dyDescent="0.25">
      <c r="A29" s="46">
        <f>'DIA 21'!B$6</f>
        <v>44490</v>
      </c>
      <c r="B29" s="199">
        <f>'DIA 21'!G$50</f>
        <v>0</v>
      </c>
      <c r="C29" s="199">
        <f>'DIA 21'!G$51</f>
        <v>0</v>
      </c>
      <c r="D29" s="199">
        <f>'DIA 21'!G$55</f>
        <v>0</v>
      </c>
      <c r="E29" s="203">
        <f t="shared" si="0"/>
        <v>0</v>
      </c>
      <c r="F29" s="199">
        <f>'DIA 21'!K$50</f>
        <v>0</v>
      </c>
      <c r="G29" s="199">
        <f>'DIA 21'!K$51</f>
        <v>0</v>
      </c>
      <c r="H29" s="199">
        <f>'DIA 21'!K$55</f>
        <v>0</v>
      </c>
      <c r="I29" s="60">
        <f t="shared" si="1"/>
        <v>0</v>
      </c>
      <c r="J29" s="60">
        <f t="shared" si="2"/>
        <v>0</v>
      </c>
    </row>
    <row r="30" spans="1:10" x14ac:dyDescent="0.25">
      <c r="A30" s="46">
        <f>'DIA 22'!B$6</f>
        <v>44491</v>
      </c>
      <c r="B30" s="199">
        <f>'DIA 22'!G$50</f>
        <v>0</v>
      </c>
      <c r="C30" s="199">
        <f>'DIA 22'!G$51</f>
        <v>0</v>
      </c>
      <c r="D30" s="199">
        <f>'DIA 22'!G$55</f>
        <v>0</v>
      </c>
      <c r="E30" s="203">
        <f t="shared" si="0"/>
        <v>0</v>
      </c>
      <c r="F30" s="199">
        <f>'DIA 22'!K$50</f>
        <v>0</v>
      </c>
      <c r="G30" s="199">
        <f>'DIA 22'!K$51</f>
        <v>0</v>
      </c>
      <c r="H30" s="199">
        <f>'DIA 22'!K$55</f>
        <v>0</v>
      </c>
      <c r="I30" s="60">
        <f t="shared" si="1"/>
        <v>0</v>
      </c>
      <c r="J30" s="60">
        <f t="shared" si="2"/>
        <v>0</v>
      </c>
    </row>
    <row r="31" spans="1:10" x14ac:dyDescent="0.25">
      <c r="A31" s="46">
        <f>'DIA 23'!B$6</f>
        <v>44492</v>
      </c>
      <c r="B31" s="199">
        <f>'DIA 23'!G$50</f>
        <v>0</v>
      </c>
      <c r="C31" s="199">
        <f>'DIA 23'!G$51</f>
        <v>0</v>
      </c>
      <c r="D31" s="199">
        <f>'DIA 23'!G$55</f>
        <v>0</v>
      </c>
      <c r="E31" s="203">
        <f t="shared" si="0"/>
        <v>0</v>
      </c>
      <c r="F31" s="199">
        <f>'DIA 23'!K$50</f>
        <v>0</v>
      </c>
      <c r="G31" s="199">
        <f>'DIA 23'!K$51</f>
        <v>0</v>
      </c>
      <c r="H31" s="199">
        <f>'DIA 23'!K$55</f>
        <v>0</v>
      </c>
      <c r="I31" s="60">
        <f t="shared" si="1"/>
        <v>0</v>
      </c>
      <c r="J31" s="60">
        <f t="shared" si="2"/>
        <v>0</v>
      </c>
    </row>
    <row r="32" spans="1:10" x14ac:dyDescent="0.25">
      <c r="A32" s="46">
        <f>'DIA 24'!B$6</f>
        <v>44493</v>
      </c>
      <c r="B32" s="199">
        <f>'DIA 24'!G$50</f>
        <v>0</v>
      </c>
      <c r="C32" s="199">
        <f>'DIA 24'!G$51</f>
        <v>0</v>
      </c>
      <c r="D32" s="199">
        <f>'DIA 24'!G$55</f>
        <v>0</v>
      </c>
      <c r="E32" s="203">
        <f t="shared" si="0"/>
        <v>0</v>
      </c>
      <c r="F32" s="199">
        <f>'DIA 24'!K$50</f>
        <v>0</v>
      </c>
      <c r="G32" s="199">
        <f>'DIA 24'!K$51</f>
        <v>0</v>
      </c>
      <c r="H32" s="199">
        <f>'DIA 24'!K$55</f>
        <v>0</v>
      </c>
      <c r="I32" s="60">
        <f t="shared" si="1"/>
        <v>0</v>
      </c>
      <c r="J32" s="60">
        <f t="shared" si="2"/>
        <v>0</v>
      </c>
    </row>
    <row r="33" spans="1:10" x14ac:dyDescent="0.25">
      <c r="A33" s="46">
        <f>'DIA 25'!B$6</f>
        <v>44494</v>
      </c>
      <c r="B33" s="199">
        <f>'DIA 25'!G$50</f>
        <v>0</v>
      </c>
      <c r="C33" s="199">
        <f>'DIA 25'!G$51</f>
        <v>0</v>
      </c>
      <c r="D33" s="199">
        <f>'DIA 25'!G$55</f>
        <v>0</v>
      </c>
      <c r="E33" s="203">
        <f t="shared" si="0"/>
        <v>0</v>
      </c>
      <c r="F33" s="199">
        <f>'DIA 25'!K$50</f>
        <v>0</v>
      </c>
      <c r="G33" s="199">
        <f>'DIA 25'!K$51</f>
        <v>0</v>
      </c>
      <c r="H33" s="199">
        <f>'DIA 25'!K$55</f>
        <v>0</v>
      </c>
      <c r="I33" s="60">
        <f t="shared" si="1"/>
        <v>0</v>
      </c>
      <c r="J33" s="60">
        <f t="shared" si="2"/>
        <v>0</v>
      </c>
    </row>
    <row r="34" spans="1:10" x14ac:dyDescent="0.25">
      <c r="A34" s="46">
        <f>'DIA 26'!B$6</f>
        <v>44495</v>
      </c>
      <c r="B34" s="199">
        <f>'DIA 26'!G$50</f>
        <v>0</v>
      </c>
      <c r="C34" s="199">
        <f>'DIA 26'!G$51</f>
        <v>0</v>
      </c>
      <c r="D34" s="199">
        <f>'DIA 26'!G$55</f>
        <v>0</v>
      </c>
      <c r="E34" s="203">
        <f t="shared" si="0"/>
        <v>0</v>
      </c>
      <c r="F34" s="199">
        <f>'DIA 26'!K$50</f>
        <v>0</v>
      </c>
      <c r="G34" s="199">
        <f>'DIA 26'!K$51</f>
        <v>0</v>
      </c>
      <c r="H34" s="199">
        <f>'DIA 26'!K$55</f>
        <v>0</v>
      </c>
      <c r="I34" s="60">
        <f t="shared" si="1"/>
        <v>0</v>
      </c>
      <c r="J34" s="60">
        <f t="shared" si="2"/>
        <v>0</v>
      </c>
    </row>
    <row r="35" spans="1:10" x14ac:dyDescent="0.25">
      <c r="A35" s="46">
        <f>'DIA 27'!B$6</f>
        <v>44496</v>
      </c>
      <c r="B35" s="199">
        <f>'DIA 27'!G$50</f>
        <v>0</v>
      </c>
      <c r="C35" s="199">
        <f>'DIA 27'!G$51</f>
        <v>0</v>
      </c>
      <c r="D35" s="199">
        <f>'DIA 27'!G$55</f>
        <v>0</v>
      </c>
      <c r="E35" s="203">
        <f t="shared" si="0"/>
        <v>0</v>
      </c>
      <c r="F35" s="199">
        <f>'DIA 27'!K$50</f>
        <v>0</v>
      </c>
      <c r="G35" s="199">
        <f>'DIA 27'!K$51</f>
        <v>0</v>
      </c>
      <c r="H35" s="199">
        <f>'DIA 27'!K$55</f>
        <v>0</v>
      </c>
      <c r="I35" s="60">
        <f t="shared" si="1"/>
        <v>0</v>
      </c>
      <c r="J35" s="60">
        <f t="shared" si="2"/>
        <v>0</v>
      </c>
    </row>
    <row r="36" spans="1:10" x14ac:dyDescent="0.25">
      <c r="A36" s="46">
        <f>'DIA 28'!B$6</f>
        <v>44132</v>
      </c>
      <c r="B36" s="199">
        <f>'DIA 28'!G$50</f>
        <v>0</v>
      </c>
      <c r="C36" s="199">
        <f>'DIA 28'!G$51</f>
        <v>0</v>
      </c>
      <c r="D36" s="199">
        <f>'DIA 28'!G$55</f>
        <v>0</v>
      </c>
      <c r="E36" s="203">
        <f t="shared" si="0"/>
        <v>0</v>
      </c>
      <c r="F36" s="199">
        <f>'DIA 28'!K$50</f>
        <v>0</v>
      </c>
      <c r="G36" s="199">
        <f>'DIA 28'!K$51</f>
        <v>0</v>
      </c>
      <c r="H36" s="199">
        <f>'DIA 28'!K$55</f>
        <v>0</v>
      </c>
      <c r="I36" s="60">
        <f t="shared" si="1"/>
        <v>0</v>
      </c>
      <c r="J36" s="60">
        <f t="shared" si="2"/>
        <v>0</v>
      </c>
    </row>
    <row r="37" spans="1:10" x14ac:dyDescent="0.25">
      <c r="A37" s="46">
        <f>'DIA 29'!B$6</f>
        <v>44133</v>
      </c>
      <c r="B37" s="199">
        <f>'DIA 29'!G$50</f>
        <v>0</v>
      </c>
      <c r="C37" s="199">
        <f>'DIA 29'!G$51</f>
        <v>0</v>
      </c>
      <c r="D37" s="199">
        <f>'DIA 29'!G$55</f>
        <v>0</v>
      </c>
      <c r="E37" s="203">
        <f t="shared" si="0"/>
        <v>0</v>
      </c>
      <c r="F37" s="199">
        <f>'DIA 29'!K$50</f>
        <v>0</v>
      </c>
      <c r="G37" s="199">
        <f>'DIA 29'!K$51</f>
        <v>0</v>
      </c>
      <c r="H37" s="199">
        <f>'DIA 29'!K$55</f>
        <v>0</v>
      </c>
      <c r="I37" s="60">
        <f t="shared" si="1"/>
        <v>0</v>
      </c>
      <c r="J37" s="60">
        <f t="shared" si="2"/>
        <v>0</v>
      </c>
    </row>
    <row r="38" spans="1:10" x14ac:dyDescent="0.25">
      <c r="A38" s="46">
        <f>'DIA 30'!B$6</f>
        <v>44499</v>
      </c>
      <c r="B38" s="199">
        <f>'DIA 30'!G$50</f>
        <v>0</v>
      </c>
      <c r="C38" s="199">
        <f>'DIA 30'!G$51</f>
        <v>0</v>
      </c>
      <c r="D38" s="199">
        <f>'DIA 30'!G$55</f>
        <v>0</v>
      </c>
      <c r="E38" s="203">
        <f t="shared" si="0"/>
        <v>0</v>
      </c>
      <c r="F38" s="199">
        <f>'DIA 30'!K$50</f>
        <v>0</v>
      </c>
      <c r="G38" s="199">
        <f>'DIA 30'!K$51</f>
        <v>0</v>
      </c>
      <c r="H38" s="199">
        <f>'DIA 30'!K$55</f>
        <v>0</v>
      </c>
      <c r="I38" s="60">
        <f t="shared" si="1"/>
        <v>0</v>
      </c>
      <c r="J38" s="60">
        <f t="shared" si="2"/>
        <v>0</v>
      </c>
    </row>
    <row r="39" spans="1:10" x14ac:dyDescent="0.25">
      <c r="A39" s="46">
        <f>'DIA 31'!B$6</f>
        <v>44500</v>
      </c>
      <c r="B39" s="199">
        <f>'DIA 31'!G$50</f>
        <v>0</v>
      </c>
      <c r="C39" s="199">
        <f>'DIA 31'!G$51</f>
        <v>0</v>
      </c>
      <c r="D39" s="199">
        <f>'DIA 31'!G$55</f>
        <v>0</v>
      </c>
      <c r="E39" s="203">
        <f t="shared" si="0"/>
        <v>0</v>
      </c>
      <c r="F39" s="199">
        <f>'DIA 31'!K$50</f>
        <v>0</v>
      </c>
      <c r="G39" s="199">
        <f>'DIA 31'!K$51</f>
        <v>0</v>
      </c>
      <c r="H39" s="199">
        <f>'DIA 31'!K$55</f>
        <v>0</v>
      </c>
      <c r="I39" s="60">
        <f t="shared" si="1"/>
        <v>0</v>
      </c>
      <c r="J39" s="60">
        <f t="shared" si="2"/>
        <v>0</v>
      </c>
    </row>
    <row r="40" spans="1:10" x14ac:dyDescent="0.25">
      <c r="A40" s="53" t="s">
        <v>38</v>
      </c>
      <c r="B40" s="133">
        <f>SUM(B9:B39)</f>
        <v>2234.9452449999999</v>
      </c>
      <c r="C40" s="133"/>
      <c r="D40" s="133">
        <f>SUM(D9:D38)</f>
        <v>0</v>
      </c>
      <c r="E40" s="133">
        <f>SUM(E9:E38)</f>
        <v>2234.9452449999999</v>
      </c>
    </row>
  </sheetData>
  <mergeCells count="6">
    <mergeCell ref="E7:F7"/>
    <mergeCell ref="A1:A3"/>
    <mergeCell ref="B1:J1"/>
    <mergeCell ref="B2:J2"/>
    <mergeCell ref="B3:J3"/>
    <mergeCell ref="B4:H4"/>
  </mergeCells>
  <conditionalFormatting sqref="I9:I39">
    <cfRule type="cellIs" dxfId="82" priority="5" operator="greaterThan">
      <formula>" Bs.  0"</formula>
    </cfRule>
    <cfRule type="cellIs" dxfId="81" priority="6" operator="lessThan">
      <formula>" Bs.  -2,00 "</formula>
    </cfRule>
  </conditionalFormatting>
  <conditionalFormatting sqref="I9:I39">
    <cfRule type="expression" dxfId="80" priority="4">
      <formula>I9=0</formula>
    </cfRule>
  </conditionalFormatting>
  <conditionalFormatting sqref="J9:J39">
    <cfRule type="cellIs" dxfId="79" priority="2" operator="greaterThan">
      <formula>" Bs.  0"</formula>
    </cfRule>
    <cfRule type="cellIs" dxfId="78" priority="3" operator="lessThan">
      <formula>" Bs.  -2,00 "</formula>
    </cfRule>
  </conditionalFormatting>
  <conditionalFormatting sqref="J9:J39">
    <cfRule type="expression" dxfId="77" priority="1">
      <formula>J9=0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zoomScale="90" zoomScaleNormal="90" workbookViewId="0">
      <selection activeCell="A9" sqref="A9:A39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6" width="20.42578125" style="85" customWidth="1"/>
    <col min="7" max="8" width="22.140625" style="85" customWidth="1"/>
    <col min="9" max="16384" width="11.42578125" style="85"/>
  </cols>
  <sheetData>
    <row r="1" spans="1:9" s="84" customFormat="1" ht="16.5" customHeight="1" x14ac:dyDescent="0.35">
      <c r="A1" s="259"/>
      <c r="B1" s="263" t="s">
        <v>12</v>
      </c>
      <c r="C1" s="264"/>
      <c r="D1" s="264"/>
      <c r="E1" s="264"/>
      <c r="F1" s="264"/>
      <c r="G1" s="264"/>
      <c r="H1" s="264"/>
      <c r="I1" s="265"/>
    </row>
    <row r="2" spans="1:9" s="84" customFormat="1" ht="16.5" customHeight="1" x14ac:dyDescent="0.25">
      <c r="A2" s="259"/>
      <c r="B2" s="266" t="s">
        <v>153</v>
      </c>
      <c r="C2" s="267"/>
      <c r="D2" s="267"/>
      <c r="E2" s="267"/>
      <c r="F2" s="267"/>
      <c r="G2" s="267"/>
      <c r="H2" s="267"/>
      <c r="I2" s="268"/>
    </row>
    <row r="3" spans="1:9" s="84" customFormat="1" ht="16.5" customHeight="1" x14ac:dyDescent="0.25">
      <c r="A3" s="259"/>
      <c r="B3" s="262"/>
      <c r="C3" s="262"/>
      <c r="D3" s="262"/>
      <c r="E3" s="262"/>
      <c r="F3" s="262"/>
      <c r="G3" s="262"/>
      <c r="H3" s="262"/>
      <c r="I3" s="262"/>
    </row>
    <row r="4" spans="1:9" x14ac:dyDescent="0.25">
      <c r="B4" s="262"/>
      <c r="C4" s="262"/>
      <c r="D4" s="262"/>
      <c r="E4" s="262"/>
      <c r="F4" s="262"/>
      <c r="G4" s="262"/>
    </row>
    <row r="6" spans="1:9" ht="15.75" thickBot="1" x14ac:dyDescent="0.3"/>
    <row r="7" spans="1:9" x14ac:dyDescent="0.25">
      <c r="E7" s="260" t="s">
        <v>14</v>
      </c>
      <c r="F7" s="261"/>
    </row>
    <row r="8" spans="1:9" ht="27" customHeight="1" x14ac:dyDescent="0.25">
      <c r="A8" s="45" t="s">
        <v>33</v>
      </c>
      <c r="B8" s="45" t="s">
        <v>154</v>
      </c>
      <c r="C8" s="45" t="s">
        <v>155</v>
      </c>
      <c r="D8" s="52" t="s">
        <v>27</v>
      </c>
      <c r="E8" s="49" t="s">
        <v>154</v>
      </c>
      <c r="F8" s="50" t="s">
        <v>155</v>
      </c>
      <c r="G8" s="51" t="s">
        <v>53</v>
      </c>
      <c r="H8" s="51" t="s">
        <v>54</v>
      </c>
    </row>
    <row r="9" spans="1:9" x14ac:dyDescent="0.25">
      <c r="A9" s="46">
        <f>'DIA 1'!B$6</f>
        <v>44501</v>
      </c>
      <c r="B9" s="199">
        <f>+'DIA 1'!G$48</f>
        <v>16.425875000000001</v>
      </c>
      <c r="C9" s="199">
        <f>+'DIA 1'!G$54</f>
        <v>0</v>
      </c>
      <c r="D9" s="203">
        <f>B9+C9</f>
        <v>16.425875000000001</v>
      </c>
      <c r="E9" s="204">
        <f>+'DIA 1'!K$48</f>
        <v>0</v>
      </c>
      <c r="F9" s="205">
        <f>+'DIA 1'!K$54</f>
        <v>0</v>
      </c>
      <c r="G9" s="206">
        <f>B9-E9</f>
        <v>16.425875000000001</v>
      </c>
      <c r="H9" s="206">
        <f>C9-F9</f>
        <v>0</v>
      </c>
    </row>
    <row r="10" spans="1:9" x14ac:dyDescent="0.25">
      <c r="A10" s="46">
        <f>'DIA 2'!B$6</f>
        <v>44502</v>
      </c>
      <c r="B10" s="199">
        <f>'DIA 2'!G$48</f>
        <v>0</v>
      </c>
      <c r="C10" s="199">
        <f>'DIA 2'!G$54</f>
        <v>0</v>
      </c>
      <c r="D10" s="203">
        <f t="shared" ref="D10:D39" si="0">B10+C10</f>
        <v>0</v>
      </c>
      <c r="E10" s="199">
        <f>'DIA 2'!K$48</f>
        <v>0</v>
      </c>
      <c r="F10" s="199">
        <f>'DIA 2'!K$54</f>
        <v>0</v>
      </c>
      <c r="G10" s="206">
        <f t="shared" ref="G10:H39" si="1">B10-E10</f>
        <v>0</v>
      </c>
      <c r="H10" s="206">
        <f t="shared" si="1"/>
        <v>0</v>
      </c>
    </row>
    <row r="11" spans="1:9" x14ac:dyDescent="0.25">
      <c r="A11" s="46">
        <f>'DIA 3'!B$6</f>
        <v>44503</v>
      </c>
      <c r="B11" s="199">
        <f>'DIA 3'!G$48</f>
        <v>0</v>
      </c>
      <c r="C11" s="199">
        <f>'DIA 3'!G$54</f>
        <v>0</v>
      </c>
      <c r="D11" s="203">
        <f t="shared" si="0"/>
        <v>0</v>
      </c>
      <c r="E11" s="199">
        <f>'DIA 3'!K$48</f>
        <v>0</v>
      </c>
      <c r="F11" s="199">
        <f>'DIA 3'!K$54</f>
        <v>0</v>
      </c>
      <c r="G11" s="206">
        <f t="shared" si="1"/>
        <v>0</v>
      </c>
      <c r="H11" s="206">
        <f t="shared" si="1"/>
        <v>0</v>
      </c>
    </row>
    <row r="12" spans="1:9" x14ac:dyDescent="0.25">
      <c r="A12" s="46">
        <f>'DIA 4'!B$6</f>
        <v>44504</v>
      </c>
      <c r="B12" s="199">
        <f>'DIA 4'!G$48</f>
        <v>0</v>
      </c>
      <c r="C12" s="199">
        <f>'DIA 4'!G$54</f>
        <v>0</v>
      </c>
      <c r="D12" s="203">
        <f t="shared" si="0"/>
        <v>0</v>
      </c>
      <c r="E12" s="199">
        <f>'DIA 4'!K$48</f>
        <v>0</v>
      </c>
      <c r="F12" s="199">
        <f>'DIA 4'!K$54</f>
        <v>0</v>
      </c>
      <c r="G12" s="206">
        <f t="shared" si="1"/>
        <v>0</v>
      </c>
      <c r="H12" s="206">
        <f t="shared" si="1"/>
        <v>0</v>
      </c>
    </row>
    <row r="13" spans="1:9" x14ac:dyDescent="0.25">
      <c r="A13" s="46">
        <f>'DIA 5'!B$6</f>
        <v>44505</v>
      </c>
      <c r="B13" s="199">
        <f>'DIA 5'!G$48</f>
        <v>0</v>
      </c>
      <c r="C13" s="199">
        <f>'DIA 5'!G$54</f>
        <v>0</v>
      </c>
      <c r="D13" s="203">
        <f t="shared" si="0"/>
        <v>0</v>
      </c>
      <c r="E13" s="199">
        <f>'DIA 5'!K$48</f>
        <v>0</v>
      </c>
      <c r="F13" s="199">
        <f>'DIA 5'!K$54</f>
        <v>0</v>
      </c>
      <c r="G13" s="206">
        <f t="shared" si="1"/>
        <v>0</v>
      </c>
      <c r="H13" s="206">
        <f t="shared" si="1"/>
        <v>0</v>
      </c>
    </row>
    <row r="14" spans="1:9" x14ac:dyDescent="0.25">
      <c r="A14" s="46">
        <f>'DIA 6'!B$6</f>
        <v>44506</v>
      </c>
      <c r="B14" s="199">
        <f>'DIA 6'!G$48</f>
        <v>0</v>
      </c>
      <c r="C14" s="199">
        <f>'DIA 6'!G$54</f>
        <v>0</v>
      </c>
      <c r="D14" s="203">
        <f t="shared" si="0"/>
        <v>0</v>
      </c>
      <c r="E14" s="199">
        <f>'DIA 6'!K$48</f>
        <v>0</v>
      </c>
      <c r="F14" s="199">
        <f>'DIA 6'!K$54</f>
        <v>0</v>
      </c>
      <c r="G14" s="206">
        <f t="shared" si="1"/>
        <v>0</v>
      </c>
      <c r="H14" s="206">
        <f t="shared" si="1"/>
        <v>0</v>
      </c>
    </row>
    <row r="15" spans="1:9" x14ac:dyDescent="0.25">
      <c r="A15" s="46">
        <f>'DIA 7'!B$6</f>
        <v>44507</v>
      </c>
      <c r="B15" s="199">
        <f>'DIA 7'!G$48</f>
        <v>0</v>
      </c>
      <c r="C15" s="199">
        <f>'DIA 7'!G$54</f>
        <v>0</v>
      </c>
      <c r="D15" s="203">
        <f t="shared" si="0"/>
        <v>0</v>
      </c>
      <c r="E15" s="199">
        <f>'DIA 7'!K$48</f>
        <v>0</v>
      </c>
      <c r="F15" s="199">
        <f>'DIA 7'!K$54</f>
        <v>0</v>
      </c>
      <c r="G15" s="206">
        <f t="shared" si="1"/>
        <v>0</v>
      </c>
      <c r="H15" s="206">
        <f t="shared" si="1"/>
        <v>0</v>
      </c>
    </row>
    <row r="16" spans="1:9" x14ac:dyDescent="0.25">
      <c r="A16" s="46">
        <f>'DIA 8'!B$6</f>
        <v>44508</v>
      </c>
      <c r="B16" s="199">
        <f>'DIA 8'!G$48</f>
        <v>0</v>
      </c>
      <c r="C16" s="199">
        <f>'DIA 8'!G$54</f>
        <v>0</v>
      </c>
      <c r="D16" s="203">
        <f t="shared" si="0"/>
        <v>0</v>
      </c>
      <c r="E16" s="199">
        <f>'DIA 8'!K$48</f>
        <v>0</v>
      </c>
      <c r="F16" s="199">
        <f>'DIA 8'!K$54</f>
        <v>0</v>
      </c>
      <c r="G16" s="206">
        <f t="shared" si="1"/>
        <v>0</v>
      </c>
      <c r="H16" s="206">
        <f t="shared" si="1"/>
        <v>0</v>
      </c>
    </row>
    <row r="17" spans="1:8" x14ac:dyDescent="0.25">
      <c r="A17" s="46">
        <f>'DIA 9'!B$6</f>
        <v>44509</v>
      </c>
      <c r="B17" s="199">
        <f>'DIA 9'!G$48</f>
        <v>0</v>
      </c>
      <c r="C17" s="199">
        <f>'DIA 9'!G$54</f>
        <v>0</v>
      </c>
      <c r="D17" s="203">
        <f t="shared" si="0"/>
        <v>0</v>
      </c>
      <c r="E17" s="199">
        <f>'DIA 9'!K$48</f>
        <v>0</v>
      </c>
      <c r="F17" s="199">
        <f>'DIA 9'!K$54</f>
        <v>0</v>
      </c>
      <c r="G17" s="206">
        <f t="shared" si="1"/>
        <v>0</v>
      </c>
      <c r="H17" s="206">
        <f t="shared" si="1"/>
        <v>0</v>
      </c>
    </row>
    <row r="18" spans="1:8" x14ac:dyDescent="0.25">
      <c r="A18" s="46">
        <f>'DIA 10'!B$6</f>
        <v>44479</v>
      </c>
      <c r="B18" s="199">
        <f>'DIA 10'!G$48</f>
        <v>0</v>
      </c>
      <c r="C18" s="199">
        <f>'DIA 10'!G$54</f>
        <v>0</v>
      </c>
      <c r="D18" s="203">
        <f t="shared" si="0"/>
        <v>0</v>
      </c>
      <c r="E18" s="199">
        <f>'DIA 10'!K$48</f>
        <v>0</v>
      </c>
      <c r="F18" s="199">
        <f>'DIA 10'!K$54</f>
        <v>0</v>
      </c>
      <c r="G18" s="206">
        <f t="shared" si="1"/>
        <v>0</v>
      </c>
      <c r="H18" s="206">
        <f t="shared" si="1"/>
        <v>0</v>
      </c>
    </row>
    <row r="19" spans="1:8" x14ac:dyDescent="0.25">
      <c r="A19" s="46">
        <f>'DIA 11'!B$6</f>
        <v>44480</v>
      </c>
      <c r="B19" s="199">
        <f>'DIA 11'!G$48</f>
        <v>0</v>
      </c>
      <c r="C19" s="199">
        <f>'DIA 11'!G$54</f>
        <v>0</v>
      </c>
      <c r="D19" s="203">
        <f t="shared" si="0"/>
        <v>0</v>
      </c>
      <c r="E19" s="199">
        <f>'DIA 11'!K$48</f>
        <v>0</v>
      </c>
      <c r="F19" s="199">
        <f>'DIA 11'!K$54</f>
        <v>0</v>
      </c>
      <c r="G19" s="206">
        <f t="shared" si="1"/>
        <v>0</v>
      </c>
      <c r="H19" s="206">
        <f t="shared" si="1"/>
        <v>0</v>
      </c>
    </row>
    <row r="20" spans="1:8" x14ac:dyDescent="0.25">
      <c r="A20" s="46">
        <f>'DIA 12'!B$6</f>
        <v>44481</v>
      </c>
      <c r="B20" s="199">
        <f>'DIA 12'!G$48</f>
        <v>0</v>
      </c>
      <c r="C20" s="199">
        <f>'DIA 12'!G$54</f>
        <v>0</v>
      </c>
      <c r="D20" s="203">
        <f t="shared" si="0"/>
        <v>0</v>
      </c>
      <c r="E20" s="199">
        <f>'DIA 12'!K$48</f>
        <v>0</v>
      </c>
      <c r="F20" s="199">
        <f>'DIA 12'!K$54</f>
        <v>0</v>
      </c>
      <c r="G20" s="206">
        <f t="shared" si="1"/>
        <v>0</v>
      </c>
      <c r="H20" s="206">
        <f t="shared" si="1"/>
        <v>0</v>
      </c>
    </row>
    <row r="21" spans="1:8" x14ac:dyDescent="0.25">
      <c r="A21" s="46">
        <f>'DIA 13'!B$6</f>
        <v>44482</v>
      </c>
      <c r="B21" s="199">
        <f>'DIA 13'!G$48</f>
        <v>0</v>
      </c>
      <c r="C21" s="199">
        <f>'DIA 13'!G$54</f>
        <v>0</v>
      </c>
      <c r="D21" s="203">
        <f t="shared" si="0"/>
        <v>0</v>
      </c>
      <c r="E21" s="199">
        <f>'DIA 13'!K$48</f>
        <v>0</v>
      </c>
      <c r="F21" s="199">
        <f>'DIA 13'!K$54</f>
        <v>0</v>
      </c>
      <c r="G21" s="206">
        <f t="shared" si="1"/>
        <v>0</v>
      </c>
      <c r="H21" s="206">
        <f t="shared" si="1"/>
        <v>0</v>
      </c>
    </row>
    <row r="22" spans="1:8" x14ac:dyDescent="0.25">
      <c r="A22" s="46">
        <f>'DIA 14'!B$6</f>
        <v>44483</v>
      </c>
      <c r="B22" s="199">
        <f>'DIA 14'!G$48</f>
        <v>32.524225000000001</v>
      </c>
      <c r="C22" s="199">
        <f>'DIA 14'!G$54</f>
        <v>0</v>
      </c>
      <c r="D22" s="203">
        <f t="shared" si="0"/>
        <v>32.524225000000001</v>
      </c>
      <c r="E22" s="199">
        <f>'DIA 14'!K$48</f>
        <v>0</v>
      </c>
      <c r="F22" s="199">
        <f>'DIA 14'!K$54</f>
        <v>0</v>
      </c>
      <c r="G22" s="206">
        <f t="shared" si="1"/>
        <v>32.524225000000001</v>
      </c>
      <c r="H22" s="206">
        <f t="shared" si="1"/>
        <v>0</v>
      </c>
    </row>
    <row r="23" spans="1:8" x14ac:dyDescent="0.25">
      <c r="A23" s="46">
        <f>'DIA 15'!B$6</f>
        <v>44484</v>
      </c>
      <c r="B23" s="199">
        <f>'DIA 15'!G$48</f>
        <v>0</v>
      </c>
      <c r="C23" s="199">
        <f>'DIA 15'!G$54</f>
        <v>0</v>
      </c>
      <c r="D23" s="203">
        <f t="shared" si="0"/>
        <v>0</v>
      </c>
      <c r="E23" s="199">
        <f>'DIA 15'!K$48</f>
        <v>0</v>
      </c>
      <c r="F23" s="199">
        <f>'DIA 15'!K$54</f>
        <v>0</v>
      </c>
      <c r="G23" s="206">
        <f t="shared" si="1"/>
        <v>0</v>
      </c>
      <c r="H23" s="206">
        <f t="shared" si="1"/>
        <v>0</v>
      </c>
    </row>
    <row r="24" spans="1:8" x14ac:dyDescent="0.25">
      <c r="A24" s="46">
        <f>'DIA 16'!B$6</f>
        <v>44485</v>
      </c>
      <c r="B24" s="199">
        <f>'DIA 16'!G$48</f>
        <v>0</v>
      </c>
      <c r="C24" s="199">
        <f>'DIA 16'!G$54</f>
        <v>0</v>
      </c>
      <c r="D24" s="203">
        <f t="shared" si="0"/>
        <v>0</v>
      </c>
      <c r="E24" s="199">
        <f>'DIA 16'!K$48</f>
        <v>0</v>
      </c>
      <c r="F24" s="199">
        <f>'DIA 16'!K$54</f>
        <v>0</v>
      </c>
      <c r="G24" s="206">
        <f t="shared" si="1"/>
        <v>0</v>
      </c>
      <c r="H24" s="206">
        <f t="shared" si="1"/>
        <v>0</v>
      </c>
    </row>
    <row r="25" spans="1:8" x14ac:dyDescent="0.25">
      <c r="A25" s="46">
        <f>'DIA 17'!B$6</f>
        <v>44486</v>
      </c>
      <c r="B25" s="199">
        <f>'DIA 17'!G$48</f>
        <v>0</v>
      </c>
      <c r="C25" s="199">
        <f>'DIA 17'!G$54</f>
        <v>0</v>
      </c>
      <c r="D25" s="203">
        <f t="shared" si="0"/>
        <v>0</v>
      </c>
      <c r="E25" s="199">
        <f>'DIA 17'!K$48</f>
        <v>0</v>
      </c>
      <c r="F25" s="199">
        <f>'DIA 17'!K$54</f>
        <v>0</v>
      </c>
      <c r="G25" s="206">
        <f t="shared" si="1"/>
        <v>0</v>
      </c>
      <c r="H25" s="206">
        <f t="shared" si="1"/>
        <v>0</v>
      </c>
    </row>
    <row r="26" spans="1:8" x14ac:dyDescent="0.25">
      <c r="A26" s="46">
        <f>'DIA 18'!B$6</f>
        <v>44122</v>
      </c>
      <c r="B26" s="199">
        <f>'DIA 18'!G$48</f>
        <v>0</v>
      </c>
      <c r="C26" s="199">
        <f>'DIA 18'!G$54</f>
        <v>0</v>
      </c>
      <c r="D26" s="203">
        <f t="shared" si="0"/>
        <v>0</v>
      </c>
      <c r="E26" s="199">
        <f>'DIA 18'!K$48</f>
        <v>0</v>
      </c>
      <c r="F26" s="199">
        <f>'DIA 18'!K$54</f>
        <v>0</v>
      </c>
      <c r="G26" s="206">
        <f t="shared" si="1"/>
        <v>0</v>
      </c>
      <c r="H26" s="206">
        <f t="shared" si="1"/>
        <v>0</v>
      </c>
    </row>
    <row r="27" spans="1:8" x14ac:dyDescent="0.25">
      <c r="A27" s="46">
        <f>'DIA 19'!B$6</f>
        <v>44488</v>
      </c>
      <c r="B27" s="199">
        <f>'DIA 19'!G$48</f>
        <v>0</v>
      </c>
      <c r="C27" s="199">
        <f>'DIA 19'!G$54</f>
        <v>0</v>
      </c>
      <c r="D27" s="203">
        <f t="shared" si="0"/>
        <v>0</v>
      </c>
      <c r="E27" s="199">
        <f>'DIA 19'!K$48</f>
        <v>0</v>
      </c>
      <c r="F27" s="199">
        <f>'DIA 19'!K$54</f>
        <v>0</v>
      </c>
      <c r="G27" s="206">
        <f t="shared" si="1"/>
        <v>0</v>
      </c>
      <c r="H27" s="206">
        <f t="shared" si="1"/>
        <v>0</v>
      </c>
    </row>
    <row r="28" spans="1:8" x14ac:dyDescent="0.25">
      <c r="A28" s="46">
        <f>'DIA 20'!B$6</f>
        <v>44459</v>
      </c>
      <c r="B28" s="199">
        <f>'DIA 20'!G$48</f>
        <v>0</v>
      </c>
      <c r="C28" s="199">
        <f>'DIA 20'!G$54</f>
        <v>0</v>
      </c>
      <c r="D28" s="203">
        <f t="shared" si="0"/>
        <v>0</v>
      </c>
      <c r="E28" s="199">
        <f>'DIA 20'!K$48</f>
        <v>0</v>
      </c>
      <c r="F28" s="199">
        <f>'DIA 20'!K$54</f>
        <v>0</v>
      </c>
      <c r="G28" s="206">
        <f t="shared" si="1"/>
        <v>0</v>
      </c>
      <c r="H28" s="206">
        <f t="shared" si="1"/>
        <v>0</v>
      </c>
    </row>
    <row r="29" spans="1:8" x14ac:dyDescent="0.25">
      <c r="A29" s="46">
        <f>'DIA 21'!B$6</f>
        <v>44490</v>
      </c>
      <c r="B29" s="199">
        <f>'DIA 21'!G$48</f>
        <v>0</v>
      </c>
      <c r="C29" s="199">
        <f>'DIA 21'!G$54</f>
        <v>0</v>
      </c>
      <c r="D29" s="203">
        <f t="shared" si="0"/>
        <v>0</v>
      </c>
      <c r="E29" s="199">
        <f>'DIA 21'!K$48</f>
        <v>0</v>
      </c>
      <c r="F29" s="199">
        <f>'DIA 21'!K$54</f>
        <v>0</v>
      </c>
      <c r="G29" s="206">
        <f t="shared" si="1"/>
        <v>0</v>
      </c>
      <c r="H29" s="206">
        <f t="shared" si="1"/>
        <v>0</v>
      </c>
    </row>
    <row r="30" spans="1:8" x14ac:dyDescent="0.25">
      <c r="A30" s="46">
        <f>'DIA 22'!B$6</f>
        <v>44491</v>
      </c>
      <c r="B30" s="199">
        <f>'DIA 22'!G$48</f>
        <v>0</v>
      </c>
      <c r="C30" s="199">
        <f>'DIA 22'!G$54</f>
        <v>0</v>
      </c>
      <c r="D30" s="203">
        <f t="shared" si="0"/>
        <v>0</v>
      </c>
      <c r="E30" s="199">
        <f>'DIA 22'!K$48</f>
        <v>0</v>
      </c>
      <c r="F30" s="199">
        <f>'DIA 22'!K$54</f>
        <v>0</v>
      </c>
      <c r="G30" s="206">
        <f t="shared" si="1"/>
        <v>0</v>
      </c>
      <c r="H30" s="206">
        <f t="shared" si="1"/>
        <v>0</v>
      </c>
    </row>
    <row r="31" spans="1:8" x14ac:dyDescent="0.25">
      <c r="A31" s="46">
        <f>'DIA 23'!B$6</f>
        <v>44492</v>
      </c>
      <c r="B31" s="199">
        <f>'DIA 23'!G$48</f>
        <v>0</v>
      </c>
      <c r="C31" s="199">
        <f>'DIA 23'!G$54</f>
        <v>0</v>
      </c>
      <c r="D31" s="203">
        <f t="shared" si="0"/>
        <v>0</v>
      </c>
      <c r="E31" s="199">
        <f>'DIA 23'!K$48</f>
        <v>0</v>
      </c>
      <c r="F31" s="199">
        <f>'DIA 23'!K$54</f>
        <v>0</v>
      </c>
      <c r="G31" s="206">
        <f t="shared" si="1"/>
        <v>0</v>
      </c>
      <c r="H31" s="206">
        <f t="shared" si="1"/>
        <v>0</v>
      </c>
    </row>
    <row r="32" spans="1:8" x14ac:dyDescent="0.25">
      <c r="A32" s="46">
        <f>'DIA 24'!B$6</f>
        <v>44493</v>
      </c>
      <c r="B32" s="199">
        <f>'DIA 24'!G$48</f>
        <v>0</v>
      </c>
      <c r="C32" s="199">
        <f>'DIA 24'!G$54</f>
        <v>0</v>
      </c>
      <c r="D32" s="203">
        <f t="shared" si="0"/>
        <v>0</v>
      </c>
      <c r="E32" s="199">
        <f>'DIA 24'!K$48</f>
        <v>0</v>
      </c>
      <c r="F32" s="199">
        <f>'DIA 24'!K$54</f>
        <v>0</v>
      </c>
      <c r="G32" s="206">
        <f t="shared" si="1"/>
        <v>0</v>
      </c>
      <c r="H32" s="206">
        <f t="shared" si="1"/>
        <v>0</v>
      </c>
    </row>
    <row r="33" spans="1:8" x14ac:dyDescent="0.25">
      <c r="A33" s="46">
        <f>'DIA 25'!B$6</f>
        <v>44494</v>
      </c>
      <c r="B33" s="199">
        <f>'DIA 25'!G$48</f>
        <v>0</v>
      </c>
      <c r="C33" s="199">
        <f>'DIA 25'!G$54</f>
        <v>0</v>
      </c>
      <c r="D33" s="203">
        <f t="shared" si="0"/>
        <v>0</v>
      </c>
      <c r="E33" s="199">
        <f>'DIA 25'!K$48</f>
        <v>0</v>
      </c>
      <c r="F33" s="199">
        <f>'DIA 25'!K$54</f>
        <v>0</v>
      </c>
      <c r="G33" s="206">
        <f t="shared" si="1"/>
        <v>0</v>
      </c>
      <c r="H33" s="206">
        <f t="shared" si="1"/>
        <v>0</v>
      </c>
    </row>
    <row r="34" spans="1:8" x14ac:dyDescent="0.25">
      <c r="A34" s="46">
        <f>'DIA 26'!B$6</f>
        <v>44495</v>
      </c>
      <c r="B34" s="199">
        <f>'DIA 26'!G$48</f>
        <v>0</v>
      </c>
      <c r="C34" s="199">
        <f>'DIA 26'!G$54</f>
        <v>0</v>
      </c>
      <c r="D34" s="203">
        <f t="shared" si="0"/>
        <v>0</v>
      </c>
      <c r="E34" s="199">
        <f>'DIA 26'!K$48</f>
        <v>0</v>
      </c>
      <c r="F34" s="199">
        <f>'DIA 26'!K$54</f>
        <v>0</v>
      </c>
      <c r="G34" s="206">
        <f t="shared" si="1"/>
        <v>0</v>
      </c>
      <c r="H34" s="206">
        <f t="shared" si="1"/>
        <v>0</v>
      </c>
    </row>
    <row r="35" spans="1:8" x14ac:dyDescent="0.25">
      <c r="A35" s="46">
        <f>'DIA 27'!B$6</f>
        <v>44496</v>
      </c>
      <c r="B35" s="199">
        <f>'DIA 27'!G$48</f>
        <v>0</v>
      </c>
      <c r="C35" s="199">
        <f>'DIA 27'!G$54</f>
        <v>0</v>
      </c>
      <c r="D35" s="203">
        <f t="shared" si="0"/>
        <v>0</v>
      </c>
      <c r="E35" s="199">
        <f>'DIA 27'!K$48</f>
        <v>0</v>
      </c>
      <c r="F35" s="199">
        <f>'DIA 27'!K$54</f>
        <v>0</v>
      </c>
      <c r="G35" s="206">
        <f t="shared" si="1"/>
        <v>0</v>
      </c>
      <c r="H35" s="206">
        <f t="shared" si="1"/>
        <v>0</v>
      </c>
    </row>
    <row r="36" spans="1:8" x14ac:dyDescent="0.25">
      <c r="A36" s="46">
        <f>'DIA 28'!B$6</f>
        <v>44132</v>
      </c>
      <c r="B36" s="199">
        <f>'DIA 28'!G$48</f>
        <v>21.388375</v>
      </c>
      <c r="C36" s="199">
        <f>'DIA 28'!G$54</f>
        <v>0</v>
      </c>
      <c r="D36" s="203">
        <f t="shared" si="0"/>
        <v>21.388375</v>
      </c>
      <c r="E36" s="199">
        <f>'DIA 28'!K$48</f>
        <v>0</v>
      </c>
      <c r="F36" s="199">
        <f>'DIA 28'!K$54</f>
        <v>0</v>
      </c>
      <c r="G36" s="206">
        <f t="shared" si="1"/>
        <v>21.388375</v>
      </c>
      <c r="H36" s="206">
        <f t="shared" si="1"/>
        <v>0</v>
      </c>
    </row>
    <row r="37" spans="1:8" x14ac:dyDescent="0.25">
      <c r="A37" s="46">
        <f>'DIA 29'!B$6</f>
        <v>44133</v>
      </c>
      <c r="B37" s="199">
        <f>'DIA 29'!G$48</f>
        <v>0</v>
      </c>
      <c r="C37" s="199">
        <f>'DIA 29'!G$54</f>
        <v>0</v>
      </c>
      <c r="D37" s="203">
        <f t="shared" si="0"/>
        <v>0</v>
      </c>
      <c r="E37" s="199">
        <f>'DIA 29'!K$48</f>
        <v>0</v>
      </c>
      <c r="F37" s="199">
        <f>'DIA 29'!K$54</f>
        <v>0</v>
      </c>
      <c r="G37" s="206">
        <f t="shared" si="1"/>
        <v>0</v>
      </c>
      <c r="H37" s="206">
        <f t="shared" si="1"/>
        <v>0</v>
      </c>
    </row>
    <row r="38" spans="1:8" x14ac:dyDescent="0.25">
      <c r="A38" s="46">
        <f>'DIA 30'!B$6</f>
        <v>44499</v>
      </c>
      <c r="B38" s="199">
        <f>'DIA 30'!G$48</f>
        <v>0</v>
      </c>
      <c r="C38" s="199">
        <f>'DIA 30'!G$54</f>
        <v>0</v>
      </c>
      <c r="D38" s="203">
        <f t="shared" si="0"/>
        <v>0</v>
      </c>
      <c r="E38" s="199">
        <f>'DIA 30'!K$48</f>
        <v>0</v>
      </c>
      <c r="F38" s="199">
        <f>'DIA 30'!K$54</f>
        <v>0</v>
      </c>
      <c r="G38" s="206">
        <f t="shared" si="1"/>
        <v>0</v>
      </c>
      <c r="H38" s="206">
        <f t="shared" si="1"/>
        <v>0</v>
      </c>
    </row>
    <row r="39" spans="1:8" x14ac:dyDescent="0.25">
      <c r="A39" s="46">
        <f>'DIA 31'!B$6</f>
        <v>44500</v>
      </c>
      <c r="B39" s="199">
        <f>'DIA 31'!G$48</f>
        <v>0</v>
      </c>
      <c r="C39" s="199">
        <f>'DIA 31'!G$54</f>
        <v>0</v>
      </c>
      <c r="D39" s="203">
        <f t="shared" si="0"/>
        <v>0</v>
      </c>
      <c r="E39" s="199">
        <f>'DIA 31'!K$48</f>
        <v>0</v>
      </c>
      <c r="F39" s="199">
        <f>'DIA 31'!K$54</f>
        <v>0</v>
      </c>
      <c r="G39" s="206">
        <f t="shared" si="1"/>
        <v>0</v>
      </c>
      <c r="H39" s="206">
        <f t="shared" si="1"/>
        <v>0</v>
      </c>
    </row>
    <row r="40" spans="1:8" x14ac:dyDescent="0.25">
      <c r="A40" s="53" t="s">
        <v>38</v>
      </c>
      <c r="B40" s="133">
        <f>SUM(B9:B39)</f>
        <v>70.338475000000003</v>
      </c>
      <c r="C40" s="133">
        <f>SUM(C9:C38)</f>
        <v>0</v>
      </c>
      <c r="D40" s="133">
        <f>SUM(D9:D38)</f>
        <v>70.338475000000003</v>
      </c>
    </row>
  </sheetData>
  <mergeCells count="6">
    <mergeCell ref="E7:F7"/>
    <mergeCell ref="A1:A3"/>
    <mergeCell ref="B1:I1"/>
    <mergeCell ref="B2:I2"/>
    <mergeCell ref="B3:I3"/>
    <mergeCell ref="B4:G4"/>
  </mergeCells>
  <conditionalFormatting sqref="G9:G39">
    <cfRule type="cellIs" dxfId="76" priority="5" operator="greaterThan">
      <formula>" Bs.  0"</formula>
    </cfRule>
    <cfRule type="cellIs" dxfId="75" priority="6" operator="lessThan">
      <formula>" Bs.  -2,00 "</formula>
    </cfRule>
  </conditionalFormatting>
  <conditionalFormatting sqref="G9:G39">
    <cfRule type="expression" dxfId="74" priority="4">
      <formula>G9=0</formula>
    </cfRule>
  </conditionalFormatting>
  <conditionalFormatting sqref="H9:H39">
    <cfRule type="cellIs" dxfId="73" priority="2" operator="greaterThan">
      <formula>" Bs.  0"</formula>
    </cfRule>
    <cfRule type="cellIs" dxfId="72" priority="3" operator="lessThan">
      <formula>" Bs.  -2,00 "</formula>
    </cfRule>
  </conditionalFormatting>
  <conditionalFormatting sqref="H9:H39">
    <cfRule type="expression" dxfId="71" priority="1">
      <formula>H9=0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zoomScale="90" zoomScaleNormal="90" workbookViewId="0">
      <selection activeCell="A9" sqref="A9:A39"/>
    </sheetView>
  </sheetViews>
  <sheetFormatPr baseColWidth="10" defaultRowHeight="15" x14ac:dyDescent="0.25"/>
  <cols>
    <col min="1" max="1" width="18.140625" style="85" bestFit="1" customWidth="1"/>
    <col min="2" max="4" width="21.7109375" style="85" customWidth="1"/>
    <col min="5" max="5" width="21.140625" style="85" customWidth="1"/>
    <col min="6" max="6" width="20.42578125" style="85" customWidth="1"/>
    <col min="7" max="8" width="22.140625" style="85" customWidth="1"/>
    <col min="9" max="16384" width="11.42578125" style="85"/>
  </cols>
  <sheetData>
    <row r="1" spans="1:9" s="84" customFormat="1" ht="16.5" customHeight="1" x14ac:dyDescent="0.35">
      <c r="A1" s="259"/>
      <c r="B1" s="263" t="s">
        <v>12</v>
      </c>
      <c r="C1" s="264"/>
      <c r="D1" s="264"/>
      <c r="E1" s="264"/>
      <c r="F1" s="264"/>
      <c r="G1" s="264"/>
      <c r="H1" s="264"/>
      <c r="I1" s="265"/>
    </row>
    <row r="2" spans="1:9" s="84" customFormat="1" ht="16.5" customHeight="1" x14ac:dyDescent="0.25">
      <c r="A2" s="259"/>
      <c r="B2" s="266" t="s">
        <v>156</v>
      </c>
      <c r="C2" s="267"/>
      <c r="D2" s="267"/>
      <c r="E2" s="267"/>
      <c r="F2" s="267"/>
      <c r="G2" s="267"/>
      <c r="H2" s="267"/>
      <c r="I2" s="268"/>
    </row>
    <row r="3" spans="1:9" s="84" customFormat="1" ht="16.5" customHeight="1" x14ac:dyDescent="0.25">
      <c r="A3" s="259"/>
      <c r="B3" s="262"/>
      <c r="C3" s="262"/>
      <c r="D3" s="262"/>
      <c r="E3" s="262"/>
      <c r="F3" s="262"/>
      <c r="G3" s="262"/>
      <c r="H3" s="262"/>
      <c r="I3" s="262"/>
    </row>
    <row r="4" spans="1:9" x14ac:dyDescent="0.25">
      <c r="B4" s="262"/>
      <c r="C4" s="262"/>
      <c r="D4" s="262"/>
      <c r="E4" s="262"/>
      <c r="F4" s="262"/>
      <c r="G4" s="262"/>
    </row>
    <row r="6" spans="1:9" ht="15.75" thickBot="1" x14ac:dyDescent="0.3"/>
    <row r="7" spans="1:9" x14ac:dyDescent="0.25">
      <c r="E7" s="260" t="s">
        <v>14</v>
      </c>
      <c r="F7" s="261"/>
    </row>
    <row r="8" spans="1:9" ht="27" customHeight="1" x14ac:dyDescent="0.25">
      <c r="A8" s="45" t="s">
        <v>33</v>
      </c>
      <c r="B8" s="45" t="s">
        <v>7</v>
      </c>
      <c r="C8" s="45" t="s">
        <v>157</v>
      </c>
      <c r="D8" s="52" t="s">
        <v>27</v>
      </c>
      <c r="E8" s="49" t="s">
        <v>7</v>
      </c>
      <c r="F8" s="50" t="s">
        <v>157</v>
      </c>
      <c r="G8" s="51" t="s">
        <v>53</v>
      </c>
      <c r="H8" s="51" t="s">
        <v>54</v>
      </c>
    </row>
    <row r="9" spans="1:9" x14ac:dyDescent="0.25">
      <c r="A9" s="46">
        <f>'DIA 1'!B$6</f>
        <v>44501</v>
      </c>
      <c r="B9" s="199">
        <f>+'DIA 1'!G$49</f>
        <v>2420.1219249999999</v>
      </c>
      <c r="C9" s="199">
        <f>+'DIA 1'!G$56</f>
        <v>0</v>
      </c>
      <c r="D9" s="203">
        <f>B9+C9</f>
        <v>2420.1219249999999</v>
      </c>
      <c r="E9" s="204">
        <f>+'DIA 1'!K$49</f>
        <v>0</v>
      </c>
      <c r="F9" s="205">
        <f>+'DIA 1'!K$56</f>
        <v>0</v>
      </c>
      <c r="G9" s="206">
        <f>B9-E9</f>
        <v>2420.1219249999999</v>
      </c>
      <c r="H9" s="206">
        <f>C9-F9</f>
        <v>0</v>
      </c>
    </row>
    <row r="10" spans="1:9" x14ac:dyDescent="0.25">
      <c r="A10" s="46">
        <f>'DIA 2'!B$6</f>
        <v>44502</v>
      </c>
      <c r="B10" s="199">
        <f>'DIA 2'!G$49</f>
        <v>2962.7911500000005</v>
      </c>
      <c r="C10" s="199">
        <f>'DIA 2'!G$56</f>
        <v>0</v>
      </c>
      <c r="D10" s="203">
        <f t="shared" ref="D10:D39" si="0">B10+C10</f>
        <v>2962.7911500000005</v>
      </c>
      <c r="E10" s="199">
        <f>'DIA 2'!K$49</f>
        <v>0</v>
      </c>
      <c r="F10" s="199">
        <f>'DIA 2'!K$56</f>
        <v>0</v>
      </c>
      <c r="G10" s="206">
        <f t="shared" ref="G10:H39" si="1">B10-E10</f>
        <v>2962.7911500000005</v>
      </c>
      <c r="H10" s="206">
        <f t="shared" si="1"/>
        <v>0</v>
      </c>
    </row>
    <row r="11" spans="1:9" x14ac:dyDescent="0.25">
      <c r="A11" s="46">
        <f>'DIA 3'!B$6</f>
        <v>44503</v>
      </c>
      <c r="B11" s="199">
        <f>'DIA 3'!G$49</f>
        <v>3242.6165999999998</v>
      </c>
      <c r="C11" s="199">
        <f>'DIA 3'!G$56</f>
        <v>7.1103706896551717</v>
      </c>
      <c r="D11" s="203">
        <f t="shared" si="0"/>
        <v>3249.726970689655</v>
      </c>
      <c r="E11" s="199">
        <f>'DIA 3'!K$49</f>
        <v>0</v>
      </c>
      <c r="F11" s="199">
        <f>'DIA 3'!K$56</f>
        <v>0</v>
      </c>
      <c r="G11" s="206">
        <f t="shared" si="1"/>
        <v>3242.6165999999998</v>
      </c>
      <c r="H11" s="206">
        <f t="shared" si="1"/>
        <v>7.1103706896551717</v>
      </c>
    </row>
    <row r="12" spans="1:9" x14ac:dyDescent="0.25">
      <c r="A12" s="46">
        <f>'DIA 4'!B$6</f>
        <v>44504</v>
      </c>
      <c r="B12" s="199">
        <f>'DIA 4'!G$49</f>
        <v>3762.2598250000001</v>
      </c>
      <c r="C12" s="199">
        <f>'DIA 4'!G$56</f>
        <v>0</v>
      </c>
      <c r="D12" s="203">
        <f t="shared" si="0"/>
        <v>3762.2598250000001</v>
      </c>
      <c r="E12" s="199">
        <f>'DIA 4'!K$49</f>
        <v>0</v>
      </c>
      <c r="F12" s="199">
        <f>'DIA 4'!K$56</f>
        <v>0</v>
      </c>
      <c r="G12" s="206">
        <f t="shared" si="1"/>
        <v>3762.2598250000001</v>
      </c>
      <c r="H12" s="206">
        <f t="shared" si="1"/>
        <v>0</v>
      </c>
    </row>
    <row r="13" spans="1:9" x14ac:dyDescent="0.25">
      <c r="A13" s="46">
        <f>'DIA 5'!B$6</f>
        <v>44505</v>
      </c>
      <c r="B13" s="199">
        <f>'DIA 5'!G$49</f>
        <v>3604.6508249999997</v>
      </c>
      <c r="C13" s="199">
        <f>'DIA 5'!G$56</f>
        <v>0</v>
      </c>
      <c r="D13" s="203">
        <f t="shared" si="0"/>
        <v>3604.6508249999997</v>
      </c>
      <c r="E13" s="199">
        <f>'DIA 5'!K$49</f>
        <v>0</v>
      </c>
      <c r="F13" s="199">
        <f>'DIA 5'!K$56</f>
        <v>0</v>
      </c>
      <c r="G13" s="206">
        <f t="shared" si="1"/>
        <v>3604.6508249999997</v>
      </c>
      <c r="H13" s="206">
        <f t="shared" si="1"/>
        <v>0</v>
      </c>
    </row>
    <row r="14" spans="1:9" x14ac:dyDescent="0.25">
      <c r="A14" s="46">
        <f>'DIA 6'!B$6</f>
        <v>44506</v>
      </c>
      <c r="B14" s="199">
        <f>'DIA 6'!G$49</f>
        <v>5010.6064750000005</v>
      </c>
      <c r="C14" s="199">
        <f>'DIA 6'!G$56</f>
        <v>62.558215517241372</v>
      </c>
      <c r="D14" s="203">
        <f t="shared" si="0"/>
        <v>5073.164690517242</v>
      </c>
      <c r="E14" s="199">
        <f>'DIA 6'!K$49</f>
        <v>0</v>
      </c>
      <c r="F14" s="199">
        <f>'DIA 6'!K$56</f>
        <v>0</v>
      </c>
      <c r="G14" s="206">
        <f t="shared" si="1"/>
        <v>5010.6064750000005</v>
      </c>
      <c r="H14" s="206">
        <f t="shared" si="1"/>
        <v>62.558215517241372</v>
      </c>
    </row>
    <row r="15" spans="1:9" x14ac:dyDescent="0.25">
      <c r="A15" s="46">
        <f>'DIA 7'!B$6</f>
        <v>44507</v>
      </c>
      <c r="B15" s="199">
        <f>'DIA 7'!G$49</f>
        <v>3793.8510999999999</v>
      </c>
      <c r="C15" s="199">
        <f>'DIA 7'!G$56</f>
        <v>32.88662931034483</v>
      </c>
      <c r="D15" s="203">
        <f t="shared" si="0"/>
        <v>3826.7377293103445</v>
      </c>
      <c r="E15" s="199">
        <f>'DIA 7'!K$49</f>
        <v>0</v>
      </c>
      <c r="F15" s="199">
        <f>'DIA 7'!K$56</f>
        <v>0</v>
      </c>
      <c r="G15" s="206">
        <f t="shared" si="1"/>
        <v>3793.8510999999999</v>
      </c>
      <c r="H15" s="206">
        <f t="shared" si="1"/>
        <v>32.88662931034483</v>
      </c>
    </row>
    <row r="16" spans="1:9" x14ac:dyDescent="0.25">
      <c r="A16" s="46">
        <f>'DIA 8'!B$6</f>
        <v>44508</v>
      </c>
      <c r="B16" s="199">
        <f>'DIA 8'!G$49</f>
        <v>2435.5553</v>
      </c>
      <c r="C16" s="199">
        <f>'DIA 8'!G$56</f>
        <v>66.714474137931035</v>
      </c>
      <c r="D16" s="203">
        <f t="shared" si="0"/>
        <v>2502.2697741379311</v>
      </c>
      <c r="E16" s="199">
        <f>'DIA 8'!K$49</f>
        <v>0</v>
      </c>
      <c r="F16" s="199">
        <f>'DIA 8'!K$56</f>
        <v>0</v>
      </c>
      <c r="G16" s="206">
        <f t="shared" si="1"/>
        <v>2435.5553</v>
      </c>
      <c r="H16" s="206">
        <f t="shared" si="1"/>
        <v>66.714474137931035</v>
      </c>
    </row>
    <row r="17" spans="1:8" x14ac:dyDescent="0.25">
      <c r="A17" s="46">
        <f>'DIA 9'!B$6</f>
        <v>44509</v>
      </c>
      <c r="B17" s="199">
        <f>'DIA 9'!G$49</f>
        <v>2964.3692249999999</v>
      </c>
      <c r="C17" s="199">
        <f>'DIA 9'!G$56</f>
        <v>0</v>
      </c>
      <c r="D17" s="203">
        <f t="shared" si="0"/>
        <v>2964.3692249999999</v>
      </c>
      <c r="E17" s="199">
        <f>'DIA 9'!K$49</f>
        <v>0</v>
      </c>
      <c r="F17" s="199">
        <f>'DIA 9'!K$56</f>
        <v>0</v>
      </c>
      <c r="G17" s="206">
        <f t="shared" si="1"/>
        <v>2964.3692249999999</v>
      </c>
      <c r="H17" s="206">
        <f t="shared" si="1"/>
        <v>0</v>
      </c>
    </row>
    <row r="18" spans="1:8" x14ac:dyDescent="0.25">
      <c r="A18" s="46">
        <f>'DIA 10'!B$6</f>
        <v>44479</v>
      </c>
      <c r="B18" s="199">
        <f>'DIA 10'!G$49</f>
        <v>3529.2902999999997</v>
      </c>
      <c r="C18" s="199">
        <f>'DIA 10'!G$56</f>
        <v>16.373422413793101</v>
      </c>
      <c r="D18" s="203">
        <f t="shared" si="0"/>
        <v>3545.6637224137926</v>
      </c>
      <c r="E18" s="199">
        <f>'DIA 10'!K$49</f>
        <v>0</v>
      </c>
      <c r="F18" s="199">
        <f>'DIA 10'!K$56</f>
        <v>0</v>
      </c>
      <c r="G18" s="206">
        <f t="shared" si="1"/>
        <v>3529.2902999999997</v>
      </c>
      <c r="H18" s="206">
        <f t="shared" si="1"/>
        <v>16.373422413793101</v>
      </c>
    </row>
    <row r="19" spans="1:8" x14ac:dyDescent="0.25">
      <c r="A19" s="46">
        <f>'DIA 11'!B$6</f>
        <v>44480</v>
      </c>
      <c r="B19" s="199">
        <f>'DIA 11'!G$49</f>
        <v>2832.6545499999997</v>
      </c>
      <c r="C19" s="199">
        <f>'DIA 11'!G$56</f>
        <v>178.0481551724138</v>
      </c>
      <c r="D19" s="203">
        <f t="shared" si="0"/>
        <v>3010.7027051724135</v>
      </c>
      <c r="E19" s="199">
        <f>'DIA 11'!K$49</f>
        <v>0</v>
      </c>
      <c r="F19" s="199">
        <f>'DIA 11'!K$56</f>
        <v>0</v>
      </c>
      <c r="G19" s="206">
        <f t="shared" si="1"/>
        <v>2832.6545499999997</v>
      </c>
      <c r="H19" s="206">
        <f t="shared" si="1"/>
        <v>178.0481551724138</v>
      </c>
    </row>
    <row r="20" spans="1:8" x14ac:dyDescent="0.25">
      <c r="A20" s="46">
        <f>'DIA 12'!B$6</f>
        <v>44481</v>
      </c>
      <c r="B20" s="199">
        <f>'DIA 12'!G$49</f>
        <v>3146.4929750000001</v>
      </c>
      <c r="C20" s="199">
        <f>'DIA 12'!G$56</f>
        <v>127.48344827586206</v>
      </c>
      <c r="D20" s="203">
        <f t="shared" si="0"/>
        <v>3273.9764232758621</v>
      </c>
      <c r="E20" s="199">
        <f>'DIA 12'!K$49</f>
        <v>0</v>
      </c>
      <c r="F20" s="199">
        <f>'DIA 12'!K$56</f>
        <v>0</v>
      </c>
      <c r="G20" s="206">
        <f t="shared" si="1"/>
        <v>3146.4929750000001</v>
      </c>
      <c r="H20" s="206">
        <f t="shared" si="1"/>
        <v>127.48344827586206</v>
      </c>
    </row>
    <row r="21" spans="1:8" x14ac:dyDescent="0.25">
      <c r="A21" s="46">
        <f>'DIA 13'!B$6</f>
        <v>44482</v>
      </c>
      <c r="B21" s="199">
        <f>'DIA 13'!G$49</f>
        <v>2853.3382499999998</v>
      </c>
      <c r="C21" s="199">
        <f>'DIA 13'!G$56</f>
        <v>106.31075862068967</v>
      </c>
      <c r="D21" s="203">
        <f t="shared" si="0"/>
        <v>2959.6490086206895</v>
      </c>
      <c r="E21" s="199">
        <f>'DIA 13'!K$49</f>
        <v>0</v>
      </c>
      <c r="F21" s="199">
        <f>'DIA 13'!K$56</f>
        <v>0</v>
      </c>
      <c r="G21" s="206">
        <f t="shared" si="1"/>
        <v>2853.3382499999998</v>
      </c>
      <c r="H21" s="206">
        <f t="shared" si="1"/>
        <v>106.31075862068967</v>
      </c>
    </row>
    <row r="22" spans="1:8" x14ac:dyDescent="0.25">
      <c r="A22" s="46">
        <f>'DIA 14'!B$6</f>
        <v>44483</v>
      </c>
      <c r="B22" s="199">
        <f>'DIA 14'!G$49</f>
        <v>2938.8222749999995</v>
      </c>
      <c r="C22" s="199">
        <f>'DIA 14'!G$56</f>
        <v>17.659439655172413</v>
      </c>
      <c r="D22" s="203">
        <f t="shared" si="0"/>
        <v>2956.4817146551718</v>
      </c>
      <c r="E22" s="199">
        <f>'DIA 14'!K$49</f>
        <v>0</v>
      </c>
      <c r="F22" s="199">
        <f>'DIA 14'!K$56</f>
        <v>0</v>
      </c>
      <c r="G22" s="206">
        <f t="shared" si="1"/>
        <v>2938.8222749999995</v>
      </c>
      <c r="H22" s="206">
        <f t="shared" si="1"/>
        <v>17.659439655172413</v>
      </c>
    </row>
    <row r="23" spans="1:8" x14ac:dyDescent="0.25">
      <c r="A23" s="46">
        <f>'DIA 15'!B$6</f>
        <v>44484</v>
      </c>
      <c r="B23" s="199">
        <f>'DIA 15'!G$49</f>
        <v>4375.7141499999998</v>
      </c>
      <c r="C23" s="199">
        <f>'DIA 15'!G$56</f>
        <v>21.433620689655172</v>
      </c>
      <c r="D23" s="203">
        <f t="shared" si="0"/>
        <v>4397.1477706896549</v>
      </c>
      <c r="E23" s="199">
        <f>'DIA 15'!K$49</f>
        <v>0</v>
      </c>
      <c r="F23" s="199">
        <f>'DIA 15'!K$56</f>
        <v>0</v>
      </c>
      <c r="G23" s="206">
        <f t="shared" si="1"/>
        <v>4375.7141499999998</v>
      </c>
      <c r="H23" s="206">
        <f t="shared" si="1"/>
        <v>21.433620689655172</v>
      </c>
    </row>
    <row r="24" spans="1:8" x14ac:dyDescent="0.25">
      <c r="A24" s="46">
        <f>'DIA 16'!B$6</f>
        <v>44485</v>
      </c>
      <c r="B24" s="199">
        <f>'DIA 16'!G$49</f>
        <v>6510.790074999999</v>
      </c>
      <c r="C24" s="199">
        <f>'DIA 16'!G$56</f>
        <v>26.875896551724139</v>
      </c>
      <c r="D24" s="203">
        <f t="shared" si="0"/>
        <v>6537.6659715517235</v>
      </c>
      <c r="E24" s="199">
        <f>'DIA 16'!K$49</f>
        <v>0</v>
      </c>
      <c r="F24" s="199">
        <f>'DIA 16'!K$56</f>
        <v>0</v>
      </c>
      <c r="G24" s="206">
        <f t="shared" si="1"/>
        <v>6510.790074999999</v>
      </c>
      <c r="H24" s="206">
        <f t="shared" si="1"/>
        <v>26.875896551724139</v>
      </c>
    </row>
    <row r="25" spans="1:8" x14ac:dyDescent="0.25">
      <c r="A25" s="46">
        <f>'DIA 17'!B$6</f>
        <v>44486</v>
      </c>
      <c r="B25" s="199">
        <f>'DIA 17'!G$49</f>
        <v>3678.6119249999997</v>
      </c>
      <c r="C25" s="199">
        <f>'DIA 17'!G$56</f>
        <v>15.581310344827585</v>
      </c>
      <c r="D25" s="203">
        <f t="shared" si="0"/>
        <v>3694.1932353448274</v>
      </c>
      <c r="E25" s="199">
        <f>'DIA 17'!K$49</f>
        <v>0</v>
      </c>
      <c r="F25" s="199">
        <f>'DIA 17'!K$56</f>
        <v>0</v>
      </c>
      <c r="G25" s="206">
        <f t="shared" si="1"/>
        <v>3678.6119249999997</v>
      </c>
      <c r="H25" s="206">
        <f t="shared" si="1"/>
        <v>15.581310344827585</v>
      </c>
    </row>
    <row r="26" spans="1:8" x14ac:dyDescent="0.25">
      <c r="A26" s="46">
        <f>'DIA 18'!B$6</f>
        <v>44122</v>
      </c>
      <c r="B26" s="199">
        <f>'DIA 18'!G$49</f>
        <v>3655.0499749999999</v>
      </c>
      <c r="C26" s="199">
        <f>'DIA 18'!G$56</f>
        <v>16.438655172413796</v>
      </c>
      <c r="D26" s="203">
        <f t="shared" si="0"/>
        <v>3671.4886301724137</v>
      </c>
      <c r="E26" s="199">
        <f>'DIA 18'!K$49</f>
        <v>0</v>
      </c>
      <c r="F26" s="199">
        <f>'DIA 18'!K$56</f>
        <v>0</v>
      </c>
      <c r="G26" s="206">
        <f t="shared" si="1"/>
        <v>3655.0499749999999</v>
      </c>
      <c r="H26" s="206">
        <f t="shared" si="1"/>
        <v>16.438655172413796</v>
      </c>
    </row>
    <row r="27" spans="1:8" x14ac:dyDescent="0.25">
      <c r="A27" s="46">
        <f>'DIA 19'!B$6</f>
        <v>44488</v>
      </c>
      <c r="B27" s="199">
        <f>'DIA 19'!G$49</f>
        <v>2570.7536500000001</v>
      </c>
      <c r="C27" s="199">
        <f>'DIA 19'!G$56</f>
        <v>104.84768103448278</v>
      </c>
      <c r="D27" s="203">
        <f t="shared" si="0"/>
        <v>2675.6013310344829</v>
      </c>
      <c r="E27" s="199">
        <f>'DIA 19'!K$49</f>
        <v>0</v>
      </c>
      <c r="F27" s="199">
        <f>'DIA 19'!K$56</f>
        <v>0</v>
      </c>
      <c r="G27" s="206">
        <f t="shared" si="1"/>
        <v>2570.7536500000001</v>
      </c>
      <c r="H27" s="206">
        <f t="shared" si="1"/>
        <v>104.84768103448278</v>
      </c>
    </row>
    <row r="28" spans="1:8" x14ac:dyDescent="0.25">
      <c r="A28" s="46">
        <f>'DIA 20'!B$6</f>
        <v>44459</v>
      </c>
      <c r="B28" s="199">
        <f>'DIA 20'!G$49</f>
        <v>1687.8057999999999</v>
      </c>
      <c r="C28" s="199">
        <f>'DIA 20'!G$56</f>
        <v>0</v>
      </c>
      <c r="D28" s="203">
        <f t="shared" si="0"/>
        <v>1687.8057999999999</v>
      </c>
      <c r="E28" s="199">
        <f>'DIA 20'!K$49</f>
        <v>0</v>
      </c>
      <c r="F28" s="199">
        <f>'DIA 20'!K$56</f>
        <v>0</v>
      </c>
      <c r="G28" s="206">
        <f t="shared" si="1"/>
        <v>1687.8057999999999</v>
      </c>
      <c r="H28" s="206">
        <f t="shared" si="1"/>
        <v>0</v>
      </c>
    </row>
    <row r="29" spans="1:8" x14ac:dyDescent="0.25">
      <c r="A29" s="46">
        <f>'DIA 21'!B$6</f>
        <v>44490</v>
      </c>
      <c r="B29" s="199">
        <f>'DIA 21'!G$49</f>
        <v>3464.1227499999991</v>
      </c>
      <c r="C29" s="199">
        <f>'DIA 21'!G$56</f>
        <v>21.265879310344829</v>
      </c>
      <c r="D29" s="203">
        <f t="shared" si="0"/>
        <v>3485.3886293103437</v>
      </c>
      <c r="E29" s="199">
        <f>'DIA 21'!K$49</f>
        <v>0</v>
      </c>
      <c r="F29" s="199">
        <f>'DIA 21'!K$56</f>
        <v>0</v>
      </c>
      <c r="G29" s="206">
        <f t="shared" si="1"/>
        <v>3464.1227499999991</v>
      </c>
      <c r="H29" s="206">
        <f t="shared" si="1"/>
        <v>21.265879310344829</v>
      </c>
    </row>
    <row r="30" spans="1:8" x14ac:dyDescent="0.25">
      <c r="A30" s="46">
        <f>'DIA 22'!B$6</f>
        <v>44491</v>
      </c>
      <c r="B30" s="199">
        <f>'DIA 22'!G$49</f>
        <v>5342.4389250000004</v>
      </c>
      <c r="C30" s="199">
        <f>'DIA 22'!G$56</f>
        <v>328.28851724137928</v>
      </c>
      <c r="D30" s="203">
        <f t="shared" si="0"/>
        <v>5670.7274422413793</v>
      </c>
      <c r="E30" s="199">
        <f>'DIA 22'!K$49</f>
        <v>0</v>
      </c>
      <c r="F30" s="199">
        <f>'DIA 22'!K$56</f>
        <v>0</v>
      </c>
      <c r="G30" s="206">
        <f t="shared" si="1"/>
        <v>5342.4389250000004</v>
      </c>
      <c r="H30" s="206">
        <f t="shared" si="1"/>
        <v>328.28851724137928</v>
      </c>
    </row>
    <row r="31" spans="1:8" x14ac:dyDescent="0.25">
      <c r="A31" s="46">
        <f>'DIA 23'!B$6</f>
        <v>44492</v>
      </c>
      <c r="B31" s="199">
        <f>'DIA 23'!G$49</f>
        <v>5529.227425</v>
      </c>
      <c r="C31" s="199">
        <f>'DIA 23'!G$56</f>
        <v>0</v>
      </c>
      <c r="D31" s="203">
        <f t="shared" si="0"/>
        <v>5529.227425</v>
      </c>
      <c r="E31" s="199">
        <f>'DIA 23'!K$49</f>
        <v>0</v>
      </c>
      <c r="F31" s="199">
        <f>'DIA 23'!K$56</f>
        <v>0</v>
      </c>
      <c r="G31" s="206">
        <f t="shared" si="1"/>
        <v>5529.227425</v>
      </c>
      <c r="H31" s="206">
        <f t="shared" si="1"/>
        <v>0</v>
      </c>
    </row>
    <row r="32" spans="1:8" x14ac:dyDescent="0.25">
      <c r="A32" s="46">
        <f>'DIA 24'!B$6</f>
        <v>44493</v>
      </c>
      <c r="B32" s="199">
        <f>'DIA 24'!G$49</f>
        <v>5942.4746500000001</v>
      </c>
      <c r="C32" s="199">
        <f>'DIA 24'!G$56</f>
        <v>0</v>
      </c>
      <c r="D32" s="203">
        <f t="shared" si="0"/>
        <v>5942.4746500000001</v>
      </c>
      <c r="E32" s="199">
        <f>'DIA 24'!K$49</f>
        <v>0</v>
      </c>
      <c r="F32" s="199">
        <f>'DIA 24'!K$56</f>
        <v>0</v>
      </c>
      <c r="G32" s="206">
        <f t="shared" si="1"/>
        <v>5942.4746500000001</v>
      </c>
      <c r="H32" s="206">
        <f t="shared" si="1"/>
        <v>0</v>
      </c>
    </row>
    <row r="33" spans="1:8" x14ac:dyDescent="0.25">
      <c r="A33" s="46">
        <f>'DIA 25'!B$6</f>
        <v>44494</v>
      </c>
      <c r="B33" s="199">
        <f>'DIA 25'!G$49</f>
        <v>3078.347925</v>
      </c>
      <c r="C33" s="199">
        <f>'DIA 25'!G$56</f>
        <v>0</v>
      </c>
      <c r="D33" s="203">
        <f t="shared" si="0"/>
        <v>3078.347925</v>
      </c>
      <c r="E33" s="199">
        <f>'DIA 25'!K$49</f>
        <v>0</v>
      </c>
      <c r="F33" s="199">
        <f>'DIA 25'!K$56</f>
        <v>0</v>
      </c>
      <c r="G33" s="206">
        <f t="shared" si="1"/>
        <v>3078.347925</v>
      </c>
      <c r="H33" s="206">
        <f t="shared" si="1"/>
        <v>0</v>
      </c>
    </row>
    <row r="34" spans="1:8" x14ac:dyDescent="0.25">
      <c r="A34" s="46">
        <f>'DIA 26'!B$6</f>
        <v>44495</v>
      </c>
      <c r="B34" s="199">
        <f>'DIA 26'!G$49</f>
        <v>2668.2766999999999</v>
      </c>
      <c r="C34" s="199">
        <f>'DIA 26'!G$56</f>
        <v>0</v>
      </c>
      <c r="D34" s="203">
        <f t="shared" si="0"/>
        <v>2668.2766999999999</v>
      </c>
      <c r="E34" s="199">
        <f>'DIA 26'!K$49</f>
        <v>0</v>
      </c>
      <c r="F34" s="199">
        <f>'DIA 26'!K$56</f>
        <v>0</v>
      </c>
      <c r="G34" s="206">
        <f t="shared" si="1"/>
        <v>2668.2766999999999</v>
      </c>
      <c r="H34" s="206">
        <f t="shared" si="1"/>
        <v>0</v>
      </c>
    </row>
    <row r="35" spans="1:8" x14ac:dyDescent="0.25">
      <c r="A35" s="46">
        <f>'DIA 27'!B$6</f>
        <v>44496</v>
      </c>
      <c r="B35" s="199">
        <f>'DIA 27'!G$49</f>
        <v>3658.6428249999999</v>
      </c>
      <c r="C35" s="199">
        <f>'DIA 27'!G$56</f>
        <v>0</v>
      </c>
      <c r="D35" s="203">
        <f t="shared" si="0"/>
        <v>3658.6428249999999</v>
      </c>
      <c r="E35" s="199">
        <f>'DIA 27'!K$49</f>
        <v>0</v>
      </c>
      <c r="F35" s="199">
        <f>'DIA 27'!K$56</f>
        <v>0</v>
      </c>
      <c r="G35" s="206">
        <f t="shared" si="1"/>
        <v>3658.6428249999999</v>
      </c>
      <c r="H35" s="206">
        <f t="shared" si="1"/>
        <v>0</v>
      </c>
    </row>
    <row r="36" spans="1:8" x14ac:dyDescent="0.25">
      <c r="A36" s="46">
        <f>'DIA 28'!B$6</f>
        <v>44132</v>
      </c>
      <c r="B36" s="199">
        <f>'DIA 28'!G$49</f>
        <v>3764.5326499999996</v>
      </c>
      <c r="C36" s="199">
        <f>'DIA 28'!G$56</f>
        <v>0</v>
      </c>
      <c r="D36" s="203">
        <f t="shared" si="0"/>
        <v>3764.5326499999996</v>
      </c>
      <c r="E36" s="199">
        <f>'DIA 28'!K$49</f>
        <v>0</v>
      </c>
      <c r="F36" s="199">
        <f>'DIA 28'!K$56</f>
        <v>0</v>
      </c>
      <c r="G36" s="206">
        <f t="shared" si="1"/>
        <v>3764.5326499999996</v>
      </c>
      <c r="H36" s="206">
        <f t="shared" si="1"/>
        <v>0</v>
      </c>
    </row>
    <row r="37" spans="1:8" x14ac:dyDescent="0.25">
      <c r="A37" s="46">
        <f>'DIA 29'!B$6</f>
        <v>44133</v>
      </c>
      <c r="B37" s="199">
        <f>'DIA 29'!G$49</f>
        <v>4458.2305999999999</v>
      </c>
      <c r="C37" s="199">
        <f>'DIA 29'!G$56</f>
        <v>58.765396551724137</v>
      </c>
      <c r="D37" s="203">
        <f t="shared" si="0"/>
        <v>4516.9959965517237</v>
      </c>
      <c r="E37" s="199">
        <f>'DIA 29'!K$49</f>
        <v>0</v>
      </c>
      <c r="F37" s="199">
        <f>'DIA 29'!K$56</f>
        <v>0</v>
      </c>
      <c r="G37" s="206">
        <f t="shared" si="1"/>
        <v>4458.2305999999999</v>
      </c>
      <c r="H37" s="206">
        <f t="shared" si="1"/>
        <v>58.765396551724137</v>
      </c>
    </row>
    <row r="38" spans="1:8" x14ac:dyDescent="0.25">
      <c r="A38" s="46">
        <f>'DIA 30'!B$6</f>
        <v>44499</v>
      </c>
      <c r="B38" s="199">
        <f>'DIA 30'!G$49</f>
        <v>6101.8403749999998</v>
      </c>
      <c r="C38" s="199">
        <f>'DIA 30'!G$56</f>
        <v>0</v>
      </c>
      <c r="D38" s="203">
        <f t="shared" si="0"/>
        <v>6101.8403749999998</v>
      </c>
      <c r="E38" s="199">
        <f>'DIA 30'!K$49</f>
        <v>0</v>
      </c>
      <c r="F38" s="199">
        <f>'DIA 30'!K$56</f>
        <v>0</v>
      </c>
      <c r="G38" s="206">
        <f t="shared" si="1"/>
        <v>6101.8403749999998</v>
      </c>
      <c r="H38" s="206">
        <f t="shared" si="1"/>
        <v>0</v>
      </c>
    </row>
    <row r="39" spans="1:8" x14ac:dyDescent="0.25">
      <c r="A39" s="46">
        <f>'DIA 31'!B$6</f>
        <v>44500</v>
      </c>
      <c r="B39" s="199">
        <f>'DIA 31'!G$49</f>
        <v>4407.0275249999995</v>
      </c>
      <c r="C39" s="199">
        <f>'DIA 31'!G$56</f>
        <v>0</v>
      </c>
      <c r="D39" s="203">
        <f t="shared" si="0"/>
        <v>4407.0275249999995</v>
      </c>
      <c r="E39" s="199">
        <f>'DIA 31'!K$49</f>
        <v>0</v>
      </c>
      <c r="F39" s="199">
        <f>'DIA 31'!K$56</f>
        <v>0</v>
      </c>
      <c r="G39" s="206">
        <f t="shared" si="1"/>
        <v>4407.0275249999995</v>
      </c>
      <c r="H39" s="206">
        <f t="shared" si="1"/>
        <v>0</v>
      </c>
    </row>
    <row r="40" spans="1:8" x14ac:dyDescent="0.25">
      <c r="A40" s="53" t="s">
        <v>38</v>
      </c>
      <c r="B40" s="133">
        <f>SUM(B9:B39)</f>
        <v>116391.30869999998</v>
      </c>
      <c r="C40" s="133">
        <f>SUM(C9:C38)</f>
        <v>1208.641870689655</v>
      </c>
      <c r="D40" s="133">
        <f>SUM(D9:D38)</f>
        <v>113192.92304568965</v>
      </c>
    </row>
  </sheetData>
  <mergeCells count="6">
    <mergeCell ref="E7:F7"/>
    <mergeCell ref="A1:A3"/>
    <mergeCell ref="B1:I1"/>
    <mergeCell ref="B2:I2"/>
    <mergeCell ref="B3:I3"/>
    <mergeCell ref="B4:G4"/>
  </mergeCells>
  <conditionalFormatting sqref="G9:G39">
    <cfRule type="cellIs" dxfId="70" priority="5" operator="greaterThan">
      <formula>" Bs.  0"</formula>
    </cfRule>
    <cfRule type="cellIs" dxfId="69" priority="6" operator="lessThan">
      <formula>" Bs.  -2,00 "</formula>
    </cfRule>
  </conditionalFormatting>
  <conditionalFormatting sqref="G9:G39">
    <cfRule type="expression" dxfId="68" priority="4">
      <formula>G9=0</formula>
    </cfRule>
  </conditionalFormatting>
  <conditionalFormatting sqref="H9:H39">
    <cfRule type="cellIs" dxfId="67" priority="2" operator="greaterThan">
      <formula>" Bs.  0"</formula>
    </cfRule>
    <cfRule type="cellIs" dxfId="66" priority="3" operator="lessThan">
      <formula>" Bs.  -2,00 "</formula>
    </cfRule>
  </conditionalFormatting>
  <conditionalFormatting sqref="H9:H39">
    <cfRule type="expression" dxfId="65" priority="1">
      <formula>H9=0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showGridLines="0" workbookViewId="0">
      <selection activeCell="E9" sqref="E9"/>
    </sheetView>
  </sheetViews>
  <sheetFormatPr baseColWidth="10" defaultRowHeight="15" x14ac:dyDescent="0.25"/>
  <cols>
    <col min="1" max="1" width="19.7109375" bestFit="1" customWidth="1"/>
    <col min="2" max="2" width="21.7109375" customWidth="1"/>
    <col min="3" max="3" width="18.140625" customWidth="1"/>
    <col min="4" max="4" width="19.140625" customWidth="1"/>
    <col min="5" max="5" width="21.7109375" customWidth="1"/>
    <col min="6" max="6" width="22.140625" customWidth="1"/>
  </cols>
  <sheetData>
    <row r="1" spans="1:6" s="2" customFormat="1" ht="16.5" customHeight="1" x14ac:dyDescent="0.25">
      <c r="A1" s="269"/>
      <c r="B1" s="270"/>
      <c r="C1" s="271"/>
      <c r="D1" s="271"/>
      <c r="E1" s="271"/>
      <c r="F1" s="272"/>
    </row>
    <row r="2" spans="1:6" s="2" customFormat="1" ht="16.5" customHeight="1" x14ac:dyDescent="0.35">
      <c r="A2" s="269"/>
      <c r="B2" s="273" t="s">
        <v>12</v>
      </c>
      <c r="C2" s="274"/>
      <c r="D2" s="274"/>
      <c r="E2" s="274"/>
      <c r="F2" s="275"/>
    </row>
    <row r="3" spans="1:6" s="2" customFormat="1" ht="16.5" customHeight="1" x14ac:dyDescent="0.25">
      <c r="A3" s="269"/>
      <c r="B3" s="276" t="s">
        <v>32</v>
      </c>
      <c r="C3" s="277"/>
      <c r="D3" s="277"/>
      <c r="E3" s="277"/>
      <c r="F3" s="278"/>
    </row>
    <row r="4" spans="1:6" x14ac:dyDescent="0.25">
      <c r="A4" s="262" t="s">
        <v>51</v>
      </c>
      <c r="B4" s="262"/>
      <c r="C4" s="262"/>
      <c r="D4" s="262"/>
      <c r="E4" s="262"/>
      <c r="F4" s="262"/>
    </row>
    <row r="7" spans="1:6" ht="27" customHeight="1" x14ac:dyDescent="0.25">
      <c r="A7" s="4" t="s">
        <v>29</v>
      </c>
      <c r="B7" s="4" t="s">
        <v>30</v>
      </c>
      <c r="C7" s="26"/>
      <c r="D7" s="4" t="s">
        <v>31</v>
      </c>
      <c r="E7" s="3" t="s">
        <v>15</v>
      </c>
    </row>
    <row r="8" spans="1:6" x14ac:dyDescent="0.25">
      <c r="A8" s="46">
        <f>'DIA 1'!B$6</f>
        <v>44501</v>
      </c>
      <c r="B8" s="199">
        <f>+'DIA 1'!B$59</f>
        <v>0</v>
      </c>
      <c r="C8" s="27"/>
      <c r="D8" s="1"/>
      <c r="E8" s="135">
        <f>D8-B8</f>
        <v>0</v>
      </c>
    </row>
    <row r="9" spans="1:6" x14ac:dyDescent="0.25">
      <c r="A9" s="46">
        <f>'DIA 2'!B$6</f>
        <v>44502</v>
      </c>
      <c r="B9" s="199">
        <f>'DIA 2'!B$59</f>
        <v>0</v>
      </c>
      <c r="C9" s="27"/>
      <c r="D9" s="1"/>
      <c r="E9" s="135">
        <f t="shared" ref="E9:E38" si="0">D9-B9</f>
        <v>0</v>
      </c>
    </row>
    <row r="10" spans="1:6" x14ac:dyDescent="0.25">
      <c r="A10" s="46">
        <f>'DIA 3'!B$6</f>
        <v>44503</v>
      </c>
      <c r="B10" s="199">
        <f>'DIA 3'!B$59</f>
        <v>0</v>
      </c>
      <c r="C10" s="28"/>
      <c r="D10" s="1"/>
      <c r="E10" s="135">
        <f t="shared" si="0"/>
        <v>0</v>
      </c>
    </row>
    <row r="11" spans="1:6" x14ac:dyDescent="0.25">
      <c r="A11" s="46">
        <f>'DIA 4'!B$6</f>
        <v>44504</v>
      </c>
      <c r="B11" s="199">
        <f>'DIA 4'!B$59</f>
        <v>0</v>
      </c>
      <c r="C11" s="28"/>
      <c r="D11" s="1"/>
      <c r="E11" s="135">
        <f t="shared" si="0"/>
        <v>0</v>
      </c>
    </row>
    <row r="12" spans="1:6" x14ac:dyDescent="0.25">
      <c r="A12" s="46">
        <f>'DIA 5'!B$6</f>
        <v>44505</v>
      </c>
      <c r="B12" s="199">
        <f>'DIA 5'!B$59</f>
        <v>0</v>
      </c>
      <c r="C12" s="28"/>
      <c r="D12" s="1"/>
      <c r="E12" s="135">
        <f t="shared" si="0"/>
        <v>0</v>
      </c>
    </row>
    <row r="13" spans="1:6" x14ac:dyDescent="0.25">
      <c r="A13" s="46">
        <f>'DIA 6'!B$6</f>
        <v>44506</v>
      </c>
      <c r="B13" s="199">
        <f>'DIA 6'!B$59</f>
        <v>0</v>
      </c>
      <c r="C13" s="28"/>
      <c r="D13" s="1"/>
      <c r="E13" s="135">
        <f t="shared" si="0"/>
        <v>0</v>
      </c>
    </row>
    <row r="14" spans="1:6" x14ac:dyDescent="0.25">
      <c r="A14" s="46">
        <f>'DIA 7'!B$6</f>
        <v>44507</v>
      </c>
      <c r="B14" s="199">
        <f>'DIA 7'!B$59</f>
        <v>0</v>
      </c>
      <c r="C14" s="28"/>
      <c r="D14" s="1"/>
      <c r="E14" s="135">
        <f t="shared" si="0"/>
        <v>0</v>
      </c>
    </row>
    <row r="15" spans="1:6" x14ac:dyDescent="0.25">
      <c r="A15" s="46">
        <f>'DIA 8'!B$6</f>
        <v>44508</v>
      </c>
      <c r="B15" s="199">
        <f>'DIA 8'!B$59</f>
        <v>0</v>
      </c>
      <c r="C15" s="28"/>
      <c r="D15" s="1"/>
      <c r="E15" s="135">
        <f t="shared" si="0"/>
        <v>0</v>
      </c>
    </row>
    <row r="16" spans="1:6" x14ac:dyDescent="0.25">
      <c r="A16" s="46">
        <f>'DIA 9'!B$6</f>
        <v>44509</v>
      </c>
      <c r="B16" s="199">
        <f>'DIA 9'!B$59</f>
        <v>0</v>
      </c>
      <c r="C16" s="28"/>
      <c r="D16" s="1"/>
      <c r="E16" s="135">
        <f t="shared" si="0"/>
        <v>0</v>
      </c>
    </row>
    <row r="17" spans="1:5" x14ac:dyDescent="0.25">
      <c r="A17" s="46">
        <f>'DIA 10'!B$6</f>
        <v>44479</v>
      </c>
      <c r="B17" s="199">
        <f>'DIA 10'!B$59</f>
        <v>0</v>
      </c>
      <c r="C17" s="28"/>
      <c r="D17" s="1"/>
      <c r="E17" s="135">
        <f t="shared" si="0"/>
        <v>0</v>
      </c>
    </row>
    <row r="18" spans="1:5" x14ac:dyDescent="0.25">
      <c r="A18" s="46">
        <f>'DIA 11'!B$6</f>
        <v>44480</v>
      </c>
      <c r="B18" s="199">
        <f>'DIA 11'!B$59</f>
        <v>0</v>
      </c>
      <c r="C18" s="28"/>
      <c r="D18" s="1"/>
      <c r="E18" s="135">
        <f t="shared" si="0"/>
        <v>0</v>
      </c>
    </row>
    <row r="19" spans="1:5" x14ac:dyDescent="0.25">
      <c r="A19" s="46">
        <f>'DIA 12'!B$6</f>
        <v>44481</v>
      </c>
      <c r="B19" s="199">
        <f>'DIA 12'!B$59</f>
        <v>0</v>
      </c>
      <c r="C19" s="28"/>
      <c r="D19" s="1"/>
      <c r="E19" s="135">
        <f t="shared" si="0"/>
        <v>0</v>
      </c>
    </row>
    <row r="20" spans="1:5" x14ac:dyDescent="0.25">
      <c r="A20" s="46">
        <f>'DIA 13'!B$6</f>
        <v>44482</v>
      </c>
      <c r="B20" s="199">
        <f>'DIA 13'!B$59</f>
        <v>0</v>
      </c>
      <c r="C20" s="28"/>
      <c r="D20" s="1"/>
      <c r="E20" s="135">
        <f t="shared" si="0"/>
        <v>0</v>
      </c>
    </row>
    <row r="21" spans="1:5" x14ac:dyDescent="0.25">
      <c r="A21" s="46">
        <f>'DIA 14'!B$6</f>
        <v>44483</v>
      </c>
      <c r="B21" s="199">
        <f>'DIA 14'!B$59</f>
        <v>0</v>
      </c>
      <c r="C21" s="28"/>
      <c r="D21" s="1"/>
      <c r="E21" s="135">
        <f t="shared" si="0"/>
        <v>0</v>
      </c>
    </row>
    <row r="22" spans="1:5" x14ac:dyDescent="0.25">
      <c r="A22" s="46">
        <f>'DIA 15'!B$6</f>
        <v>44484</v>
      </c>
      <c r="B22" s="199">
        <f>'DIA 15'!B$59</f>
        <v>0</v>
      </c>
      <c r="C22" s="28"/>
      <c r="D22" s="1"/>
      <c r="E22" s="135">
        <f t="shared" si="0"/>
        <v>0</v>
      </c>
    </row>
    <row r="23" spans="1:5" x14ac:dyDescent="0.25">
      <c r="A23" s="46">
        <f>'DIA 16'!B$6</f>
        <v>44485</v>
      </c>
      <c r="B23" s="199">
        <f>'DIA 16'!B$59</f>
        <v>0</v>
      </c>
      <c r="C23" s="28"/>
      <c r="D23" s="1"/>
      <c r="E23" s="135">
        <f t="shared" si="0"/>
        <v>0</v>
      </c>
    </row>
    <row r="24" spans="1:5" x14ac:dyDescent="0.25">
      <c r="A24" s="46">
        <f>'DIA 17'!B$6</f>
        <v>44486</v>
      </c>
      <c r="B24" s="199">
        <f>'DIA 17'!B$59</f>
        <v>0</v>
      </c>
      <c r="C24" s="28"/>
      <c r="D24" s="1"/>
      <c r="E24" s="135">
        <f t="shared" si="0"/>
        <v>0</v>
      </c>
    </row>
    <row r="25" spans="1:5" x14ac:dyDescent="0.25">
      <c r="A25" s="46">
        <f>'DIA 18'!B$6</f>
        <v>44122</v>
      </c>
      <c r="B25" s="199">
        <f>'DIA 18'!B$59</f>
        <v>0</v>
      </c>
      <c r="C25" s="28"/>
      <c r="D25" s="1"/>
      <c r="E25" s="135">
        <f t="shared" si="0"/>
        <v>0</v>
      </c>
    </row>
    <row r="26" spans="1:5" x14ac:dyDescent="0.25">
      <c r="A26" s="46">
        <f>'DIA 19'!B$6</f>
        <v>44488</v>
      </c>
      <c r="B26" s="199">
        <f>'DIA 19'!B$59</f>
        <v>0</v>
      </c>
      <c r="C26" s="28"/>
      <c r="D26" s="1"/>
      <c r="E26" s="135">
        <f t="shared" si="0"/>
        <v>0</v>
      </c>
    </row>
    <row r="27" spans="1:5" x14ac:dyDescent="0.25">
      <c r="A27" s="46">
        <f>'DIA 20'!B$6</f>
        <v>44459</v>
      </c>
      <c r="B27" s="199">
        <f>'DIA 20'!B$59</f>
        <v>0</v>
      </c>
      <c r="C27" s="28"/>
      <c r="D27" s="1"/>
      <c r="E27" s="135">
        <f t="shared" si="0"/>
        <v>0</v>
      </c>
    </row>
    <row r="28" spans="1:5" x14ac:dyDescent="0.25">
      <c r="A28" s="46">
        <f>'DIA 21'!B$6</f>
        <v>44490</v>
      </c>
      <c r="B28" s="199">
        <f>'DIA 21'!B$59</f>
        <v>0</v>
      </c>
      <c r="C28" s="28"/>
      <c r="D28" s="1"/>
      <c r="E28" s="135">
        <f t="shared" si="0"/>
        <v>0</v>
      </c>
    </row>
    <row r="29" spans="1:5" x14ac:dyDescent="0.25">
      <c r="A29" s="46">
        <f>'DIA 22'!B$6</f>
        <v>44491</v>
      </c>
      <c r="B29" s="199">
        <f>'DIA 22'!B$59</f>
        <v>0</v>
      </c>
      <c r="C29" s="28"/>
      <c r="D29" s="1"/>
      <c r="E29" s="135">
        <f t="shared" si="0"/>
        <v>0</v>
      </c>
    </row>
    <row r="30" spans="1:5" x14ac:dyDescent="0.25">
      <c r="A30" s="46">
        <f>'DIA 23'!B$6</f>
        <v>44492</v>
      </c>
      <c r="B30" s="199">
        <f>'DIA 23'!B$59</f>
        <v>0</v>
      </c>
      <c r="C30" s="28"/>
      <c r="D30" s="1"/>
      <c r="E30" s="135">
        <f t="shared" si="0"/>
        <v>0</v>
      </c>
    </row>
    <row r="31" spans="1:5" x14ac:dyDescent="0.25">
      <c r="A31" s="46">
        <f>'DIA 24'!B$6</f>
        <v>44493</v>
      </c>
      <c r="B31" s="199">
        <f>'DIA 24'!B$59</f>
        <v>0</v>
      </c>
      <c r="C31" s="28"/>
      <c r="D31" s="1"/>
      <c r="E31" s="135">
        <f t="shared" si="0"/>
        <v>0</v>
      </c>
    </row>
    <row r="32" spans="1:5" x14ac:dyDescent="0.25">
      <c r="A32" s="46">
        <f>'DIA 25'!B$6</f>
        <v>44494</v>
      </c>
      <c r="B32" s="199">
        <f>'DIA 25'!B$59</f>
        <v>0</v>
      </c>
      <c r="C32" s="28"/>
      <c r="D32" s="1"/>
      <c r="E32" s="135">
        <f t="shared" si="0"/>
        <v>0</v>
      </c>
    </row>
    <row r="33" spans="1:5" x14ac:dyDescent="0.25">
      <c r="A33" s="46">
        <f>'DIA 26'!B$6</f>
        <v>44495</v>
      </c>
      <c r="B33" s="199">
        <f>'DIA 26'!B$59</f>
        <v>0</v>
      </c>
      <c r="C33" s="28"/>
      <c r="D33" s="1"/>
      <c r="E33" s="135">
        <f t="shared" si="0"/>
        <v>0</v>
      </c>
    </row>
    <row r="34" spans="1:5" x14ac:dyDescent="0.25">
      <c r="A34" s="46">
        <f>'DIA 27'!B$6</f>
        <v>44496</v>
      </c>
      <c r="B34" s="199">
        <f>'DIA 27'!B$59</f>
        <v>0</v>
      </c>
      <c r="C34" s="28"/>
      <c r="D34" s="1"/>
      <c r="E34" s="135">
        <f t="shared" si="0"/>
        <v>0</v>
      </c>
    </row>
    <row r="35" spans="1:5" x14ac:dyDescent="0.25">
      <c r="A35" s="46">
        <f>'DIA 28'!B$6</f>
        <v>44132</v>
      </c>
      <c r="B35" s="199">
        <f>'DIA 28'!B$59</f>
        <v>0</v>
      </c>
      <c r="C35" s="28"/>
      <c r="D35" s="1"/>
      <c r="E35" s="135">
        <f t="shared" si="0"/>
        <v>0</v>
      </c>
    </row>
    <row r="36" spans="1:5" x14ac:dyDescent="0.25">
      <c r="A36" s="46">
        <f>'DIA 29'!B$6</f>
        <v>44133</v>
      </c>
      <c r="B36" s="199">
        <f>'DIA 29'!B$59</f>
        <v>0</v>
      </c>
      <c r="C36" s="28"/>
      <c r="D36" s="1"/>
      <c r="E36" s="135">
        <f t="shared" si="0"/>
        <v>0</v>
      </c>
    </row>
    <row r="37" spans="1:5" x14ac:dyDescent="0.25">
      <c r="A37" s="46">
        <f>'DIA 30'!B$6</f>
        <v>44499</v>
      </c>
      <c r="B37" s="199">
        <f>'DIA 30'!B$59</f>
        <v>0</v>
      </c>
      <c r="C37" s="28"/>
      <c r="D37" s="1"/>
      <c r="E37" s="135">
        <f t="shared" si="0"/>
        <v>0</v>
      </c>
    </row>
    <row r="38" spans="1:5" x14ac:dyDescent="0.25">
      <c r="A38" s="46">
        <f>'DIA 31'!B$6</f>
        <v>44500</v>
      </c>
      <c r="B38" s="199">
        <f>'DIA 31'!B$59</f>
        <v>0</v>
      </c>
      <c r="C38" s="28"/>
      <c r="D38" s="1"/>
      <c r="E38" s="135">
        <f t="shared" si="0"/>
        <v>0</v>
      </c>
    </row>
    <row r="39" spans="1:5" x14ac:dyDescent="0.25">
      <c r="A39" s="32" t="s">
        <v>43</v>
      </c>
      <c r="B39" s="134">
        <f>SUM(B8:B38)</f>
        <v>0</v>
      </c>
      <c r="C39" s="33"/>
      <c r="D39" s="134">
        <f>SUM(D8:D38)</f>
        <v>0</v>
      </c>
      <c r="E39" s="134">
        <f>SUM(E8:E38)</f>
        <v>0</v>
      </c>
    </row>
    <row r="41" spans="1:5" ht="15.75" thickBot="1" x14ac:dyDescent="0.3"/>
    <row r="42" spans="1:5" x14ac:dyDescent="0.25">
      <c r="A42" s="34" t="s">
        <v>44</v>
      </c>
      <c r="B42" s="35">
        <f>'RESUMEN GENERAL DE VENTAS'!B39</f>
        <v>299914.49000000005</v>
      </c>
    </row>
    <row r="43" spans="1:5" x14ac:dyDescent="0.25">
      <c r="A43" s="36" t="s">
        <v>49</v>
      </c>
      <c r="B43" s="37">
        <f>B39/B42</f>
        <v>0</v>
      </c>
    </row>
    <row r="44" spans="1:5" x14ac:dyDescent="0.25">
      <c r="A44" s="36" t="s">
        <v>45</v>
      </c>
      <c r="B44" s="38"/>
    </row>
    <row r="45" spans="1:5" ht="15.75" thickBot="1" x14ac:dyDescent="0.3">
      <c r="A45" s="39" t="s">
        <v>46</v>
      </c>
      <c r="B45" s="40"/>
    </row>
  </sheetData>
  <mergeCells count="5">
    <mergeCell ref="A1:A3"/>
    <mergeCell ref="B1:F1"/>
    <mergeCell ref="B2:F2"/>
    <mergeCell ref="B3:F3"/>
    <mergeCell ref="A4:F4"/>
  </mergeCells>
  <conditionalFormatting sqref="E8:E38">
    <cfRule type="cellIs" dxfId="64" priority="2" operator="greaterThan">
      <formula>" Bs.  0"</formula>
    </cfRule>
    <cfRule type="cellIs" dxfId="63" priority="3" operator="lessThan">
      <formula>" Bs.  -2,00 "</formula>
    </cfRule>
  </conditionalFormatting>
  <conditionalFormatting sqref="E8:E38">
    <cfRule type="expression" dxfId="62" priority="1">
      <formula>E8=0</formula>
    </cfRule>
  </conditionalFormatting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showGridLines="0" workbookViewId="0">
      <selection activeCell="K11" sqref="K11"/>
    </sheetView>
  </sheetViews>
  <sheetFormatPr baseColWidth="10" defaultRowHeight="15" x14ac:dyDescent="0.25"/>
  <cols>
    <col min="1" max="1" width="19.7109375" bestFit="1" customWidth="1"/>
    <col min="2" max="2" width="11.28515625" customWidth="1"/>
    <col min="3" max="3" width="18.140625" customWidth="1"/>
    <col min="4" max="4" width="13.5703125" customWidth="1"/>
    <col min="5" max="5" width="21.7109375" customWidth="1"/>
    <col min="6" max="6" width="11.42578125" customWidth="1"/>
    <col min="7" max="7" width="18.140625" customWidth="1"/>
    <col min="8" max="8" width="12.140625" customWidth="1"/>
    <col min="9" max="9" width="17.7109375" customWidth="1"/>
  </cols>
  <sheetData>
    <row r="1" spans="1:9" s="2" customFormat="1" ht="16.5" customHeight="1" x14ac:dyDescent="0.25">
      <c r="A1" s="269"/>
      <c r="B1" s="270"/>
      <c r="C1" s="271"/>
      <c r="D1" s="271"/>
      <c r="E1" s="271"/>
      <c r="F1" s="272"/>
    </row>
    <row r="2" spans="1:9" s="2" customFormat="1" ht="16.5" customHeight="1" x14ac:dyDescent="0.35">
      <c r="A2" s="269"/>
      <c r="B2" s="273" t="s">
        <v>12</v>
      </c>
      <c r="C2" s="274"/>
      <c r="D2" s="274"/>
      <c r="E2" s="274"/>
      <c r="F2" s="275"/>
    </row>
    <row r="3" spans="1:9" s="2" customFormat="1" ht="16.5" customHeight="1" x14ac:dyDescent="0.25">
      <c r="A3" s="269"/>
      <c r="B3" s="276" t="s">
        <v>32</v>
      </c>
      <c r="C3" s="277"/>
      <c r="D3" s="277"/>
      <c r="E3" s="277"/>
      <c r="F3" s="278"/>
    </row>
    <row r="4" spans="1:9" x14ac:dyDescent="0.25">
      <c r="A4" s="262" t="s">
        <v>51</v>
      </c>
      <c r="B4" s="262"/>
      <c r="C4" s="262"/>
      <c r="D4" s="262"/>
      <c r="E4" s="262"/>
      <c r="F4" s="262"/>
    </row>
    <row r="7" spans="1:9" ht="27" customHeight="1" x14ac:dyDescent="0.25">
      <c r="A7" s="4" t="s">
        <v>29</v>
      </c>
      <c r="B7" s="4" t="s">
        <v>161</v>
      </c>
      <c r="C7" s="4" t="s">
        <v>162</v>
      </c>
      <c r="D7" s="4" t="s">
        <v>158</v>
      </c>
      <c r="E7" s="4" t="s">
        <v>87</v>
      </c>
      <c r="F7" s="3" t="s">
        <v>159</v>
      </c>
      <c r="G7" s="4" t="s">
        <v>91</v>
      </c>
      <c r="H7" s="207" t="s">
        <v>160</v>
      </c>
      <c r="I7" s="207" t="s">
        <v>163</v>
      </c>
    </row>
    <row r="8" spans="1:9" x14ac:dyDescent="0.25">
      <c r="A8" s="46">
        <f>'DIA 1'!B$6</f>
        <v>44501</v>
      </c>
      <c r="B8" s="208">
        <f>'DIA 1'!B$19</f>
        <v>647</v>
      </c>
      <c r="C8" s="209">
        <f>'DIA 1'!B$20</f>
        <v>2833.86</v>
      </c>
      <c r="D8" s="209">
        <f>'DIA 1'!B$27</f>
        <v>100</v>
      </c>
      <c r="E8" s="209">
        <f>'DIA 1'!B$28</f>
        <v>438</v>
      </c>
      <c r="F8" s="209">
        <f>'DIA 1'!B$35</f>
        <v>0</v>
      </c>
      <c r="G8" s="209">
        <f>'DIA 1'!B$36</f>
        <v>0</v>
      </c>
      <c r="H8" s="209">
        <f>'DIA 1'!B$43</f>
        <v>0</v>
      </c>
      <c r="I8" s="209">
        <f>'DIA 1'!B$44</f>
        <v>0</v>
      </c>
    </row>
    <row r="9" spans="1:9" x14ac:dyDescent="0.25">
      <c r="A9" s="46">
        <f>'DIA 2'!B$6</f>
        <v>44502</v>
      </c>
      <c r="B9" s="208">
        <f>'DIA 2'!B$19</f>
        <v>751</v>
      </c>
      <c r="C9" s="209">
        <f>'DIA 2'!B$20</f>
        <v>3289.38</v>
      </c>
      <c r="D9" s="209">
        <f>'DIA 2'!B$27</f>
        <v>0</v>
      </c>
      <c r="E9" s="209">
        <f>'DIA 2'!B$28</f>
        <v>0</v>
      </c>
      <c r="F9" s="209">
        <f>'DIA 2'!B$35</f>
        <v>48</v>
      </c>
      <c r="G9" s="209">
        <f>'DIA 2'!B$36</f>
        <v>210.24</v>
      </c>
      <c r="H9" s="209">
        <f>'DIA 2'!B$43</f>
        <v>0</v>
      </c>
      <c r="I9" s="209">
        <f>'DIA 2'!B$44</f>
        <v>0</v>
      </c>
    </row>
    <row r="10" spans="1:9" x14ac:dyDescent="0.25">
      <c r="A10" s="46">
        <f>'DIA 3'!B$6</f>
        <v>44503</v>
      </c>
      <c r="B10" s="208">
        <f>'DIA 3'!B$19</f>
        <v>779</v>
      </c>
      <c r="C10" s="209">
        <f>'DIA 3'!B$20</f>
        <v>3435.3900000000003</v>
      </c>
      <c r="D10" s="209">
        <f>'DIA 3'!B$27</f>
        <v>0</v>
      </c>
      <c r="E10" s="209">
        <f>'DIA 3'!B$28</f>
        <v>0</v>
      </c>
      <c r="F10" s="209">
        <f>'DIA 3'!B$35</f>
        <v>0</v>
      </c>
      <c r="G10" s="209">
        <f>'DIA 3'!B$36</f>
        <v>0</v>
      </c>
      <c r="H10" s="209">
        <f>'DIA 3'!B$43</f>
        <v>0</v>
      </c>
      <c r="I10" s="209">
        <f>'DIA 3'!B$44</f>
        <v>0</v>
      </c>
    </row>
    <row r="11" spans="1:9" x14ac:dyDescent="0.25">
      <c r="A11" s="46">
        <f>'DIA 4'!B$6</f>
        <v>44504</v>
      </c>
      <c r="B11" s="208">
        <f>'DIA 4'!B$19</f>
        <v>805</v>
      </c>
      <c r="C11" s="209">
        <f>'DIA 4'!B$20</f>
        <v>3574.2000000000003</v>
      </c>
      <c r="D11" s="209">
        <f>'DIA 4'!B$27</f>
        <v>0</v>
      </c>
      <c r="E11" s="209">
        <f>'DIA 4'!B$28</f>
        <v>0</v>
      </c>
      <c r="F11" s="209">
        <f>'DIA 4'!B$35</f>
        <v>23.54</v>
      </c>
      <c r="G11" s="209">
        <f>'DIA 4'!B$36</f>
        <v>104.5176</v>
      </c>
      <c r="H11" s="209">
        <f>'DIA 4'!B$43</f>
        <v>0</v>
      </c>
      <c r="I11" s="209">
        <f>'DIA 4'!B$44</f>
        <v>0</v>
      </c>
    </row>
    <row r="12" spans="1:9" x14ac:dyDescent="0.25">
      <c r="A12" s="46">
        <f>'DIA 5'!B$6</f>
        <v>44505</v>
      </c>
      <c r="B12" s="208">
        <f>'DIA 5'!B$19</f>
        <v>1147</v>
      </c>
      <c r="C12" s="209">
        <f>'DIA 5'!B$20</f>
        <v>5069.74</v>
      </c>
      <c r="D12" s="209">
        <f>'DIA 5'!B$27</f>
        <v>0</v>
      </c>
      <c r="E12" s="209">
        <f>'DIA 5'!B$28</f>
        <v>0</v>
      </c>
      <c r="F12" s="209">
        <f>'DIA 5'!B$35</f>
        <v>0</v>
      </c>
      <c r="G12" s="209">
        <f>'DIA 5'!B$36</f>
        <v>0</v>
      </c>
      <c r="H12" s="209">
        <f>'DIA 5'!B$43</f>
        <v>0</v>
      </c>
      <c r="I12" s="209">
        <f>'DIA 5'!B$44</f>
        <v>0</v>
      </c>
    </row>
    <row r="13" spans="1:9" x14ac:dyDescent="0.25">
      <c r="A13" s="46">
        <f>'DIA 6'!B$6</f>
        <v>44506</v>
      </c>
      <c r="B13" s="208">
        <f>'DIA 6'!B$19</f>
        <v>1872</v>
      </c>
      <c r="C13" s="209">
        <f>'DIA 6'!B$20</f>
        <v>8330.4</v>
      </c>
      <c r="D13" s="209">
        <f>'DIA 6'!B$27</f>
        <v>0</v>
      </c>
      <c r="E13" s="209">
        <f>'DIA 6'!B$28</f>
        <v>0</v>
      </c>
      <c r="F13" s="209">
        <f>'DIA 6'!B$35</f>
        <v>0</v>
      </c>
      <c r="G13" s="209">
        <f>'DIA 6'!B$36</f>
        <v>0</v>
      </c>
      <c r="H13" s="209">
        <f>'DIA 6'!B$43</f>
        <v>0</v>
      </c>
      <c r="I13" s="209">
        <f>'DIA 6'!B$44</f>
        <v>0</v>
      </c>
    </row>
    <row r="14" spans="1:9" x14ac:dyDescent="0.25">
      <c r="A14" s="46">
        <f>'DIA 7'!B$6</f>
        <v>44507</v>
      </c>
      <c r="B14" s="208">
        <f>'DIA 7'!B$19</f>
        <v>1433</v>
      </c>
      <c r="C14" s="209">
        <f>'DIA 7'!B$20</f>
        <v>6376.85</v>
      </c>
      <c r="D14" s="209">
        <f>'DIA 7'!B$27</f>
        <v>0</v>
      </c>
      <c r="E14" s="209">
        <f>'DIA 7'!B$28</f>
        <v>0</v>
      </c>
      <c r="F14" s="209">
        <f>'DIA 7'!B$35</f>
        <v>0</v>
      </c>
      <c r="G14" s="209">
        <f>'DIA 7'!B$36</f>
        <v>0</v>
      </c>
      <c r="H14" s="209">
        <f>'DIA 7'!B$43</f>
        <v>0</v>
      </c>
      <c r="I14" s="209">
        <f>'DIA 7'!B$44</f>
        <v>0</v>
      </c>
    </row>
    <row r="15" spans="1:9" x14ac:dyDescent="0.25">
      <c r="A15" s="46">
        <f>'DIA 8'!B$6</f>
        <v>44508</v>
      </c>
      <c r="B15" s="208">
        <f>'DIA 8'!B$19</f>
        <v>779</v>
      </c>
      <c r="C15" s="209">
        <f>'DIA 8'!B$20</f>
        <v>3466.55</v>
      </c>
      <c r="D15" s="209">
        <f>'DIA 8'!B$27</f>
        <v>0</v>
      </c>
      <c r="E15" s="209">
        <f>'DIA 8'!B$28</f>
        <v>0</v>
      </c>
      <c r="F15" s="209">
        <f>'DIA 8'!B$35</f>
        <v>0</v>
      </c>
      <c r="G15" s="209">
        <f>'DIA 8'!B$36</f>
        <v>0</v>
      </c>
      <c r="H15" s="209">
        <f>'DIA 8'!B$43</f>
        <v>0</v>
      </c>
      <c r="I15" s="209">
        <f>'DIA 8'!B$44</f>
        <v>0</v>
      </c>
    </row>
    <row r="16" spans="1:9" x14ac:dyDescent="0.25">
      <c r="A16" s="46">
        <f>'DIA 9'!B$6</f>
        <v>44509</v>
      </c>
      <c r="B16" s="208">
        <f>'DIA 9'!B$19</f>
        <v>727</v>
      </c>
      <c r="C16" s="209">
        <f>'DIA 9'!B$20</f>
        <v>3235.15</v>
      </c>
      <c r="D16" s="209">
        <f>'DIA 9'!B$27</f>
        <v>0</v>
      </c>
      <c r="E16" s="209">
        <f>'DIA 9'!B$28</f>
        <v>0</v>
      </c>
      <c r="F16" s="209">
        <f>'DIA 9'!B$35</f>
        <v>0</v>
      </c>
      <c r="G16" s="209">
        <f>'DIA 9'!B$36</f>
        <v>0</v>
      </c>
      <c r="H16" s="209">
        <f>'DIA 9'!B$43</f>
        <v>0</v>
      </c>
      <c r="I16" s="209">
        <f>'DIA 9'!B$44</f>
        <v>0</v>
      </c>
    </row>
    <row r="17" spans="1:9" x14ac:dyDescent="0.25">
      <c r="A17" s="46">
        <f>'DIA 10'!B$6</f>
        <v>44479</v>
      </c>
      <c r="B17" s="208">
        <f>'DIA 10'!B$19</f>
        <v>1538</v>
      </c>
      <c r="C17" s="209">
        <f>'DIA 10'!B$20</f>
        <v>6398.08</v>
      </c>
      <c r="D17" s="209">
        <f>'DIA 10'!B$27</f>
        <v>0</v>
      </c>
      <c r="E17" s="209">
        <f>'DIA 10'!B$28</f>
        <v>0</v>
      </c>
      <c r="F17" s="209">
        <f>'DIA 10'!B$35</f>
        <v>0</v>
      </c>
      <c r="G17" s="209">
        <f>'DIA 10'!B$36</f>
        <v>0</v>
      </c>
      <c r="H17" s="209">
        <f>'DIA 10'!B$43</f>
        <v>0</v>
      </c>
      <c r="I17" s="209">
        <f>'DIA 10'!B$44</f>
        <v>0</v>
      </c>
    </row>
    <row r="18" spans="1:9" x14ac:dyDescent="0.25">
      <c r="A18" s="46">
        <f>'DIA 11'!B$6</f>
        <v>44480</v>
      </c>
      <c r="B18" s="208">
        <f>'DIA 11'!B$19</f>
        <v>924</v>
      </c>
      <c r="C18" s="209">
        <f>'DIA 11'!B$20</f>
        <v>3843.84</v>
      </c>
      <c r="D18" s="209">
        <f>'DIA 11'!B$27</f>
        <v>0</v>
      </c>
      <c r="E18" s="209">
        <f>'DIA 11'!B$28</f>
        <v>0</v>
      </c>
      <c r="F18" s="209">
        <f>'DIA 11'!B$35</f>
        <v>0</v>
      </c>
      <c r="G18" s="209">
        <f>'DIA 11'!B$36</f>
        <v>0</v>
      </c>
      <c r="H18" s="209">
        <f>'DIA 11'!B$43</f>
        <v>0</v>
      </c>
      <c r="I18" s="209">
        <f>'DIA 11'!B$44</f>
        <v>0</v>
      </c>
    </row>
    <row r="19" spans="1:9" x14ac:dyDescent="0.25">
      <c r="A19" s="46">
        <f>'DIA 12'!B$6</f>
        <v>44481</v>
      </c>
      <c r="B19" s="208">
        <f>'DIA 12'!B$19</f>
        <v>932</v>
      </c>
      <c r="C19" s="209">
        <f>'DIA 12'!B$20</f>
        <v>3877.1200000000003</v>
      </c>
      <c r="D19" s="209">
        <f>'DIA 12'!B$27</f>
        <v>0</v>
      </c>
      <c r="E19" s="209">
        <f>'DIA 12'!B$28</f>
        <v>0</v>
      </c>
      <c r="F19" s="209">
        <f>'DIA 12'!B$35</f>
        <v>0</v>
      </c>
      <c r="G19" s="209">
        <f>'DIA 12'!B$36</f>
        <v>0</v>
      </c>
      <c r="H19" s="209">
        <f>'DIA 12'!B$43</f>
        <v>0</v>
      </c>
      <c r="I19" s="209">
        <f>'DIA 12'!B$44</f>
        <v>0</v>
      </c>
    </row>
    <row r="20" spans="1:9" x14ac:dyDescent="0.25">
      <c r="A20" s="46">
        <f>'DIA 13'!B$6</f>
        <v>44482</v>
      </c>
      <c r="B20" s="208">
        <f>'DIA 13'!B$19</f>
        <v>1093</v>
      </c>
      <c r="C20" s="209">
        <f>'DIA 13'!B$20</f>
        <v>4546.88</v>
      </c>
      <c r="D20" s="209">
        <f>'DIA 13'!B$27</f>
        <v>0</v>
      </c>
      <c r="E20" s="209">
        <f>'DIA 13'!B$28</f>
        <v>0</v>
      </c>
      <c r="F20" s="209">
        <f>'DIA 13'!B$35</f>
        <v>0</v>
      </c>
      <c r="G20" s="209">
        <f>'DIA 13'!B$36</f>
        <v>0</v>
      </c>
      <c r="H20" s="209">
        <f>'DIA 13'!B$43</f>
        <v>0</v>
      </c>
      <c r="I20" s="209">
        <f>'DIA 13'!B$44</f>
        <v>0</v>
      </c>
    </row>
    <row r="21" spans="1:9" x14ac:dyDescent="0.25">
      <c r="A21" s="46">
        <f>'DIA 14'!B$6</f>
        <v>44483</v>
      </c>
      <c r="B21" s="208">
        <f>'DIA 14'!B$19</f>
        <v>639</v>
      </c>
      <c r="C21" s="209">
        <f>'DIA 14'!B$20</f>
        <v>2671.02</v>
      </c>
      <c r="D21" s="209">
        <f>'DIA 14'!B$27</f>
        <v>0</v>
      </c>
      <c r="E21" s="209">
        <f>'DIA 14'!B$28</f>
        <v>0</v>
      </c>
      <c r="F21" s="209">
        <f>'DIA 14'!B$35</f>
        <v>20</v>
      </c>
      <c r="G21" s="209">
        <f>'DIA 14'!B$36</f>
        <v>83.6</v>
      </c>
      <c r="H21" s="209">
        <f>'DIA 14'!B$43</f>
        <v>0</v>
      </c>
      <c r="I21" s="209">
        <f>'DIA 14'!B$44</f>
        <v>0</v>
      </c>
    </row>
    <row r="22" spans="1:9" x14ac:dyDescent="0.25">
      <c r="A22" s="46">
        <f>'DIA 15'!B$6</f>
        <v>44484</v>
      </c>
      <c r="B22" s="208">
        <f>'DIA 15'!B$19</f>
        <v>927</v>
      </c>
      <c r="C22" s="209">
        <f>'DIA 15'!B$20</f>
        <v>3856.34</v>
      </c>
      <c r="D22" s="209">
        <f>'DIA 15'!B$27</f>
        <v>0</v>
      </c>
      <c r="E22" s="209">
        <f>'DIA 15'!B$28</f>
        <v>0</v>
      </c>
      <c r="F22" s="209">
        <f>'DIA 15'!B$35</f>
        <v>0</v>
      </c>
      <c r="G22" s="209">
        <f>'DIA 15'!B$36</f>
        <v>0</v>
      </c>
      <c r="H22" s="209">
        <f>'DIA 15'!B$43</f>
        <v>0</v>
      </c>
      <c r="I22" s="209">
        <f>'DIA 15'!B$44</f>
        <v>0</v>
      </c>
    </row>
    <row r="23" spans="1:9" x14ac:dyDescent="0.25">
      <c r="A23" s="46">
        <f>'DIA 16'!B$6</f>
        <v>44485</v>
      </c>
      <c r="B23" s="208">
        <f>'DIA 16'!B$19</f>
        <v>1645</v>
      </c>
      <c r="C23" s="209">
        <f>'DIA 16'!B$20</f>
        <v>6843.2</v>
      </c>
      <c r="D23" s="209">
        <f>'DIA 16'!B$27</f>
        <v>0</v>
      </c>
      <c r="E23" s="209">
        <f>'DIA 16'!B$28</f>
        <v>0</v>
      </c>
      <c r="F23" s="209">
        <f>'DIA 16'!B$35</f>
        <v>0</v>
      </c>
      <c r="G23" s="209">
        <f>'DIA 16'!B$36</f>
        <v>0</v>
      </c>
      <c r="H23" s="209">
        <f>'DIA 16'!B$43</f>
        <v>0</v>
      </c>
      <c r="I23" s="209">
        <f>'DIA 16'!B$44</f>
        <v>0</v>
      </c>
    </row>
    <row r="24" spans="1:9" x14ac:dyDescent="0.25">
      <c r="A24" s="46">
        <f>'DIA 17'!B$6</f>
        <v>44486</v>
      </c>
      <c r="B24" s="208">
        <f>'DIA 17'!B$19</f>
        <v>1337</v>
      </c>
      <c r="C24" s="209">
        <f>'DIA 17'!B$20</f>
        <v>5561.92</v>
      </c>
      <c r="D24" s="209">
        <f>'DIA 17'!B$27</f>
        <v>0</v>
      </c>
      <c r="E24" s="209">
        <f>'DIA 17'!B$28</f>
        <v>0</v>
      </c>
      <c r="F24" s="209">
        <f>'DIA 17'!B$35</f>
        <v>0</v>
      </c>
      <c r="G24" s="209">
        <f>'DIA 17'!B$36</f>
        <v>0</v>
      </c>
      <c r="H24" s="209">
        <f>'DIA 17'!B$43</f>
        <v>0</v>
      </c>
      <c r="I24" s="209">
        <f>'DIA 17'!B$44</f>
        <v>0</v>
      </c>
    </row>
    <row r="25" spans="1:9" x14ac:dyDescent="0.25">
      <c r="A25" s="46">
        <f>'DIA 18'!B$6</f>
        <v>44122</v>
      </c>
      <c r="B25" s="208">
        <f>'DIA 18'!B$19</f>
        <v>856</v>
      </c>
      <c r="C25" s="209">
        <f>'DIA 18'!B$20</f>
        <v>3560.96</v>
      </c>
      <c r="D25" s="209">
        <f>'DIA 18'!B$27</f>
        <v>0</v>
      </c>
      <c r="E25" s="209">
        <f>'DIA 18'!B$28</f>
        <v>0</v>
      </c>
      <c r="F25" s="209">
        <f>'DIA 18'!B$35</f>
        <v>0</v>
      </c>
      <c r="G25" s="209">
        <f>'DIA 18'!B$36</f>
        <v>0</v>
      </c>
      <c r="H25" s="209">
        <f>'DIA 18'!B$43</f>
        <v>0</v>
      </c>
      <c r="I25" s="209">
        <f>'DIA 18'!B$44</f>
        <v>0</v>
      </c>
    </row>
    <row r="26" spans="1:9" x14ac:dyDescent="0.25">
      <c r="A26" s="46">
        <f>'DIA 19'!B$6</f>
        <v>44488</v>
      </c>
      <c r="B26" s="208">
        <f>'DIA 19'!B$19</f>
        <v>799</v>
      </c>
      <c r="C26" s="209">
        <f>'DIA 19'!B$20</f>
        <v>3317.1600000000003</v>
      </c>
      <c r="D26" s="209">
        <f>'DIA 19'!B$27</f>
        <v>0</v>
      </c>
      <c r="E26" s="209">
        <f>'DIA 19'!B$28</f>
        <v>0</v>
      </c>
      <c r="F26" s="209">
        <f>'DIA 19'!B$35</f>
        <v>0</v>
      </c>
      <c r="G26" s="209">
        <f>'DIA 19'!B$36</f>
        <v>0</v>
      </c>
      <c r="H26" s="209">
        <f>'DIA 19'!B$43</f>
        <v>0</v>
      </c>
      <c r="I26" s="209">
        <f>'DIA 19'!B$44</f>
        <v>0</v>
      </c>
    </row>
    <row r="27" spans="1:9" x14ac:dyDescent="0.25">
      <c r="A27" s="46">
        <f>'DIA 20'!B$6</f>
        <v>44459</v>
      </c>
      <c r="B27" s="208">
        <f>'DIA 20'!B$19</f>
        <v>681</v>
      </c>
      <c r="C27" s="209">
        <f>'DIA 20'!B$20</f>
        <v>2826.15</v>
      </c>
      <c r="D27" s="209">
        <f>'DIA 20'!B$27</f>
        <v>0</v>
      </c>
      <c r="E27" s="209">
        <f>'DIA 20'!B$28</f>
        <v>0</v>
      </c>
      <c r="F27" s="209">
        <f>'DIA 20'!B$35</f>
        <v>0</v>
      </c>
      <c r="G27" s="209">
        <f>'DIA 20'!B$36</f>
        <v>0</v>
      </c>
      <c r="H27" s="209">
        <f>'DIA 20'!B$43</f>
        <v>0</v>
      </c>
      <c r="I27" s="209">
        <f>'DIA 20'!B$44</f>
        <v>0</v>
      </c>
    </row>
    <row r="28" spans="1:9" x14ac:dyDescent="0.25">
      <c r="A28" s="46">
        <f>'DIA 21'!B$6</f>
        <v>44490</v>
      </c>
      <c r="B28" s="208">
        <f>'DIA 21'!B$19</f>
        <v>629</v>
      </c>
      <c r="C28" s="209">
        <f>'DIA 21'!B$20</f>
        <v>2622.93</v>
      </c>
      <c r="D28" s="209">
        <f>'DIA 21'!B$27</f>
        <v>0</v>
      </c>
      <c r="E28" s="209">
        <f>'DIA 21'!B$28</f>
        <v>0</v>
      </c>
      <c r="F28" s="209">
        <f>'DIA 21'!B$35</f>
        <v>0</v>
      </c>
      <c r="G28" s="209">
        <f>'DIA 21'!B$36</f>
        <v>0</v>
      </c>
      <c r="H28" s="209">
        <f>'DIA 21'!B$43</f>
        <v>60</v>
      </c>
      <c r="I28" s="209">
        <f>'DIA 21'!B$44</f>
        <v>250.2</v>
      </c>
    </row>
    <row r="29" spans="1:9" x14ac:dyDescent="0.25">
      <c r="A29" s="46">
        <f>'DIA 22'!B$6</f>
        <v>44491</v>
      </c>
      <c r="B29" s="208">
        <f>'DIA 22'!B$19</f>
        <v>1077</v>
      </c>
      <c r="C29" s="209">
        <f>'DIA 22'!B$20</f>
        <v>4534.17</v>
      </c>
      <c r="D29" s="209">
        <f>'DIA 22'!B$27</f>
        <v>0</v>
      </c>
      <c r="E29" s="209">
        <f>'DIA 22'!B$28</f>
        <v>0</v>
      </c>
      <c r="F29" s="209">
        <f>'DIA 22'!B$35</f>
        <v>6.07</v>
      </c>
      <c r="G29" s="209">
        <f>'DIA 22'!B$36</f>
        <v>25.5547</v>
      </c>
      <c r="H29" s="209">
        <f>'DIA 22'!B$43</f>
        <v>0</v>
      </c>
      <c r="I29" s="209">
        <f>'DIA 22'!B$44</f>
        <v>0</v>
      </c>
    </row>
    <row r="30" spans="1:9" x14ac:dyDescent="0.25">
      <c r="A30" s="46">
        <f>'DIA 23'!B$6</f>
        <v>44492</v>
      </c>
      <c r="B30" s="208">
        <f>'DIA 23'!B$19</f>
        <v>1665</v>
      </c>
      <c r="C30" s="209">
        <f>'DIA 23'!B$20</f>
        <v>7013.07</v>
      </c>
      <c r="D30" s="209">
        <f>'DIA 23'!B$27</f>
        <v>0</v>
      </c>
      <c r="E30" s="209">
        <f>'DIA 23'!B$28</f>
        <v>0</v>
      </c>
      <c r="F30" s="209">
        <f>'DIA 23'!B$35</f>
        <v>0</v>
      </c>
      <c r="G30" s="209">
        <f>'DIA 23'!B$36</f>
        <v>0</v>
      </c>
      <c r="H30" s="209">
        <f>'DIA 23'!B$43</f>
        <v>0</v>
      </c>
      <c r="I30" s="209">
        <f>'DIA 23'!B$44</f>
        <v>0</v>
      </c>
    </row>
    <row r="31" spans="1:9" x14ac:dyDescent="0.25">
      <c r="A31" s="46">
        <f>'DIA 24'!B$6</f>
        <v>44493</v>
      </c>
      <c r="B31" s="208">
        <f>'DIA 24'!B$19</f>
        <v>1679</v>
      </c>
      <c r="C31" s="209">
        <f>'DIA 24'!B$20</f>
        <v>7118.96</v>
      </c>
      <c r="D31" s="209">
        <f>'DIA 24'!B$27</f>
        <v>0</v>
      </c>
      <c r="E31" s="209">
        <f>'DIA 24'!B$28</f>
        <v>0</v>
      </c>
      <c r="F31" s="209">
        <f>'DIA 24'!B$35</f>
        <v>0</v>
      </c>
      <c r="G31" s="209">
        <f>'DIA 24'!B$36</f>
        <v>0</v>
      </c>
      <c r="H31" s="209">
        <f>'DIA 24'!B$43</f>
        <v>47.26</v>
      </c>
      <c r="I31" s="209">
        <f>'DIA 24'!B$44</f>
        <v>200.38239999999999</v>
      </c>
    </row>
    <row r="32" spans="1:9" x14ac:dyDescent="0.25">
      <c r="A32" s="46">
        <f>'DIA 25'!B$6</f>
        <v>44494</v>
      </c>
      <c r="B32" s="208">
        <f>'DIA 25'!B$19</f>
        <v>665</v>
      </c>
      <c r="C32" s="209">
        <f>'DIA 25'!B$20</f>
        <v>2819.6000000000004</v>
      </c>
      <c r="D32" s="209">
        <f>'DIA 25'!B$27</f>
        <v>0</v>
      </c>
      <c r="E32" s="209">
        <f>'DIA 25'!B$28</f>
        <v>0</v>
      </c>
      <c r="F32" s="209">
        <f>'DIA 25'!B$35</f>
        <v>0</v>
      </c>
      <c r="G32" s="209">
        <f>'DIA 25'!B$36</f>
        <v>0</v>
      </c>
      <c r="H32" s="209">
        <f>'DIA 25'!B$43</f>
        <v>55.93</v>
      </c>
      <c r="I32" s="209">
        <f>'DIA 25'!B$44</f>
        <v>237.14320000000001</v>
      </c>
    </row>
    <row r="33" spans="1:9" x14ac:dyDescent="0.25">
      <c r="A33" s="46">
        <f>'DIA 26'!B$6</f>
        <v>44495</v>
      </c>
      <c r="B33" s="208">
        <f>'DIA 26'!B$19</f>
        <v>478</v>
      </c>
      <c r="C33" s="209">
        <f>'DIA 26'!B$20</f>
        <v>2041.0599999999997</v>
      </c>
      <c r="D33" s="209">
        <f>'DIA 26'!B$27</f>
        <v>0</v>
      </c>
      <c r="E33" s="209">
        <f>'DIA 26'!B$28</f>
        <v>0</v>
      </c>
      <c r="F33" s="209">
        <f>'DIA 26'!B$35</f>
        <v>0</v>
      </c>
      <c r="G33" s="209">
        <f>'DIA 26'!B$36</f>
        <v>0</v>
      </c>
      <c r="H33" s="209">
        <f>'DIA 26'!B$43</f>
        <v>0</v>
      </c>
      <c r="I33" s="209">
        <f>'DIA 26'!B$44</f>
        <v>0</v>
      </c>
    </row>
    <row r="34" spans="1:9" x14ac:dyDescent="0.25">
      <c r="A34" s="46">
        <f>'DIA 27'!B$6</f>
        <v>44496</v>
      </c>
      <c r="B34" s="208">
        <f>'DIA 27'!B$19</f>
        <v>616</v>
      </c>
      <c r="C34" s="209">
        <f>'DIA 27'!B$20</f>
        <v>2641.6</v>
      </c>
      <c r="D34" s="209">
        <f>'DIA 27'!B$27</f>
        <v>0</v>
      </c>
      <c r="E34" s="209">
        <f>'DIA 27'!B$28</f>
        <v>0</v>
      </c>
      <c r="F34" s="209">
        <f>'DIA 27'!B$35</f>
        <v>0</v>
      </c>
      <c r="G34" s="209">
        <f>'DIA 27'!B$36</f>
        <v>0</v>
      </c>
      <c r="H34" s="209">
        <f>'DIA 27'!B$43</f>
        <v>0</v>
      </c>
      <c r="I34" s="209">
        <f>'DIA 27'!B$44</f>
        <v>0</v>
      </c>
    </row>
    <row r="35" spans="1:9" x14ac:dyDescent="0.25">
      <c r="A35" s="46">
        <f>'DIA 28'!B$6</f>
        <v>44132</v>
      </c>
      <c r="B35" s="208">
        <f>'DIA 28'!B$19</f>
        <v>611</v>
      </c>
      <c r="C35" s="209">
        <f>'DIA 28'!B$20</f>
        <v>2639.52</v>
      </c>
      <c r="D35" s="209">
        <f>'DIA 28'!B$27</f>
        <v>0</v>
      </c>
      <c r="E35" s="209">
        <f>'DIA 28'!B$28</f>
        <v>0</v>
      </c>
      <c r="F35" s="209">
        <f>'DIA 28'!B$35</f>
        <v>0</v>
      </c>
      <c r="G35" s="209">
        <f>'DIA 28'!B$36</f>
        <v>0</v>
      </c>
      <c r="H35" s="209">
        <f>'DIA 28'!B$43</f>
        <v>0</v>
      </c>
      <c r="I35" s="209">
        <f>'DIA 28'!B$44</f>
        <v>0</v>
      </c>
    </row>
    <row r="36" spans="1:9" x14ac:dyDescent="0.25">
      <c r="A36" s="46">
        <f>'DIA 29'!B$6</f>
        <v>44133</v>
      </c>
      <c r="B36" s="208">
        <f>'DIA 29'!B$19</f>
        <v>800</v>
      </c>
      <c r="C36" s="209">
        <f>'DIA 29'!B$20</f>
        <v>3498.12</v>
      </c>
      <c r="D36" s="209">
        <f>'DIA 29'!B$27</f>
        <v>0</v>
      </c>
      <c r="E36" s="209">
        <f>'DIA 29'!B$28</f>
        <v>0</v>
      </c>
      <c r="F36" s="209">
        <f>'DIA 29'!B$35</f>
        <v>0</v>
      </c>
      <c r="G36" s="209">
        <f>'DIA 29'!B$36</f>
        <v>0</v>
      </c>
      <c r="H36" s="209">
        <f>'DIA 29'!B$43</f>
        <v>0</v>
      </c>
      <c r="I36" s="209">
        <f>'DIA 29'!B$44</f>
        <v>0</v>
      </c>
    </row>
    <row r="37" spans="1:9" x14ac:dyDescent="0.25">
      <c r="A37" s="46">
        <f>'DIA 30'!B$6</f>
        <v>44499</v>
      </c>
      <c r="B37" s="208">
        <f>'DIA 30'!B$19</f>
        <v>1353</v>
      </c>
      <c r="C37" s="209">
        <f>'DIA 30'!B$20</f>
        <v>5926.1399999999994</v>
      </c>
      <c r="D37" s="209">
        <f>'DIA 30'!B$27</f>
        <v>0</v>
      </c>
      <c r="E37" s="209">
        <f>'DIA 30'!B$28</f>
        <v>0</v>
      </c>
      <c r="F37" s="209">
        <f>'DIA 30'!B$35</f>
        <v>25</v>
      </c>
      <c r="G37" s="209">
        <f>'DIA 30'!B$36</f>
        <v>109.5</v>
      </c>
      <c r="H37" s="209">
        <f>'DIA 30'!B$43</f>
        <v>100</v>
      </c>
      <c r="I37" s="209">
        <f>'DIA 30'!B$44</f>
        <v>438</v>
      </c>
    </row>
    <row r="38" spans="1:9" x14ac:dyDescent="0.25">
      <c r="A38" s="46">
        <f>'DIA 31'!B$6</f>
        <v>44500</v>
      </c>
      <c r="B38" s="208">
        <f>'DIA 31'!B$19</f>
        <v>1468</v>
      </c>
      <c r="C38" s="209">
        <f>'DIA 31'!B$20</f>
        <v>6429.84</v>
      </c>
      <c r="D38" s="209">
        <f>'DIA 31'!B$27</f>
        <v>0</v>
      </c>
      <c r="E38" s="209">
        <f>'DIA 31'!B$28</f>
        <v>0</v>
      </c>
      <c r="F38" s="209">
        <f>'DIA 31'!B$35</f>
        <v>0</v>
      </c>
      <c r="G38" s="209">
        <f>'DIA 31'!B$36</f>
        <v>0</v>
      </c>
      <c r="H38" s="209">
        <f>'DIA 31'!B$43</f>
        <v>0</v>
      </c>
      <c r="I38" s="209">
        <f>'DIA 31'!B$44</f>
        <v>0</v>
      </c>
    </row>
    <row r="39" spans="1:9" x14ac:dyDescent="0.25">
      <c r="A39" s="32" t="s">
        <v>43</v>
      </c>
      <c r="B39" s="134">
        <f>SUM(B8:B38)</f>
        <v>31352</v>
      </c>
      <c r="C39" s="134"/>
      <c r="D39" s="134">
        <f>SUM(D8:D38)</f>
        <v>100</v>
      </c>
      <c r="E39" s="134">
        <f>SUM(F8:F38)</f>
        <v>122.60999999999999</v>
      </c>
    </row>
    <row r="41" spans="1:9" ht="15.75" thickBot="1" x14ac:dyDescent="0.3"/>
    <row r="42" spans="1:9" x14ac:dyDescent="0.25">
      <c r="A42" s="34" t="s">
        <v>44</v>
      </c>
      <c r="B42" s="35">
        <f>'RESUMEN GENERAL DE VENTAS'!B39</f>
        <v>299914.49000000005</v>
      </c>
    </row>
    <row r="43" spans="1:9" x14ac:dyDescent="0.25">
      <c r="A43" s="36" t="s">
        <v>49</v>
      </c>
      <c r="B43" s="37">
        <f>B39/B42</f>
        <v>0.10453646304318273</v>
      </c>
    </row>
    <row r="44" spans="1:9" x14ac:dyDescent="0.25">
      <c r="A44" s="36" t="s">
        <v>45</v>
      </c>
      <c r="B44" s="38"/>
    </row>
    <row r="45" spans="1:9" ht="15.75" thickBot="1" x14ac:dyDescent="0.3">
      <c r="A45" s="39" t="s">
        <v>46</v>
      </c>
      <c r="B45" s="40"/>
    </row>
  </sheetData>
  <mergeCells count="5">
    <mergeCell ref="A1:A3"/>
    <mergeCell ref="B1:F1"/>
    <mergeCell ref="B2:F2"/>
    <mergeCell ref="B3:F3"/>
    <mergeCell ref="A4:F4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28"/>
  <sheetViews>
    <sheetView showGridLines="0" topLeftCell="D25" zoomScale="90" zoomScaleNormal="90" workbookViewId="0">
      <selection activeCell="K46" sqref="K46"/>
    </sheetView>
  </sheetViews>
  <sheetFormatPr baseColWidth="10" defaultRowHeight="15" x14ac:dyDescent="0.25"/>
  <cols>
    <col min="1" max="1" width="22.85546875" style="85" customWidth="1"/>
    <col min="2" max="2" width="21.7109375" style="85" customWidth="1"/>
    <col min="3" max="3" width="9" style="85" customWidth="1"/>
    <col min="4" max="4" width="19.7109375" style="85" customWidth="1"/>
    <col min="5" max="5" width="6.5703125" style="91" customWidth="1"/>
    <col min="6" max="6" width="19.7109375" style="85" customWidth="1"/>
    <col min="7" max="7" width="21.7109375" style="85" customWidth="1"/>
    <col min="8" max="8" width="14.28515625" style="85" customWidth="1"/>
    <col min="9" max="9" width="17.42578125" style="85" customWidth="1"/>
    <col min="10" max="10" width="18.5703125" style="85" customWidth="1"/>
    <col min="11" max="11" width="18" style="85" customWidth="1"/>
    <col min="12" max="12" width="17.42578125" style="85" customWidth="1"/>
    <col min="13" max="13" width="17.42578125" style="76" customWidth="1"/>
    <col min="14" max="14" width="5.140625" style="71" customWidth="1"/>
    <col min="15" max="15" width="20.85546875" style="85" customWidth="1"/>
    <col min="16" max="17" width="17" style="85" customWidth="1"/>
    <col min="18" max="18" width="18.140625" style="85" customWidth="1"/>
    <col min="19" max="19" width="13" style="85" bestFit="1" customWidth="1"/>
    <col min="20" max="20" width="20.140625" style="85" customWidth="1"/>
    <col min="21" max="21" width="15.7109375" style="85" customWidth="1"/>
    <col min="22" max="22" width="14.28515625" style="85" customWidth="1"/>
    <col min="23" max="23" width="14.42578125" style="85" customWidth="1"/>
    <col min="24" max="24" width="13.5703125" style="85" customWidth="1"/>
    <col min="25" max="25" width="16.42578125" style="85" customWidth="1"/>
    <col min="26" max="26" width="16" style="85" customWidth="1"/>
    <col min="27" max="27" width="13.85546875" style="85" customWidth="1"/>
    <col min="28" max="28" width="15.7109375" style="85" customWidth="1"/>
    <col min="29" max="16384" width="11.42578125" style="85"/>
  </cols>
  <sheetData>
    <row r="1" spans="1:28" s="84" customFormat="1" ht="16.5" customHeight="1" x14ac:dyDescent="0.35">
      <c r="A1" s="259"/>
      <c r="B1" s="296"/>
      <c r="C1" s="296"/>
      <c r="D1" s="296"/>
      <c r="E1" s="296"/>
      <c r="F1" s="296"/>
      <c r="G1" s="296"/>
      <c r="H1" s="296"/>
      <c r="M1" s="76"/>
      <c r="N1" s="71"/>
    </row>
    <row r="2" spans="1:28" s="84" customFormat="1" ht="16.5" customHeight="1" x14ac:dyDescent="0.35">
      <c r="A2" s="259"/>
      <c r="B2" s="296" t="s">
        <v>12</v>
      </c>
      <c r="C2" s="296"/>
      <c r="D2" s="296"/>
      <c r="E2" s="296"/>
      <c r="F2" s="296"/>
      <c r="G2" s="296"/>
      <c r="H2" s="296"/>
      <c r="M2" s="76"/>
      <c r="N2" s="71"/>
    </row>
    <row r="3" spans="1:28" s="84" customFormat="1" ht="21.75" customHeight="1" x14ac:dyDescent="0.25">
      <c r="A3" s="259"/>
      <c r="B3" s="297" t="s">
        <v>21</v>
      </c>
      <c r="C3" s="297"/>
      <c r="D3" s="297"/>
      <c r="E3" s="297"/>
      <c r="F3" s="297"/>
      <c r="G3" s="297"/>
      <c r="H3" s="297"/>
      <c r="M3" s="76"/>
      <c r="N3" s="71"/>
    </row>
    <row r="4" spans="1:28" x14ac:dyDescent="0.25">
      <c r="B4" s="298" t="s">
        <v>191</v>
      </c>
      <c r="C4" s="298"/>
      <c r="D4" s="298"/>
      <c r="E4" s="298"/>
      <c r="F4" s="298"/>
      <c r="G4" s="298"/>
      <c r="H4" s="298"/>
    </row>
    <row r="6" spans="1:28" x14ac:dyDescent="0.25">
      <c r="A6" s="7" t="s">
        <v>22</v>
      </c>
      <c r="B6" s="72">
        <v>44501</v>
      </c>
      <c r="D6" s="85" t="s">
        <v>23</v>
      </c>
      <c r="E6" s="8" t="s">
        <v>164</v>
      </c>
      <c r="F6" s="9"/>
      <c r="G6" s="9"/>
    </row>
    <row r="8" spans="1:28" x14ac:dyDescent="0.25">
      <c r="A8" s="7" t="s">
        <v>77</v>
      </c>
      <c r="B8" s="108">
        <v>4.38</v>
      </c>
      <c r="C8" s="85" t="s">
        <v>94</v>
      </c>
      <c r="D8" s="108">
        <v>4.38</v>
      </c>
    </row>
    <row r="9" spans="1:28" x14ac:dyDescent="0.25">
      <c r="A9" s="7" t="s">
        <v>78</v>
      </c>
      <c r="B9" s="108"/>
      <c r="C9" s="85" t="s">
        <v>95</v>
      </c>
      <c r="D9" s="108"/>
      <c r="U9" s="120">
        <v>0.05</v>
      </c>
    </row>
    <row r="10" spans="1:28" ht="15.75" thickBot="1" x14ac:dyDescent="0.3">
      <c r="A10" s="7" t="s">
        <v>108</v>
      </c>
      <c r="B10" s="108"/>
      <c r="C10" s="85" t="s">
        <v>96</v>
      </c>
      <c r="D10" s="108"/>
      <c r="E10" s="210">
        <v>1.1599999999999999</v>
      </c>
      <c r="U10" s="120">
        <f>E10</f>
        <v>1.1599999999999999</v>
      </c>
      <c r="V10" s="121">
        <f>C46</f>
        <v>7.4999999999999997E-3</v>
      </c>
      <c r="X10" s="121">
        <f>C52</f>
        <v>2.5000000000000001E-2</v>
      </c>
    </row>
    <row r="11" spans="1:28" ht="48" customHeight="1" x14ac:dyDescent="0.25">
      <c r="A11" s="10" t="s">
        <v>16</v>
      </c>
      <c r="B11" s="11" t="s">
        <v>17</v>
      </c>
      <c r="C11" s="42" t="s">
        <v>24</v>
      </c>
      <c r="D11" s="12" t="s">
        <v>3</v>
      </c>
      <c r="E11" s="42" t="s">
        <v>50</v>
      </c>
      <c r="F11" s="11" t="s">
        <v>4</v>
      </c>
      <c r="G11" s="13" t="s">
        <v>26</v>
      </c>
      <c r="H11" s="14" t="s">
        <v>25</v>
      </c>
      <c r="I11" s="54" t="s">
        <v>55</v>
      </c>
      <c r="J11" s="118" t="s">
        <v>120</v>
      </c>
      <c r="K11" s="55" t="s">
        <v>56</v>
      </c>
      <c r="L11" s="119" t="s">
        <v>121</v>
      </c>
      <c r="M11" s="105"/>
      <c r="N11" s="147" t="s">
        <v>106</v>
      </c>
      <c r="O11" s="147" t="s">
        <v>67</v>
      </c>
      <c r="P11" s="147" t="s">
        <v>66</v>
      </c>
      <c r="Q11" s="147" t="s">
        <v>63</v>
      </c>
      <c r="R11" s="148" t="s">
        <v>53</v>
      </c>
      <c r="S11" s="149" t="s">
        <v>118</v>
      </c>
      <c r="T11" s="148" t="s">
        <v>54</v>
      </c>
      <c r="U11" s="147" t="s">
        <v>64</v>
      </c>
      <c r="V11" s="150" t="s">
        <v>122</v>
      </c>
      <c r="W11" s="150" t="s">
        <v>123</v>
      </c>
      <c r="X11" s="150" t="s">
        <v>124</v>
      </c>
      <c r="Y11" s="147" t="s">
        <v>125</v>
      </c>
      <c r="Z11" s="150" t="s">
        <v>126</v>
      </c>
      <c r="AA11" s="150" t="s">
        <v>127</v>
      </c>
      <c r="AB11" s="151" t="s">
        <v>65</v>
      </c>
    </row>
    <row r="12" spans="1:28" ht="15.75" x14ac:dyDescent="0.25">
      <c r="A12" s="86" t="s">
        <v>0</v>
      </c>
      <c r="B12" s="89">
        <v>412.55</v>
      </c>
      <c r="C12" s="15"/>
      <c r="D12" s="56"/>
      <c r="E12" s="16"/>
      <c r="F12" s="56"/>
      <c r="G12" s="56"/>
      <c r="H12" s="17"/>
      <c r="I12" s="83">
        <v>412.55</v>
      </c>
      <c r="J12" s="81">
        <f>B12-I12</f>
        <v>0</v>
      </c>
      <c r="K12" s="75"/>
      <c r="L12" s="186">
        <f>+G12-K12</f>
        <v>0</v>
      </c>
      <c r="M12" s="106"/>
      <c r="N12" s="104">
        <v>1</v>
      </c>
      <c r="O12" s="152" t="s">
        <v>69</v>
      </c>
      <c r="P12" s="153">
        <v>156</v>
      </c>
      <c r="Q12" s="153">
        <v>7</v>
      </c>
      <c r="R12" s="154">
        <v>639.92999999999995</v>
      </c>
      <c r="S12" s="155"/>
      <c r="T12" s="155"/>
      <c r="U12" s="189">
        <f>((T12/U$10)*U$9)</f>
        <v>0</v>
      </c>
      <c r="V12" s="189">
        <f>R12*V$10</f>
        <v>4.7994749999999993</v>
      </c>
      <c r="W12" s="189">
        <f>+S12*V$10</f>
        <v>0</v>
      </c>
      <c r="X12" s="189">
        <f>+T12*X$10</f>
        <v>0</v>
      </c>
      <c r="Y12" s="189">
        <f>R12-V12</f>
        <v>635.13052499999992</v>
      </c>
      <c r="Z12" s="189">
        <f>S12-W12</f>
        <v>0</v>
      </c>
      <c r="AA12" s="189">
        <f>T12-U12-X12</f>
        <v>0</v>
      </c>
      <c r="AB12" s="156"/>
    </row>
    <row r="13" spans="1:28" ht="15.75" x14ac:dyDescent="0.25">
      <c r="A13" s="86" t="s">
        <v>76</v>
      </c>
      <c r="B13" s="89">
        <v>647</v>
      </c>
      <c r="C13" s="15"/>
      <c r="D13" s="56"/>
      <c r="E13" s="16"/>
      <c r="F13" s="56"/>
      <c r="G13" s="56"/>
      <c r="H13" s="17"/>
      <c r="I13" s="83"/>
      <c r="J13" s="81">
        <f t="shared" ref="J13:J64" si="0">B13-I13</f>
        <v>647</v>
      </c>
      <c r="K13" s="75"/>
      <c r="L13" s="186">
        <f t="shared" ref="L13:L28" si="1">+G13-K13</f>
        <v>0</v>
      </c>
      <c r="M13" s="106"/>
      <c r="N13" s="104">
        <v>2</v>
      </c>
      <c r="O13" s="152" t="s">
        <v>69</v>
      </c>
      <c r="P13" s="153"/>
      <c r="Q13" s="153"/>
      <c r="R13" s="154"/>
      <c r="S13" s="155"/>
      <c r="T13" s="157"/>
      <c r="U13" s="189">
        <f t="shared" ref="U13:U41" si="2">((T13/U$10)*U$9)</f>
        <v>0</v>
      </c>
      <c r="V13" s="189">
        <f t="shared" ref="V13:V41" si="3">R13*V$10</f>
        <v>0</v>
      </c>
      <c r="W13" s="189">
        <f t="shared" ref="W13:W41" si="4">+S13*V$10</f>
        <v>0</v>
      </c>
      <c r="X13" s="189">
        <f t="shared" ref="X13:X41" si="5">+T13*X$10</f>
        <v>0</v>
      </c>
      <c r="Y13" s="189">
        <f t="shared" ref="Y13:Y41" si="6">R13-V13</f>
        <v>0</v>
      </c>
      <c r="Z13" s="189">
        <f t="shared" ref="Z13:Z41" si="7">S13-W13</f>
        <v>0</v>
      </c>
      <c r="AA13" s="189">
        <f t="shared" ref="AA13:AA41" si="8">T13-U13-X13</f>
        <v>0</v>
      </c>
      <c r="AB13" s="156"/>
    </row>
    <row r="14" spans="1:28" ht="15.75" x14ac:dyDescent="0.25">
      <c r="A14" s="86" t="s">
        <v>83</v>
      </c>
      <c r="B14" s="57">
        <f>B13*B8</f>
        <v>2833.86</v>
      </c>
      <c r="C14" s="15"/>
      <c r="D14" s="56"/>
      <c r="E14" s="16"/>
      <c r="F14" s="56"/>
      <c r="G14" s="56"/>
      <c r="H14" s="17"/>
      <c r="I14" s="83"/>
      <c r="J14" s="81">
        <f t="shared" si="0"/>
        <v>2833.86</v>
      </c>
      <c r="K14" s="80"/>
      <c r="L14" s="186">
        <f t="shared" si="1"/>
        <v>0</v>
      </c>
      <c r="M14" s="107"/>
      <c r="N14" s="104">
        <v>3</v>
      </c>
      <c r="O14" s="152" t="s">
        <v>69</v>
      </c>
      <c r="P14" s="153"/>
      <c r="Q14" s="153"/>
      <c r="R14" s="154"/>
      <c r="S14" s="155"/>
      <c r="T14" s="157"/>
      <c r="U14" s="189">
        <f t="shared" si="2"/>
        <v>0</v>
      </c>
      <c r="V14" s="189">
        <f t="shared" si="3"/>
        <v>0</v>
      </c>
      <c r="W14" s="189">
        <f t="shared" si="4"/>
        <v>0</v>
      </c>
      <c r="X14" s="189">
        <f t="shared" si="5"/>
        <v>0</v>
      </c>
      <c r="Y14" s="189">
        <f t="shared" si="6"/>
        <v>0</v>
      </c>
      <c r="Z14" s="189">
        <f t="shared" si="7"/>
        <v>0</v>
      </c>
      <c r="AA14" s="189">
        <f t="shared" si="8"/>
        <v>0</v>
      </c>
      <c r="AB14" s="156"/>
    </row>
    <row r="15" spans="1:28" ht="15.75" x14ac:dyDescent="0.25">
      <c r="A15" s="86" t="s">
        <v>79</v>
      </c>
      <c r="B15" s="56"/>
      <c r="C15" s="15"/>
      <c r="D15" s="56"/>
      <c r="E15" s="16"/>
      <c r="F15" s="56"/>
      <c r="G15" s="56"/>
      <c r="H15" s="17"/>
      <c r="I15" s="83"/>
      <c r="J15" s="81">
        <f t="shared" si="0"/>
        <v>0</v>
      </c>
      <c r="K15" s="80"/>
      <c r="L15" s="186">
        <f t="shared" si="1"/>
        <v>0</v>
      </c>
      <c r="M15" s="107"/>
      <c r="N15" s="104">
        <v>4</v>
      </c>
      <c r="O15" s="152" t="s">
        <v>69</v>
      </c>
      <c r="P15" s="153"/>
      <c r="Q15" s="153"/>
      <c r="R15" s="154"/>
      <c r="S15" s="155"/>
      <c r="T15" s="157"/>
      <c r="U15" s="189">
        <f t="shared" si="2"/>
        <v>0</v>
      </c>
      <c r="V15" s="189">
        <f t="shared" si="3"/>
        <v>0</v>
      </c>
      <c r="W15" s="189">
        <f t="shared" si="4"/>
        <v>0</v>
      </c>
      <c r="X15" s="189">
        <f t="shared" si="5"/>
        <v>0</v>
      </c>
      <c r="Y15" s="189">
        <f t="shared" si="6"/>
        <v>0</v>
      </c>
      <c r="Z15" s="189">
        <f t="shared" si="7"/>
        <v>0</v>
      </c>
      <c r="AA15" s="189">
        <f t="shared" si="8"/>
        <v>0</v>
      </c>
      <c r="AB15" s="156"/>
    </row>
    <row r="16" spans="1:28" ht="15.75" x14ac:dyDescent="0.25">
      <c r="A16" s="86" t="s">
        <v>83</v>
      </c>
      <c r="B16" s="57">
        <f>B15*B9</f>
        <v>0</v>
      </c>
      <c r="C16" s="15"/>
      <c r="D16" s="56"/>
      <c r="E16" s="16"/>
      <c r="F16" s="56"/>
      <c r="G16" s="56"/>
      <c r="H16" s="17"/>
      <c r="I16" s="83"/>
      <c r="J16" s="81">
        <f t="shared" si="0"/>
        <v>0</v>
      </c>
      <c r="K16" s="80"/>
      <c r="L16" s="186">
        <f t="shared" si="1"/>
        <v>0</v>
      </c>
      <c r="M16" s="107"/>
      <c r="N16" s="104">
        <v>5</v>
      </c>
      <c r="O16" s="152" t="s">
        <v>69</v>
      </c>
      <c r="P16" s="153"/>
      <c r="Q16" s="153"/>
      <c r="R16" s="154"/>
      <c r="S16" s="155"/>
      <c r="T16" s="157"/>
      <c r="U16" s="189">
        <f t="shared" si="2"/>
        <v>0</v>
      </c>
      <c r="V16" s="189">
        <f t="shared" si="3"/>
        <v>0</v>
      </c>
      <c r="W16" s="189">
        <f t="shared" si="4"/>
        <v>0</v>
      </c>
      <c r="X16" s="189">
        <f t="shared" si="5"/>
        <v>0</v>
      </c>
      <c r="Y16" s="189">
        <f t="shared" si="6"/>
        <v>0</v>
      </c>
      <c r="Z16" s="189">
        <f t="shared" si="7"/>
        <v>0</v>
      </c>
      <c r="AA16" s="189">
        <f t="shared" si="8"/>
        <v>0</v>
      </c>
      <c r="AB16" s="156"/>
    </row>
    <row r="17" spans="1:28" ht="15.75" x14ac:dyDescent="0.25">
      <c r="A17" s="86" t="s">
        <v>80</v>
      </c>
      <c r="B17" s="56"/>
      <c r="C17" s="15"/>
      <c r="D17" s="56"/>
      <c r="E17" s="16"/>
      <c r="F17" s="56"/>
      <c r="G17" s="56"/>
      <c r="H17" s="17"/>
      <c r="I17" s="83"/>
      <c r="J17" s="81">
        <f t="shared" si="0"/>
        <v>0</v>
      </c>
      <c r="K17" s="80"/>
      <c r="L17" s="186">
        <f t="shared" si="1"/>
        <v>0</v>
      </c>
      <c r="M17" s="107"/>
      <c r="N17" s="104">
        <v>6</v>
      </c>
      <c r="O17" s="152" t="s">
        <v>69</v>
      </c>
      <c r="P17" s="153"/>
      <c r="Q17" s="153"/>
      <c r="R17" s="154"/>
      <c r="S17" s="155"/>
      <c r="T17" s="157"/>
      <c r="U17" s="189">
        <f t="shared" si="2"/>
        <v>0</v>
      </c>
      <c r="V17" s="189">
        <f t="shared" si="3"/>
        <v>0</v>
      </c>
      <c r="W17" s="189">
        <f t="shared" si="4"/>
        <v>0</v>
      </c>
      <c r="X17" s="189">
        <f t="shared" si="5"/>
        <v>0</v>
      </c>
      <c r="Y17" s="189">
        <f t="shared" si="6"/>
        <v>0</v>
      </c>
      <c r="Z17" s="189">
        <f t="shared" si="7"/>
        <v>0</v>
      </c>
      <c r="AA17" s="189">
        <f t="shared" si="8"/>
        <v>0</v>
      </c>
      <c r="AB17" s="156"/>
    </row>
    <row r="18" spans="1:28" ht="15.75" x14ac:dyDescent="0.25">
      <c r="A18" s="86" t="s">
        <v>83</v>
      </c>
      <c r="B18" s="57">
        <f>B17*B10</f>
        <v>0</v>
      </c>
      <c r="C18" s="15"/>
      <c r="D18" s="56"/>
      <c r="E18" s="16"/>
      <c r="F18" s="56"/>
      <c r="G18" s="56"/>
      <c r="H18" s="17"/>
      <c r="I18" s="83"/>
      <c r="J18" s="81">
        <f t="shared" si="0"/>
        <v>0</v>
      </c>
      <c r="K18" s="80"/>
      <c r="L18" s="186">
        <f t="shared" si="1"/>
        <v>0</v>
      </c>
      <c r="M18" s="107"/>
      <c r="N18" s="104">
        <v>7</v>
      </c>
      <c r="O18" s="152" t="s">
        <v>69</v>
      </c>
      <c r="P18" s="153"/>
      <c r="Q18" s="153"/>
      <c r="R18" s="154"/>
      <c r="S18" s="155"/>
      <c r="T18" s="157"/>
      <c r="U18" s="189">
        <f t="shared" si="2"/>
        <v>0</v>
      </c>
      <c r="V18" s="189">
        <f t="shared" si="3"/>
        <v>0</v>
      </c>
      <c r="W18" s="189">
        <f t="shared" si="4"/>
        <v>0</v>
      </c>
      <c r="X18" s="189">
        <f t="shared" si="5"/>
        <v>0</v>
      </c>
      <c r="Y18" s="189">
        <f t="shared" si="6"/>
        <v>0</v>
      </c>
      <c r="Z18" s="189">
        <f t="shared" si="7"/>
        <v>0</v>
      </c>
      <c r="AA18" s="189">
        <f t="shared" si="8"/>
        <v>0</v>
      </c>
      <c r="AB18" s="156"/>
    </row>
    <row r="19" spans="1:28" ht="15.75" x14ac:dyDescent="0.25">
      <c r="A19" s="93" t="s">
        <v>81</v>
      </c>
      <c r="B19" s="97">
        <f>+B13+B15+B17</f>
        <v>647</v>
      </c>
      <c r="C19" s="95"/>
      <c r="D19" s="94"/>
      <c r="E19" s="96"/>
      <c r="F19" s="94"/>
      <c r="G19" s="94"/>
      <c r="H19" s="98"/>
      <c r="I19" s="99"/>
      <c r="J19" s="185">
        <f>B19-I19</f>
        <v>647</v>
      </c>
      <c r="K19" s="99"/>
      <c r="L19" s="187">
        <f t="shared" si="1"/>
        <v>0</v>
      </c>
      <c r="M19" s="107"/>
      <c r="N19" s="104">
        <v>8</v>
      </c>
      <c r="O19" s="152" t="s">
        <v>69</v>
      </c>
      <c r="P19" s="158"/>
      <c r="Q19" s="158"/>
      <c r="R19" s="159"/>
      <c r="S19" s="160"/>
      <c r="T19" s="161"/>
      <c r="U19" s="189">
        <f t="shared" si="2"/>
        <v>0</v>
      </c>
      <c r="V19" s="189">
        <f t="shared" si="3"/>
        <v>0</v>
      </c>
      <c r="W19" s="189">
        <f t="shared" si="4"/>
        <v>0</v>
      </c>
      <c r="X19" s="189">
        <f t="shared" si="5"/>
        <v>0</v>
      </c>
      <c r="Y19" s="189">
        <f t="shared" si="6"/>
        <v>0</v>
      </c>
      <c r="Z19" s="189">
        <f t="shared" si="7"/>
        <v>0</v>
      </c>
      <c r="AA19" s="189">
        <f t="shared" si="8"/>
        <v>0</v>
      </c>
      <c r="AB19" s="156"/>
    </row>
    <row r="20" spans="1:28" ht="15.75" x14ac:dyDescent="0.25">
      <c r="A20" s="93" t="s">
        <v>82</v>
      </c>
      <c r="B20" s="97">
        <f>+B14+B16+B18</f>
        <v>2833.86</v>
      </c>
      <c r="C20" s="95"/>
      <c r="D20" s="94"/>
      <c r="E20" s="96"/>
      <c r="F20" s="94"/>
      <c r="G20" s="94"/>
      <c r="H20" s="98"/>
      <c r="I20" s="99">
        <v>2833.86</v>
      </c>
      <c r="J20" s="185">
        <f t="shared" si="0"/>
        <v>0</v>
      </c>
      <c r="K20" s="99"/>
      <c r="L20" s="187">
        <f t="shared" si="1"/>
        <v>0</v>
      </c>
      <c r="M20" s="107"/>
      <c r="N20" s="104">
        <v>9</v>
      </c>
      <c r="O20" s="152" t="s">
        <v>69</v>
      </c>
      <c r="P20" s="158"/>
      <c r="Q20" s="158"/>
      <c r="R20" s="159"/>
      <c r="S20" s="160"/>
      <c r="T20" s="161"/>
      <c r="U20" s="189">
        <f t="shared" si="2"/>
        <v>0</v>
      </c>
      <c r="V20" s="189">
        <f t="shared" si="3"/>
        <v>0</v>
      </c>
      <c r="W20" s="189">
        <f t="shared" si="4"/>
        <v>0</v>
      </c>
      <c r="X20" s="189">
        <f t="shared" si="5"/>
        <v>0</v>
      </c>
      <c r="Y20" s="189">
        <f t="shared" si="6"/>
        <v>0</v>
      </c>
      <c r="Z20" s="189">
        <f t="shared" si="7"/>
        <v>0</v>
      </c>
      <c r="AA20" s="189">
        <f t="shared" si="8"/>
        <v>0</v>
      </c>
      <c r="AB20" s="156"/>
    </row>
    <row r="21" spans="1:28" ht="15.75" x14ac:dyDescent="0.25">
      <c r="A21" s="86" t="s">
        <v>84</v>
      </c>
      <c r="B21" s="89">
        <v>100</v>
      </c>
      <c r="C21" s="100"/>
      <c r="D21" s="66"/>
      <c r="E21" s="67"/>
      <c r="F21" s="66"/>
      <c r="G21" s="66"/>
      <c r="H21" s="102"/>
      <c r="I21" s="79"/>
      <c r="J21" s="81">
        <f t="shared" si="0"/>
        <v>100</v>
      </c>
      <c r="K21" s="80"/>
      <c r="L21" s="186">
        <f t="shared" si="1"/>
        <v>0</v>
      </c>
      <c r="M21" s="107"/>
      <c r="N21" s="104">
        <v>10</v>
      </c>
      <c r="O21" s="152" t="s">
        <v>69</v>
      </c>
      <c r="P21" s="158"/>
      <c r="Q21" s="158"/>
      <c r="R21" s="159"/>
      <c r="S21" s="160"/>
      <c r="T21" s="161"/>
      <c r="U21" s="189">
        <f t="shared" si="2"/>
        <v>0</v>
      </c>
      <c r="V21" s="189">
        <f t="shared" si="3"/>
        <v>0</v>
      </c>
      <c r="W21" s="189">
        <f t="shared" si="4"/>
        <v>0</v>
      </c>
      <c r="X21" s="189">
        <f t="shared" si="5"/>
        <v>0</v>
      </c>
      <c r="Y21" s="189">
        <f t="shared" si="6"/>
        <v>0</v>
      </c>
      <c r="Z21" s="189">
        <f t="shared" si="7"/>
        <v>0</v>
      </c>
      <c r="AA21" s="189">
        <f t="shared" si="8"/>
        <v>0</v>
      </c>
      <c r="AB21" s="156"/>
    </row>
    <row r="22" spans="1:28" ht="15.75" x14ac:dyDescent="0.25">
      <c r="A22" s="86" t="s">
        <v>87</v>
      </c>
      <c r="B22" s="57">
        <f>B21*D8</f>
        <v>438</v>
      </c>
      <c r="C22" s="100"/>
      <c r="D22" s="66"/>
      <c r="E22" s="67"/>
      <c r="F22" s="66"/>
      <c r="G22" s="66"/>
      <c r="H22" s="102"/>
      <c r="I22" s="79"/>
      <c r="J22" s="81">
        <f t="shared" si="0"/>
        <v>438</v>
      </c>
      <c r="K22" s="80"/>
      <c r="L22" s="186">
        <f t="shared" si="1"/>
        <v>0</v>
      </c>
      <c r="M22" s="107"/>
      <c r="N22" s="104">
        <v>11</v>
      </c>
      <c r="O22" s="152" t="s">
        <v>69</v>
      </c>
      <c r="P22" s="158"/>
      <c r="Q22" s="158"/>
      <c r="R22" s="162"/>
      <c r="S22" s="160"/>
      <c r="T22" s="160"/>
      <c r="U22" s="189">
        <f t="shared" si="2"/>
        <v>0</v>
      </c>
      <c r="V22" s="189">
        <f t="shared" si="3"/>
        <v>0</v>
      </c>
      <c r="W22" s="189">
        <f t="shared" si="4"/>
        <v>0</v>
      </c>
      <c r="X22" s="189">
        <f t="shared" si="5"/>
        <v>0</v>
      </c>
      <c r="Y22" s="189">
        <f t="shared" si="6"/>
        <v>0</v>
      </c>
      <c r="Z22" s="189">
        <f t="shared" si="7"/>
        <v>0</v>
      </c>
      <c r="AA22" s="189">
        <f t="shared" si="8"/>
        <v>0</v>
      </c>
      <c r="AB22" s="156"/>
    </row>
    <row r="23" spans="1:28" ht="15.75" x14ac:dyDescent="0.25">
      <c r="A23" s="86" t="s">
        <v>85</v>
      </c>
      <c r="B23" s="56"/>
      <c r="C23" s="100"/>
      <c r="D23" s="66"/>
      <c r="E23" s="67"/>
      <c r="F23" s="66"/>
      <c r="G23" s="66"/>
      <c r="H23" s="102"/>
      <c r="I23" s="79"/>
      <c r="J23" s="81">
        <f t="shared" si="0"/>
        <v>0</v>
      </c>
      <c r="K23" s="80"/>
      <c r="L23" s="186">
        <f t="shared" si="1"/>
        <v>0</v>
      </c>
      <c r="M23" s="107"/>
      <c r="N23" s="104">
        <v>12</v>
      </c>
      <c r="O23" s="152" t="s">
        <v>69</v>
      </c>
      <c r="P23" s="158"/>
      <c r="Q23" s="158"/>
      <c r="R23" s="162"/>
      <c r="S23" s="160"/>
      <c r="T23" s="155"/>
      <c r="U23" s="189">
        <f t="shared" si="2"/>
        <v>0</v>
      </c>
      <c r="V23" s="189">
        <f t="shared" si="3"/>
        <v>0</v>
      </c>
      <c r="W23" s="189">
        <f t="shared" si="4"/>
        <v>0</v>
      </c>
      <c r="X23" s="189">
        <f t="shared" si="5"/>
        <v>0</v>
      </c>
      <c r="Y23" s="189">
        <f t="shared" si="6"/>
        <v>0</v>
      </c>
      <c r="Z23" s="189">
        <f t="shared" si="7"/>
        <v>0</v>
      </c>
      <c r="AA23" s="189">
        <f t="shared" si="8"/>
        <v>0</v>
      </c>
      <c r="AB23" s="156"/>
    </row>
    <row r="24" spans="1:28" ht="15.75" x14ac:dyDescent="0.25">
      <c r="A24" s="86" t="s">
        <v>87</v>
      </c>
      <c r="B24" s="57">
        <f>D9*B23</f>
        <v>0</v>
      </c>
      <c r="C24" s="100"/>
      <c r="D24" s="66"/>
      <c r="E24" s="67"/>
      <c r="F24" s="66"/>
      <c r="G24" s="66"/>
      <c r="H24" s="102"/>
      <c r="I24" s="79"/>
      <c r="J24" s="81">
        <f t="shared" si="0"/>
        <v>0</v>
      </c>
      <c r="K24" s="80"/>
      <c r="L24" s="186">
        <f t="shared" si="1"/>
        <v>0</v>
      </c>
      <c r="M24" s="107"/>
      <c r="N24" s="104">
        <v>13</v>
      </c>
      <c r="O24" s="152" t="s">
        <v>69</v>
      </c>
      <c r="P24" s="158"/>
      <c r="Q24" s="158"/>
      <c r="R24" s="162"/>
      <c r="S24" s="160"/>
      <c r="T24" s="155"/>
      <c r="U24" s="189">
        <f t="shared" si="2"/>
        <v>0</v>
      </c>
      <c r="V24" s="189">
        <f t="shared" si="3"/>
        <v>0</v>
      </c>
      <c r="W24" s="189">
        <f t="shared" si="4"/>
        <v>0</v>
      </c>
      <c r="X24" s="189">
        <f t="shared" si="5"/>
        <v>0</v>
      </c>
      <c r="Y24" s="189">
        <f t="shared" si="6"/>
        <v>0</v>
      </c>
      <c r="Z24" s="189">
        <f t="shared" si="7"/>
        <v>0</v>
      </c>
      <c r="AA24" s="189">
        <f t="shared" si="8"/>
        <v>0</v>
      </c>
      <c r="AB24" s="163"/>
    </row>
    <row r="25" spans="1:28" ht="15.75" x14ac:dyDescent="0.25">
      <c r="A25" s="86" t="s">
        <v>86</v>
      </c>
      <c r="B25" s="56"/>
      <c r="C25" s="100"/>
      <c r="D25" s="66"/>
      <c r="E25" s="67"/>
      <c r="F25" s="66"/>
      <c r="G25" s="66"/>
      <c r="H25" s="102"/>
      <c r="I25" s="79"/>
      <c r="J25" s="81">
        <f t="shared" si="0"/>
        <v>0</v>
      </c>
      <c r="K25" s="80"/>
      <c r="L25" s="186">
        <f t="shared" si="1"/>
        <v>0</v>
      </c>
      <c r="M25" s="107"/>
      <c r="N25" s="104">
        <v>14</v>
      </c>
      <c r="O25" s="152" t="s">
        <v>69</v>
      </c>
      <c r="P25" s="158"/>
      <c r="Q25" s="158"/>
      <c r="R25" s="162"/>
      <c r="S25" s="160"/>
      <c r="T25" s="155"/>
      <c r="U25" s="189">
        <f t="shared" si="2"/>
        <v>0</v>
      </c>
      <c r="V25" s="189">
        <f t="shared" si="3"/>
        <v>0</v>
      </c>
      <c r="W25" s="189">
        <f t="shared" si="4"/>
        <v>0</v>
      </c>
      <c r="X25" s="189">
        <f t="shared" si="5"/>
        <v>0</v>
      </c>
      <c r="Y25" s="189">
        <f t="shared" si="6"/>
        <v>0</v>
      </c>
      <c r="Z25" s="189">
        <f t="shared" si="7"/>
        <v>0</v>
      </c>
      <c r="AA25" s="189">
        <f t="shared" si="8"/>
        <v>0</v>
      </c>
      <c r="AB25" s="163"/>
    </row>
    <row r="26" spans="1:28" ht="15.75" x14ac:dyDescent="0.25">
      <c r="A26" s="86" t="s">
        <v>87</v>
      </c>
      <c r="B26" s="57">
        <f>B25*D10</f>
        <v>0</v>
      </c>
      <c r="C26" s="100"/>
      <c r="D26" s="66"/>
      <c r="E26" s="67"/>
      <c r="F26" s="66"/>
      <c r="G26" s="66"/>
      <c r="H26" s="102"/>
      <c r="I26" s="79"/>
      <c r="J26" s="81">
        <f t="shared" si="0"/>
        <v>0</v>
      </c>
      <c r="K26" s="80"/>
      <c r="L26" s="186">
        <f t="shared" si="1"/>
        <v>0</v>
      </c>
      <c r="M26" s="107"/>
      <c r="N26" s="104">
        <v>15</v>
      </c>
      <c r="O26" s="152" t="s">
        <v>69</v>
      </c>
      <c r="P26" s="158"/>
      <c r="Q26" s="158"/>
      <c r="R26" s="162"/>
      <c r="S26" s="160"/>
      <c r="T26" s="155"/>
      <c r="U26" s="189">
        <f t="shared" si="2"/>
        <v>0</v>
      </c>
      <c r="V26" s="189">
        <f t="shared" si="3"/>
        <v>0</v>
      </c>
      <c r="W26" s="189">
        <f t="shared" si="4"/>
        <v>0</v>
      </c>
      <c r="X26" s="189">
        <f t="shared" si="5"/>
        <v>0</v>
      </c>
      <c r="Y26" s="189">
        <f t="shared" si="6"/>
        <v>0</v>
      </c>
      <c r="Z26" s="189">
        <f t="shared" si="7"/>
        <v>0</v>
      </c>
      <c r="AA26" s="189">
        <f t="shared" si="8"/>
        <v>0</v>
      </c>
      <c r="AB26" s="163"/>
    </row>
    <row r="27" spans="1:28" ht="15.75" x14ac:dyDescent="0.25">
      <c r="A27" s="93" t="s">
        <v>88</v>
      </c>
      <c r="B27" s="97">
        <f>+B21+B23+B25</f>
        <v>100</v>
      </c>
      <c r="C27" s="95"/>
      <c r="D27" s="94"/>
      <c r="E27" s="96"/>
      <c r="F27" s="94"/>
      <c r="G27" s="94"/>
      <c r="H27" s="98"/>
      <c r="I27" s="99"/>
      <c r="J27" s="185">
        <f t="shared" si="0"/>
        <v>100</v>
      </c>
      <c r="K27" s="99"/>
      <c r="L27" s="187">
        <f t="shared" si="1"/>
        <v>0</v>
      </c>
      <c r="M27" s="107"/>
      <c r="N27" s="104">
        <v>16</v>
      </c>
      <c r="O27" s="152" t="s">
        <v>69</v>
      </c>
      <c r="P27" s="158"/>
      <c r="Q27" s="158"/>
      <c r="R27" s="162"/>
      <c r="S27" s="160"/>
      <c r="T27" s="155"/>
      <c r="U27" s="189">
        <f t="shared" si="2"/>
        <v>0</v>
      </c>
      <c r="V27" s="189">
        <f t="shared" si="3"/>
        <v>0</v>
      </c>
      <c r="W27" s="189">
        <f t="shared" si="4"/>
        <v>0</v>
      </c>
      <c r="X27" s="189">
        <f t="shared" si="5"/>
        <v>0</v>
      </c>
      <c r="Y27" s="189">
        <f t="shared" si="6"/>
        <v>0</v>
      </c>
      <c r="Z27" s="189">
        <f t="shared" si="7"/>
        <v>0</v>
      </c>
      <c r="AA27" s="189">
        <f t="shared" si="8"/>
        <v>0</v>
      </c>
      <c r="AB27" s="163"/>
    </row>
    <row r="28" spans="1:28" ht="15.75" x14ac:dyDescent="0.25">
      <c r="A28" s="93" t="s">
        <v>89</v>
      </c>
      <c r="B28" s="97">
        <f>+B22+B24+B26</f>
        <v>438</v>
      </c>
      <c r="C28" s="95"/>
      <c r="D28" s="94"/>
      <c r="E28" s="96"/>
      <c r="F28" s="94"/>
      <c r="G28" s="94"/>
      <c r="H28" s="98"/>
      <c r="I28" s="99">
        <v>438</v>
      </c>
      <c r="J28" s="185">
        <f t="shared" si="0"/>
        <v>0</v>
      </c>
      <c r="K28" s="99"/>
      <c r="L28" s="187">
        <f t="shared" si="1"/>
        <v>0</v>
      </c>
      <c r="M28" s="107"/>
      <c r="N28" s="104">
        <v>17</v>
      </c>
      <c r="O28" s="152" t="s">
        <v>69</v>
      </c>
      <c r="P28" s="158"/>
      <c r="Q28" s="158"/>
      <c r="R28" s="160"/>
      <c r="S28" s="160"/>
      <c r="T28" s="160"/>
      <c r="U28" s="189">
        <f t="shared" si="2"/>
        <v>0</v>
      </c>
      <c r="V28" s="189">
        <f t="shared" si="3"/>
        <v>0</v>
      </c>
      <c r="W28" s="189">
        <f t="shared" si="4"/>
        <v>0</v>
      </c>
      <c r="X28" s="189">
        <f t="shared" si="5"/>
        <v>0</v>
      </c>
      <c r="Y28" s="189">
        <f t="shared" si="6"/>
        <v>0</v>
      </c>
      <c r="Z28" s="189">
        <f t="shared" si="7"/>
        <v>0</v>
      </c>
      <c r="AA28" s="189">
        <f t="shared" si="8"/>
        <v>0</v>
      </c>
      <c r="AB28" s="163"/>
    </row>
    <row r="29" spans="1:28" ht="15.75" x14ac:dyDescent="0.25">
      <c r="A29" s="86" t="s">
        <v>90</v>
      </c>
      <c r="B29" s="89"/>
      <c r="C29" s="100"/>
      <c r="D29" s="66"/>
      <c r="E29" s="67"/>
      <c r="F29" s="66"/>
      <c r="G29" s="66"/>
      <c r="H29" s="102"/>
      <c r="I29" s="79"/>
      <c r="J29" s="81">
        <f t="shared" si="0"/>
        <v>0</v>
      </c>
      <c r="K29" s="80"/>
      <c r="L29" s="186">
        <f t="shared" ref="L29:L44" si="9">+G29-K29</f>
        <v>0</v>
      </c>
      <c r="M29" s="107"/>
      <c r="N29" s="104">
        <v>18</v>
      </c>
      <c r="O29" s="152" t="s">
        <v>69</v>
      </c>
      <c r="P29" s="158"/>
      <c r="Q29" s="158"/>
      <c r="R29" s="160"/>
      <c r="S29" s="160"/>
      <c r="T29" s="155"/>
      <c r="U29" s="189">
        <f t="shared" si="2"/>
        <v>0</v>
      </c>
      <c r="V29" s="189">
        <f t="shared" si="3"/>
        <v>0</v>
      </c>
      <c r="W29" s="189">
        <f t="shared" si="4"/>
        <v>0</v>
      </c>
      <c r="X29" s="189">
        <f t="shared" si="5"/>
        <v>0</v>
      </c>
      <c r="Y29" s="189">
        <f t="shared" si="6"/>
        <v>0</v>
      </c>
      <c r="Z29" s="189">
        <f t="shared" si="7"/>
        <v>0</v>
      </c>
      <c r="AA29" s="189">
        <f t="shared" si="8"/>
        <v>0</v>
      </c>
      <c r="AB29" s="163"/>
    </row>
    <row r="30" spans="1:28" ht="15.75" x14ac:dyDescent="0.25">
      <c r="A30" s="86" t="s">
        <v>91</v>
      </c>
      <c r="B30" s="57">
        <f>B29*B8</f>
        <v>0</v>
      </c>
      <c r="C30" s="100"/>
      <c r="D30" s="66"/>
      <c r="E30" s="67"/>
      <c r="F30" s="66"/>
      <c r="G30" s="66"/>
      <c r="H30" s="102"/>
      <c r="I30" s="79"/>
      <c r="J30" s="81">
        <f t="shared" si="0"/>
        <v>0</v>
      </c>
      <c r="K30" s="80"/>
      <c r="L30" s="186">
        <f t="shared" si="9"/>
        <v>0</v>
      </c>
      <c r="M30" s="107"/>
      <c r="N30" s="104">
        <v>19</v>
      </c>
      <c r="O30" s="152" t="s">
        <v>69</v>
      </c>
      <c r="P30" s="153"/>
      <c r="Q30" s="153"/>
      <c r="R30" s="154"/>
      <c r="S30" s="155"/>
      <c r="T30" s="157"/>
      <c r="U30" s="189">
        <f t="shared" si="2"/>
        <v>0</v>
      </c>
      <c r="V30" s="189">
        <f t="shared" si="3"/>
        <v>0</v>
      </c>
      <c r="W30" s="189">
        <f t="shared" si="4"/>
        <v>0</v>
      </c>
      <c r="X30" s="189">
        <f t="shared" si="5"/>
        <v>0</v>
      </c>
      <c r="Y30" s="189">
        <f t="shared" si="6"/>
        <v>0</v>
      </c>
      <c r="Z30" s="189">
        <f t="shared" si="7"/>
        <v>0</v>
      </c>
      <c r="AA30" s="189">
        <f t="shared" si="8"/>
        <v>0</v>
      </c>
      <c r="AB30" s="164"/>
    </row>
    <row r="31" spans="1:28" ht="15.75" x14ac:dyDescent="0.25">
      <c r="A31" s="86" t="s">
        <v>92</v>
      </c>
      <c r="B31" s="56"/>
      <c r="C31" s="100"/>
      <c r="D31" s="66"/>
      <c r="E31" s="67"/>
      <c r="F31" s="66"/>
      <c r="G31" s="66"/>
      <c r="H31" s="102"/>
      <c r="I31" s="79"/>
      <c r="J31" s="81">
        <f t="shared" si="0"/>
        <v>0</v>
      </c>
      <c r="K31" s="80"/>
      <c r="L31" s="186">
        <f t="shared" si="9"/>
        <v>0</v>
      </c>
      <c r="M31" s="107"/>
      <c r="N31" s="104">
        <v>20</v>
      </c>
      <c r="O31" s="152" t="s">
        <v>69</v>
      </c>
      <c r="P31" s="153"/>
      <c r="Q31" s="153"/>
      <c r="R31" s="165"/>
      <c r="S31" s="155"/>
      <c r="T31" s="155"/>
      <c r="U31" s="189">
        <f t="shared" si="2"/>
        <v>0</v>
      </c>
      <c r="V31" s="189">
        <f t="shared" si="3"/>
        <v>0</v>
      </c>
      <c r="W31" s="189">
        <f t="shared" si="4"/>
        <v>0</v>
      </c>
      <c r="X31" s="189">
        <f t="shared" si="5"/>
        <v>0</v>
      </c>
      <c r="Y31" s="189">
        <f t="shared" si="6"/>
        <v>0</v>
      </c>
      <c r="Z31" s="189">
        <f t="shared" si="7"/>
        <v>0</v>
      </c>
      <c r="AA31" s="189">
        <f t="shared" si="8"/>
        <v>0</v>
      </c>
      <c r="AB31" s="164"/>
    </row>
    <row r="32" spans="1:28" ht="15.75" x14ac:dyDescent="0.25">
      <c r="A32" s="86" t="s">
        <v>91</v>
      </c>
      <c r="B32" s="57">
        <f>B31*B9</f>
        <v>0</v>
      </c>
      <c r="C32" s="100"/>
      <c r="D32" s="66"/>
      <c r="E32" s="67"/>
      <c r="F32" s="66"/>
      <c r="G32" s="66"/>
      <c r="H32" s="102"/>
      <c r="I32" s="79"/>
      <c r="J32" s="81">
        <f t="shared" si="0"/>
        <v>0</v>
      </c>
      <c r="K32" s="80"/>
      <c r="L32" s="186">
        <f t="shared" si="9"/>
        <v>0</v>
      </c>
      <c r="M32" s="107"/>
      <c r="N32" s="104">
        <v>21</v>
      </c>
      <c r="O32" s="152" t="s">
        <v>69</v>
      </c>
      <c r="P32" s="153"/>
      <c r="Q32" s="153"/>
      <c r="R32" s="154"/>
      <c r="S32" s="155"/>
      <c r="T32" s="155"/>
      <c r="U32" s="189">
        <f t="shared" si="2"/>
        <v>0</v>
      </c>
      <c r="V32" s="189">
        <f t="shared" si="3"/>
        <v>0</v>
      </c>
      <c r="W32" s="189">
        <f t="shared" si="4"/>
        <v>0</v>
      </c>
      <c r="X32" s="189">
        <f t="shared" si="5"/>
        <v>0</v>
      </c>
      <c r="Y32" s="189">
        <f t="shared" si="6"/>
        <v>0</v>
      </c>
      <c r="Z32" s="189">
        <f t="shared" si="7"/>
        <v>0</v>
      </c>
      <c r="AA32" s="189">
        <f t="shared" si="8"/>
        <v>0</v>
      </c>
      <c r="AB32" s="163"/>
    </row>
    <row r="33" spans="1:28" ht="15.75" x14ac:dyDescent="0.25">
      <c r="A33" s="86" t="s">
        <v>93</v>
      </c>
      <c r="B33" s="56"/>
      <c r="C33" s="100"/>
      <c r="D33" s="66"/>
      <c r="E33" s="67"/>
      <c r="F33" s="66"/>
      <c r="G33" s="66"/>
      <c r="H33" s="102"/>
      <c r="I33" s="79"/>
      <c r="J33" s="81">
        <f t="shared" si="0"/>
        <v>0</v>
      </c>
      <c r="K33" s="80"/>
      <c r="L33" s="186">
        <f t="shared" si="9"/>
        <v>0</v>
      </c>
      <c r="M33" s="107"/>
      <c r="N33" s="104">
        <v>22</v>
      </c>
      <c r="O33" s="152" t="s">
        <v>69</v>
      </c>
      <c r="P33" s="153"/>
      <c r="Q33" s="153"/>
      <c r="R33" s="165"/>
      <c r="S33" s="155"/>
      <c r="T33" s="155"/>
      <c r="U33" s="189">
        <f t="shared" si="2"/>
        <v>0</v>
      </c>
      <c r="V33" s="189">
        <f t="shared" si="3"/>
        <v>0</v>
      </c>
      <c r="W33" s="189">
        <f t="shared" si="4"/>
        <v>0</v>
      </c>
      <c r="X33" s="189">
        <f t="shared" si="5"/>
        <v>0</v>
      </c>
      <c r="Y33" s="189">
        <f t="shared" si="6"/>
        <v>0</v>
      </c>
      <c r="Z33" s="189">
        <f t="shared" si="7"/>
        <v>0</v>
      </c>
      <c r="AA33" s="189">
        <f t="shared" si="8"/>
        <v>0</v>
      </c>
      <c r="AB33" s="163"/>
    </row>
    <row r="34" spans="1:28" ht="15.75" x14ac:dyDescent="0.25">
      <c r="A34" s="86" t="s">
        <v>91</v>
      </c>
      <c r="B34" s="57">
        <f>B33*B10</f>
        <v>0</v>
      </c>
      <c r="C34" s="100"/>
      <c r="D34" s="66"/>
      <c r="E34" s="67"/>
      <c r="F34" s="66"/>
      <c r="G34" s="66"/>
      <c r="H34" s="102"/>
      <c r="I34" s="79"/>
      <c r="J34" s="81">
        <f t="shared" si="0"/>
        <v>0</v>
      </c>
      <c r="K34" s="80"/>
      <c r="L34" s="186">
        <f t="shared" si="9"/>
        <v>0</v>
      </c>
      <c r="M34" s="107"/>
      <c r="N34" s="104">
        <v>23</v>
      </c>
      <c r="O34" s="152" t="s">
        <v>69</v>
      </c>
      <c r="P34" s="153"/>
      <c r="Q34" s="153"/>
      <c r="R34" s="154"/>
      <c r="S34" s="155"/>
      <c r="T34" s="155"/>
      <c r="U34" s="189">
        <f t="shared" si="2"/>
        <v>0</v>
      </c>
      <c r="V34" s="189">
        <f t="shared" si="3"/>
        <v>0</v>
      </c>
      <c r="W34" s="189">
        <f t="shared" si="4"/>
        <v>0</v>
      </c>
      <c r="X34" s="189">
        <f t="shared" si="5"/>
        <v>0</v>
      </c>
      <c r="Y34" s="189">
        <f t="shared" si="6"/>
        <v>0</v>
      </c>
      <c r="Z34" s="189">
        <f t="shared" si="7"/>
        <v>0</v>
      </c>
      <c r="AA34" s="189">
        <f t="shared" si="8"/>
        <v>0</v>
      </c>
      <c r="AB34" s="156"/>
    </row>
    <row r="35" spans="1:28" ht="15.75" x14ac:dyDescent="0.25">
      <c r="A35" s="93" t="s">
        <v>97</v>
      </c>
      <c r="B35" s="97">
        <f>+B29+B31+B33</f>
        <v>0</v>
      </c>
      <c r="C35" s="95"/>
      <c r="D35" s="94"/>
      <c r="E35" s="96"/>
      <c r="F35" s="94"/>
      <c r="G35" s="94"/>
      <c r="H35" s="98"/>
      <c r="I35" s="99"/>
      <c r="J35" s="185">
        <f t="shared" si="0"/>
        <v>0</v>
      </c>
      <c r="K35" s="99"/>
      <c r="L35" s="187">
        <f t="shared" si="9"/>
        <v>0</v>
      </c>
      <c r="M35" s="107"/>
      <c r="N35" s="104">
        <v>24</v>
      </c>
      <c r="O35" s="152" t="s">
        <v>69</v>
      </c>
      <c r="P35" s="153"/>
      <c r="Q35" s="153"/>
      <c r="R35" s="165"/>
      <c r="S35" s="155"/>
      <c r="T35" s="155"/>
      <c r="U35" s="189">
        <f t="shared" si="2"/>
        <v>0</v>
      </c>
      <c r="V35" s="189">
        <f t="shared" si="3"/>
        <v>0</v>
      </c>
      <c r="W35" s="189">
        <f t="shared" si="4"/>
        <v>0</v>
      </c>
      <c r="X35" s="189">
        <f t="shared" si="5"/>
        <v>0</v>
      </c>
      <c r="Y35" s="189">
        <f t="shared" si="6"/>
        <v>0</v>
      </c>
      <c r="Z35" s="189">
        <f t="shared" si="7"/>
        <v>0</v>
      </c>
      <c r="AA35" s="189">
        <f t="shared" si="8"/>
        <v>0</v>
      </c>
      <c r="AB35" s="156"/>
    </row>
    <row r="36" spans="1:28" ht="15.75" x14ac:dyDescent="0.25">
      <c r="A36" s="93" t="s">
        <v>98</v>
      </c>
      <c r="B36" s="97">
        <f>+B30+B32+B34</f>
        <v>0</v>
      </c>
      <c r="C36" s="95"/>
      <c r="D36" s="94"/>
      <c r="E36" s="96"/>
      <c r="F36" s="94"/>
      <c r="G36" s="94"/>
      <c r="H36" s="98"/>
      <c r="I36" s="99"/>
      <c r="J36" s="185">
        <f t="shared" si="0"/>
        <v>0</v>
      </c>
      <c r="K36" s="99"/>
      <c r="L36" s="187">
        <f t="shared" si="9"/>
        <v>0</v>
      </c>
      <c r="M36" s="107"/>
      <c r="N36" s="104">
        <v>25</v>
      </c>
      <c r="O36" s="152" t="s">
        <v>69</v>
      </c>
      <c r="P36" s="158"/>
      <c r="Q36" s="158"/>
      <c r="R36" s="159"/>
      <c r="S36" s="160"/>
      <c r="T36" s="155"/>
      <c r="U36" s="189">
        <f t="shared" si="2"/>
        <v>0</v>
      </c>
      <c r="V36" s="189">
        <f t="shared" si="3"/>
        <v>0</v>
      </c>
      <c r="W36" s="189">
        <f t="shared" si="4"/>
        <v>0</v>
      </c>
      <c r="X36" s="189">
        <f t="shared" si="5"/>
        <v>0</v>
      </c>
      <c r="Y36" s="189">
        <f>R36-V36</f>
        <v>0</v>
      </c>
      <c r="Z36" s="189">
        <f t="shared" si="7"/>
        <v>0</v>
      </c>
      <c r="AA36" s="189">
        <f t="shared" si="8"/>
        <v>0</v>
      </c>
      <c r="AB36" s="156"/>
    </row>
    <row r="37" spans="1:28" ht="15.75" x14ac:dyDescent="0.25">
      <c r="A37" s="86" t="s">
        <v>99</v>
      </c>
      <c r="B37" s="89"/>
      <c r="C37" s="100"/>
      <c r="D37" s="66"/>
      <c r="E37" s="67"/>
      <c r="F37" s="66"/>
      <c r="G37" s="66"/>
      <c r="H37" s="102"/>
      <c r="I37" s="79"/>
      <c r="J37" s="81">
        <f t="shared" si="0"/>
        <v>0</v>
      </c>
      <c r="K37" s="80"/>
      <c r="L37" s="186">
        <f t="shared" si="9"/>
        <v>0</v>
      </c>
      <c r="M37" s="107"/>
      <c r="N37" s="104">
        <v>26</v>
      </c>
      <c r="O37" s="152" t="s">
        <v>69</v>
      </c>
      <c r="P37" s="158"/>
      <c r="Q37" s="158"/>
      <c r="R37" s="160"/>
      <c r="S37" s="160"/>
      <c r="T37" s="155"/>
      <c r="U37" s="189">
        <f t="shared" si="2"/>
        <v>0</v>
      </c>
      <c r="V37" s="189">
        <f t="shared" si="3"/>
        <v>0</v>
      </c>
      <c r="W37" s="189">
        <f t="shared" si="4"/>
        <v>0</v>
      </c>
      <c r="X37" s="189">
        <f t="shared" si="5"/>
        <v>0</v>
      </c>
      <c r="Y37" s="189">
        <f t="shared" si="6"/>
        <v>0</v>
      </c>
      <c r="Z37" s="189">
        <f t="shared" si="7"/>
        <v>0</v>
      </c>
      <c r="AA37" s="189">
        <f t="shared" si="8"/>
        <v>0</v>
      </c>
      <c r="AB37" s="163"/>
    </row>
    <row r="38" spans="1:28" ht="15.75" x14ac:dyDescent="0.25">
      <c r="A38" s="86" t="s">
        <v>100</v>
      </c>
      <c r="B38" s="57">
        <f>B37*B8</f>
        <v>0</v>
      </c>
      <c r="C38" s="100"/>
      <c r="D38" s="66"/>
      <c r="E38" s="67"/>
      <c r="F38" s="66"/>
      <c r="G38" s="66"/>
      <c r="H38" s="102"/>
      <c r="I38" s="79"/>
      <c r="J38" s="81">
        <f t="shared" si="0"/>
        <v>0</v>
      </c>
      <c r="K38" s="80"/>
      <c r="L38" s="186">
        <f t="shared" si="9"/>
        <v>0</v>
      </c>
      <c r="M38" s="107"/>
      <c r="N38" s="104">
        <v>27</v>
      </c>
      <c r="O38" s="152" t="s">
        <v>69</v>
      </c>
      <c r="P38" s="158"/>
      <c r="Q38" s="158"/>
      <c r="R38" s="160"/>
      <c r="S38" s="160"/>
      <c r="T38" s="155"/>
      <c r="U38" s="189">
        <f t="shared" si="2"/>
        <v>0</v>
      </c>
      <c r="V38" s="189">
        <f t="shared" si="3"/>
        <v>0</v>
      </c>
      <c r="W38" s="189">
        <f t="shared" si="4"/>
        <v>0</v>
      </c>
      <c r="X38" s="189">
        <f t="shared" si="5"/>
        <v>0</v>
      </c>
      <c r="Y38" s="189">
        <f t="shared" si="6"/>
        <v>0</v>
      </c>
      <c r="Z38" s="189">
        <f t="shared" si="7"/>
        <v>0</v>
      </c>
      <c r="AA38" s="189">
        <f t="shared" si="8"/>
        <v>0</v>
      </c>
      <c r="AB38" s="156"/>
    </row>
    <row r="39" spans="1:28" ht="15.75" x14ac:dyDescent="0.25">
      <c r="A39" s="86" t="s">
        <v>101</v>
      </c>
      <c r="B39" s="56"/>
      <c r="C39" s="100"/>
      <c r="D39" s="66"/>
      <c r="E39" s="67"/>
      <c r="F39" s="66"/>
      <c r="G39" s="66"/>
      <c r="H39" s="102"/>
      <c r="I39" s="79"/>
      <c r="J39" s="81">
        <f t="shared" si="0"/>
        <v>0</v>
      </c>
      <c r="K39" s="80"/>
      <c r="L39" s="186">
        <f t="shared" si="9"/>
        <v>0</v>
      </c>
      <c r="M39" s="107"/>
      <c r="N39" s="104">
        <v>28</v>
      </c>
      <c r="O39" s="152" t="s">
        <v>69</v>
      </c>
      <c r="P39" s="158"/>
      <c r="Q39" s="158"/>
      <c r="R39" s="160"/>
      <c r="S39" s="160"/>
      <c r="T39" s="155"/>
      <c r="U39" s="189">
        <f t="shared" si="2"/>
        <v>0</v>
      </c>
      <c r="V39" s="189">
        <f t="shared" si="3"/>
        <v>0</v>
      </c>
      <c r="W39" s="189">
        <f t="shared" si="4"/>
        <v>0</v>
      </c>
      <c r="X39" s="189">
        <f t="shared" si="5"/>
        <v>0</v>
      </c>
      <c r="Y39" s="189">
        <f t="shared" si="6"/>
        <v>0</v>
      </c>
      <c r="Z39" s="189">
        <f t="shared" si="7"/>
        <v>0</v>
      </c>
      <c r="AA39" s="189">
        <f t="shared" si="8"/>
        <v>0</v>
      </c>
      <c r="AB39" s="156"/>
    </row>
    <row r="40" spans="1:28" ht="15.75" x14ac:dyDescent="0.25">
      <c r="A40" s="86" t="s">
        <v>100</v>
      </c>
      <c r="B40" s="57">
        <f>B39*B9</f>
        <v>0</v>
      </c>
      <c r="C40" s="100"/>
      <c r="D40" s="66"/>
      <c r="E40" s="67"/>
      <c r="F40" s="66"/>
      <c r="G40" s="66"/>
      <c r="H40" s="102"/>
      <c r="I40" s="79"/>
      <c r="J40" s="81">
        <f t="shared" si="0"/>
        <v>0</v>
      </c>
      <c r="K40" s="80"/>
      <c r="L40" s="186">
        <f t="shared" si="9"/>
        <v>0</v>
      </c>
      <c r="M40" s="107"/>
      <c r="N40" s="104">
        <v>29</v>
      </c>
      <c r="O40" s="152" t="s">
        <v>69</v>
      </c>
      <c r="P40" s="158"/>
      <c r="Q40" s="158"/>
      <c r="R40" s="160"/>
      <c r="S40" s="160"/>
      <c r="T40" s="155"/>
      <c r="U40" s="189">
        <f t="shared" si="2"/>
        <v>0</v>
      </c>
      <c r="V40" s="189">
        <f t="shared" si="3"/>
        <v>0</v>
      </c>
      <c r="W40" s="189">
        <f t="shared" si="4"/>
        <v>0</v>
      </c>
      <c r="X40" s="189">
        <f t="shared" si="5"/>
        <v>0</v>
      </c>
      <c r="Y40" s="189">
        <f t="shared" si="6"/>
        <v>0</v>
      </c>
      <c r="Z40" s="189">
        <f t="shared" si="7"/>
        <v>0</v>
      </c>
      <c r="AA40" s="189">
        <f t="shared" si="8"/>
        <v>0</v>
      </c>
      <c r="AB40" s="156"/>
    </row>
    <row r="41" spans="1:28" ht="15.75" x14ac:dyDescent="0.25">
      <c r="A41" s="86" t="s">
        <v>102</v>
      </c>
      <c r="B41" s="56"/>
      <c r="C41" s="100"/>
      <c r="D41" s="66"/>
      <c r="E41" s="67"/>
      <c r="F41" s="66"/>
      <c r="G41" s="66"/>
      <c r="H41" s="102"/>
      <c r="I41" s="79"/>
      <c r="J41" s="81">
        <f t="shared" si="0"/>
        <v>0</v>
      </c>
      <c r="K41" s="80"/>
      <c r="L41" s="186">
        <f t="shared" si="9"/>
        <v>0</v>
      </c>
      <c r="M41" s="107"/>
      <c r="N41" s="104">
        <v>30</v>
      </c>
      <c r="O41" s="152" t="s">
        <v>69</v>
      </c>
      <c r="P41" s="158"/>
      <c r="Q41" s="158"/>
      <c r="R41" s="160"/>
      <c r="S41" s="160"/>
      <c r="T41" s="155"/>
      <c r="U41" s="189">
        <f t="shared" si="2"/>
        <v>0</v>
      </c>
      <c r="V41" s="189">
        <f t="shared" si="3"/>
        <v>0</v>
      </c>
      <c r="W41" s="189">
        <f t="shared" si="4"/>
        <v>0</v>
      </c>
      <c r="X41" s="189">
        <f t="shared" si="5"/>
        <v>0</v>
      </c>
      <c r="Y41" s="189">
        <f t="shared" si="6"/>
        <v>0</v>
      </c>
      <c r="Z41" s="189">
        <f t="shared" si="7"/>
        <v>0</v>
      </c>
      <c r="AA41" s="189">
        <f t="shared" si="8"/>
        <v>0</v>
      </c>
      <c r="AB41" s="156"/>
    </row>
    <row r="42" spans="1:28" ht="15.75" x14ac:dyDescent="0.25">
      <c r="A42" s="86" t="s">
        <v>100</v>
      </c>
      <c r="B42" s="57">
        <f>B41*B10</f>
        <v>0</v>
      </c>
      <c r="C42" s="100"/>
      <c r="D42" s="66"/>
      <c r="E42" s="67"/>
      <c r="F42" s="66"/>
      <c r="G42" s="66"/>
      <c r="H42" s="102"/>
      <c r="I42" s="79"/>
      <c r="J42" s="81">
        <f t="shared" si="0"/>
        <v>0</v>
      </c>
      <c r="K42" s="80"/>
      <c r="L42" s="186">
        <f t="shared" si="9"/>
        <v>0</v>
      </c>
      <c r="M42" s="107"/>
      <c r="N42" s="293" t="s">
        <v>107</v>
      </c>
      <c r="O42" s="294"/>
      <c r="P42" s="294"/>
      <c r="Q42" s="295"/>
      <c r="R42" s="190">
        <f t="shared" ref="R42:Y42" si="10">SUM(R12:R41)</f>
        <v>639.92999999999995</v>
      </c>
      <c r="S42" s="190">
        <f t="shared" si="10"/>
        <v>0</v>
      </c>
      <c r="T42" s="190">
        <f t="shared" si="10"/>
        <v>0</v>
      </c>
      <c r="U42" s="190">
        <f t="shared" si="10"/>
        <v>0</v>
      </c>
      <c r="V42" s="190">
        <f t="shared" si="10"/>
        <v>4.7994749999999993</v>
      </c>
      <c r="W42" s="190">
        <f t="shared" si="10"/>
        <v>0</v>
      </c>
      <c r="X42" s="190">
        <f t="shared" si="10"/>
        <v>0</v>
      </c>
      <c r="Y42" s="190">
        <f t="shared" si="10"/>
        <v>635.13052499999992</v>
      </c>
      <c r="Z42" s="190">
        <f t="shared" ref="Z42" si="11">SUM(Z12:Z41)</f>
        <v>0</v>
      </c>
      <c r="AA42" s="190">
        <f t="shared" ref="AA42" si="12">SUM(AA12:AA41)</f>
        <v>0</v>
      </c>
      <c r="AB42" s="166"/>
    </row>
    <row r="43" spans="1:28" ht="15.75" x14ac:dyDescent="0.25">
      <c r="A43" s="93" t="s">
        <v>103</v>
      </c>
      <c r="B43" s="97">
        <f>+B37+B39+B41</f>
        <v>0</v>
      </c>
      <c r="C43" s="95"/>
      <c r="D43" s="94"/>
      <c r="E43" s="96"/>
      <c r="F43" s="94"/>
      <c r="G43" s="94"/>
      <c r="H43" s="98"/>
      <c r="I43" s="99"/>
      <c r="J43" s="185">
        <f t="shared" si="0"/>
        <v>0</v>
      </c>
      <c r="K43" s="99"/>
      <c r="L43" s="187">
        <f t="shared" si="9"/>
        <v>0</v>
      </c>
      <c r="M43" s="107"/>
      <c r="N43" s="104">
        <v>1</v>
      </c>
      <c r="O43" s="167" t="s">
        <v>70</v>
      </c>
      <c r="P43" s="158"/>
      <c r="Q43" s="158"/>
      <c r="R43" s="160"/>
      <c r="S43" s="160"/>
      <c r="T43" s="155"/>
      <c r="U43" s="189">
        <f t="shared" ref="U43" si="13">((T43/U$10)*U$9)</f>
        <v>0</v>
      </c>
      <c r="V43" s="189">
        <f t="shared" ref="V43" si="14">R43*V$10</f>
        <v>0</v>
      </c>
      <c r="W43" s="189">
        <f t="shared" ref="W43" si="15">+S43*V$10</f>
        <v>0</v>
      </c>
      <c r="X43" s="189">
        <f t="shared" ref="X43" si="16">+T43*X$10</f>
        <v>0</v>
      </c>
      <c r="Y43" s="189">
        <f t="shared" ref="Y43" si="17">R43-V43</f>
        <v>0</v>
      </c>
      <c r="Z43" s="189">
        <f t="shared" ref="Z43" si="18">S43-W43</f>
        <v>0</v>
      </c>
      <c r="AA43" s="189">
        <f t="shared" ref="AA43" si="19">T43-U43-X43</f>
        <v>0</v>
      </c>
      <c r="AB43" s="156"/>
    </row>
    <row r="44" spans="1:28" ht="15.75" x14ac:dyDescent="0.25">
      <c r="A44" s="93" t="s">
        <v>104</v>
      </c>
      <c r="B44" s="97">
        <f>+B38+B40+B42</f>
        <v>0</v>
      </c>
      <c r="C44" s="95"/>
      <c r="D44" s="94"/>
      <c r="E44" s="96"/>
      <c r="F44" s="94"/>
      <c r="G44" s="94"/>
      <c r="H44" s="98"/>
      <c r="I44" s="99"/>
      <c r="J44" s="185">
        <f t="shared" si="0"/>
        <v>0</v>
      </c>
      <c r="K44" s="99"/>
      <c r="L44" s="187">
        <f t="shared" si="9"/>
        <v>0</v>
      </c>
      <c r="M44" s="107"/>
      <c r="N44" s="104">
        <v>2</v>
      </c>
      <c r="O44" s="167" t="s">
        <v>70</v>
      </c>
      <c r="P44" s="158"/>
      <c r="Q44" s="158"/>
      <c r="R44" s="160"/>
      <c r="S44" s="160"/>
      <c r="T44" s="155"/>
      <c r="U44" s="189">
        <f t="shared" ref="U44:U62" si="20">((T44/U$10)*U$9)</f>
        <v>0</v>
      </c>
      <c r="V44" s="189">
        <f t="shared" ref="V44:V62" si="21">R44*V$10</f>
        <v>0</v>
      </c>
      <c r="W44" s="189">
        <f t="shared" ref="W44:W62" si="22">+S44*V$10</f>
        <v>0</v>
      </c>
      <c r="X44" s="189">
        <f t="shared" ref="X44:X62" si="23">+T44*X$10</f>
        <v>0</v>
      </c>
      <c r="Y44" s="189">
        <f t="shared" ref="Y44:Y62" si="24">R44-V44</f>
        <v>0</v>
      </c>
      <c r="Z44" s="189">
        <f t="shared" ref="Z44:Z62" si="25">S44-W44</f>
        <v>0</v>
      </c>
      <c r="AA44" s="189">
        <f t="shared" ref="AA44:AA62" si="26">T44-U44-X44</f>
        <v>0</v>
      </c>
      <c r="AB44" s="156"/>
    </row>
    <row r="45" spans="1:28" ht="15.75" x14ac:dyDescent="0.25">
      <c r="A45" s="86" t="s">
        <v>105</v>
      </c>
      <c r="B45" s="56"/>
      <c r="C45" s="18"/>
      <c r="D45" s="56"/>
      <c r="E45" s="16"/>
      <c r="F45" s="56"/>
      <c r="G45" s="56"/>
      <c r="H45" s="17"/>
      <c r="I45" s="83"/>
      <c r="J45" s="81">
        <f t="shared" si="0"/>
        <v>0</v>
      </c>
      <c r="K45" s="80"/>
      <c r="L45" s="186">
        <f>+G45-K45</f>
        <v>0</v>
      </c>
      <c r="M45" s="107"/>
      <c r="N45" s="104">
        <v>3</v>
      </c>
      <c r="O45" s="167" t="s">
        <v>70</v>
      </c>
      <c r="P45" s="158"/>
      <c r="Q45" s="162"/>
      <c r="R45" s="160"/>
      <c r="S45" s="160"/>
      <c r="T45" s="155"/>
      <c r="U45" s="189">
        <f t="shared" si="20"/>
        <v>0</v>
      </c>
      <c r="V45" s="189">
        <f t="shared" si="21"/>
        <v>0</v>
      </c>
      <c r="W45" s="189">
        <f t="shared" si="22"/>
        <v>0</v>
      </c>
      <c r="X45" s="189">
        <f t="shared" si="23"/>
        <v>0</v>
      </c>
      <c r="Y45" s="189">
        <f t="shared" si="24"/>
        <v>0</v>
      </c>
      <c r="Z45" s="189">
        <f t="shared" si="25"/>
        <v>0</v>
      </c>
      <c r="AA45" s="189">
        <f t="shared" si="26"/>
        <v>0</v>
      </c>
      <c r="AB45" s="156"/>
    </row>
    <row r="46" spans="1:28" ht="15.75" x14ac:dyDescent="0.25">
      <c r="A46" s="115" t="s">
        <v>28</v>
      </c>
      <c r="B46" s="117">
        <f>R42</f>
        <v>639.92999999999995</v>
      </c>
      <c r="C46" s="116">
        <v>7.4999999999999997E-3</v>
      </c>
      <c r="D46" s="117">
        <f>B46*C46</f>
        <v>4.7994749999999993</v>
      </c>
      <c r="E46" s="172">
        <v>0</v>
      </c>
      <c r="F46" s="117">
        <f t="shared" ref="F46:F50" si="27">D46*E46</f>
        <v>0</v>
      </c>
      <c r="G46" s="117">
        <f t="shared" ref="G46:G51" si="28">B46-D46-F46</f>
        <v>635.13052499999992</v>
      </c>
      <c r="H46" s="173">
        <f>B$6+1</f>
        <v>44502</v>
      </c>
      <c r="I46" s="174"/>
      <c r="J46" s="81">
        <f t="shared" si="0"/>
        <v>639.92999999999995</v>
      </c>
      <c r="K46" s="80">
        <v>635.13</v>
      </c>
      <c r="L46" s="186">
        <f>K46-G46</f>
        <v>-5.2499999992505764E-4</v>
      </c>
      <c r="M46" s="107"/>
      <c r="N46" s="104">
        <v>4</v>
      </c>
      <c r="O46" s="167" t="s">
        <v>70</v>
      </c>
      <c r="P46" s="153"/>
      <c r="Q46" s="153"/>
      <c r="R46" s="155"/>
      <c r="S46" s="155"/>
      <c r="T46" s="155"/>
      <c r="U46" s="189">
        <f t="shared" si="20"/>
        <v>0</v>
      </c>
      <c r="V46" s="189">
        <f t="shared" si="21"/>
        <v>0</v>
      </c>
      <c r="W46" s="189">
        <f t="shared" si="22"/>
        <v>0</v>
      </c>
      <c r="X46" s="189">
        <f t="shared" si="23"/>
        <v>0</v>
      </c>
      <c r="Y46" s="189">
        <f t="shared" si="24"/>
        <v>0</v>
      </c>
      <c r="Z46" s="189">
        <f t="shared" si="25"/>
        <v>0</v>
      </c>
      <c r="AA46" s="189">
        <f t="shared" si="26"/>
        <v>0</v>
      </c>
      <c r="AB46" s="156"/>
    </row>
    <row r="47" spans="1:28" ht="15.75" x14ac:dyDescent="0.25">
      <c r="A47" s="115" t="s">
        <v>1</v>
      </c>
      <c r="B47" s="117">
        <f>R63</f>
        <v>0</v>
      </c>
      <c r="C47" s="116">
        <v>7.4999999999999997E-3</v>
      </c>
      <c r="D47" s="117">
        <f t="shared" ref="D47:D50" si="29">B47*C47</f>
        <v>0</v>
      </c>
      <c r="E47" s="172">
        <v>0</v>
      </c>
      <c r="F47" s="117">
        <f t="shared" si="27"/>
        <v>0</v>
      </c>
      <c r="G47" s="117">
        <f t="shared" si="28"/>
        <v>0</v>
      </c>
      <c r="H47" s="173">
        <f>B$6+1</f>
        <v>44502</v>
      </c>
      <c r="I47" s="175"/>
      <c r="J47" s="81">
        <f t="shared" si="0"/>
        <v>0</v>
      </c>
      <c r="K47" s="80"/>
      <c r="L47" s="186">
        <f t="shared" ref="L47:L64" si="30">+G47-K47</f>
        <v>0</v>
      </c>
      <c r="M47" s="107"/>
      <c r="N47" s="104">
        <v>5</v>
      </c>
      <c r="O47" s="167" t="s">
        <v>70</v>
      </c>
      <c r="P47" s="153"/>
      <c r="Q47" s="153"/>
      <c r="R47" s="155"/>
      <c r="S47" s="155"/>
      <c r="T47" s="155"/>
      <c r="U47" s="189">
        <f t="shared" si="20"/>
        <v>0</v>
      </c>
      <c r="V47" s="189">
        <f t="shared" si="21"/>
        <v>0</v>
      </c>
      <c r="W47" s="189">
        <f t="shared" si="22"/>
        <v>0</v>
      </c>
      <c r="X47" s="189">
        <f t="shared" si="23"/>
        <v>0</v>
      </c>
      <c r="Y47" s="189">
        <f t="shared" si="24"/>
        <v>0</v>
      </c>
      <c r="Z47" s="189">
        <f t="shared" si="25"/>
        <v>0</v>
      </c>
      <c r="AA47" s="189">
        <f t="shared" si="26"/>
        <v>0</v>
      </c>
      <c r="AB47" s="156"/>
    </row>
    <row r="48" spans="1:28" ht="15.75" x14ac:dyDescent="0.25">
      <c r="A48" s="115" t="s">
        <v>10</v>
      </c>
      <c r="B48" s="117">
        <f>R69</f>
        <v>16.55</v>
      </c>
      <c r="C48" s="116">
        <v>7.4999999999999997E-3</v>
      </c>
      <c r="D48" s="117">
        <f t="shared" si="29"/>
        <v>0.124125</v>
      </c>
      <c r="E48" s="172">
        <v>0</v>
      </c>
      <c r="F48" s="117">
        <f t="shared" si="27"/>
        <v>0</v>
      </c>
      <c r="G48" s="117">
        <f t="shared" si="28"/>
        <v>16.425875000000001</v>
      </c>
      <c r="H48" s="173">
        <f t="shared" ref="H48:H61" si="31">B$6+1</f>
        <v>44502</v>
      </c>
      <c r="I48" s="176">
        <v>16.55</v>
      </c>
      <c r="J48" s="81">
        <f t="shared" si="0"/>
        <v>0</v>
      </c>
      <c r="K48" s="80"/>
      <c r="L48" s="186">
        <f t="shared" si="30"/>
        <v>16.425875000000001</v>
      </c>
      <c r="M48" s="107"/>
      <c r="N48" s="104">
        <v>6</v>
      </c>
      <c r="O48" s="167" t="s">
        <v>70</v>
      </c>
      <c r="P48" s="153"/>
      <c r="Q48" s="153"/>
      <c r="R48" s="155"/>
      <c r="S48" s="155"/>
      <c r="T48" s="155"/>
      <c r="U48" s="189">
        <f t="shared" si="20"/>
        <v>0</v>
      </c>
      <c r="V48" s="189">
        <f t="shared" si="21"/>
        <v>0</v>
      </c>
      <c r="W48" s="189">
        <f t="shared" si="22"/>
        <v>0</v>
      </c>
      <c r="X48" s="189">
        <f t="shared" si="23"/>
        <v>0</v>
      </c>
      <c r="Y48" s="189">
        <f t="shared" si="24"/>
        <v>0</v>
      </c>
      <c r="Z48" s="189">
        <f t="shared" si="25"/>
        <v>0</v>
      </c>
      <c r="AA48" s="189">
        <f t="shared" si="26"/>
        <v>0</v>
      </c>
      <c r="AB48" s="156"/>
    </row>
    <row r="49" spans="1:28" ht="15.75" x14ac:dyDescent="0.25">
      <c r="A49" s="115" t="s">
        <v>170</v>
      </c>
      <c r="B49" s="117">
        <f>R75</f>
        <v>2438.41</v>
      </c>
      <c r="C49" s="116">
        <v>7.4999999999999997E-3</v>
      </c>
      <c r="D49" s="117">
        <f t="shared" si="29"/>
        <v>18.288074999999999</v>
      </c>
      <c r="E49" s="172">
        <v>0</v>
      </c>
      <c r="F49" s="117">
        <f t="shared" si="27"/>
        <v>0</v>
      </c>
      <c r="G49" s="117">
        <f t="shared" si="28"/>
        <v>2420.1219249999999</v>
      </c>
      <c r="H49" s="173">
        <f t="shared" si="31"/>
        <v>44502</v>
      </c>
      <c r="I49" s="176"/>
      <c r="J49" s="81">
        <f t="shared" si="0"/>
        <v>2438.41</v>
      </c>
      <c r="K49" s="80"/>
      <c r="L49" s="186">
        <f t="shared" si="30"/>
        <v>2420.1219249999999</v>
      </c>
      <c r="M49" s="107"/>
      <c r="N49" s="104">
        <v>7</v>
      </c>
      <c r="O49" s="167" t="s">
        <v>70</v>
      </c>
      <c r="P49" s="153"/>
      <c r="Q49" s="153"/>
      <c r="R49" s="155"/>
      <c r="S49" s="155"/>
      <c r="T49" s="155"/>
      <c r="U49" s="189">
        <f t="shared" si="20"/>
        <v>0</v>
      </c>
      <c r="V49" s="189">
        <f t="shared" si="21"/>
        <v>0</v>
      </c>
      <c r="W49" s="189">
        <f t="shared" si="22"/>
        <v>0</v>
      </c>
      <c r="X49" s="189">
        <f t="shared" si="23"/>
        <v>0</v>
      </c>
      <c r="Y49" s="189">
        <f t="shared" si="24"/>
        <v>0</v>
      </c>
      <c r="Z49" s="189">
        <f t="shared" si="25"/>
        <v>0</v>
      </c>
      <c r="AA49" s="189">
        <f t="shared" si="26"/>
        <v>0</v>
      </c>
      <c r="AB49" s="156"/>
    </row>
    <row r="50" spans="1:28" ht="15.75" x14ac:dyDescent="0.25">
      <c r="A50" s="115" t="s">
        <v>62</v>
      </c>
      <c r="B50" s="171">
        <f>P98+Q98</f>
        <v>189.32000000000002</v>
      </c>
      <c r="C50" s="116">
        <v>7.4999999999999997E-3</v>
      </c>
      <c r="D50" s="117">
        <f t="shared" si="29"/>
        <v>1.4199000000000002</v>
      </c>
      <c r="E50" s="172">
        <v>0</v>
      </c>
      <c r="F50" s="117">
        <f t="shared" si="27"/>
        <v>0</v>
      </c>
      <c r="G50" s="117">
        <f t="shared" si="28"/>
        <v>187.90010000000001</v>
      </c>
      <c r="H50" s="173">
        <f t="shared" si="31"/>
        <v>44502</v>
      </c>
      <c r="I50" s="175"/>
      <c r="J50" s="81">
        <f t="shared" si="0"/>
        <v>189.32000000000002</v>
      </c>
      <c r="K50" s="80">
        <v>187.9</v>
      </c>
      <c r="L50" s="186">
        <f t="shared" si="30"/>
        <v>1.0000000000331966E-4</v>
      </c>
      <c r="M50" s="107"/>
      <c r="N50" s="104">
        <v>8</v>
      </c>
      <c r="O50" s="167" t="s">
        <v>70</v>
      </c>
      <c r="P50" s="153"/>
      <c r="Q50" s="153"/>
      <c r="R50" s="155"/>
      <c r="S50" s="155"/>
      <c r="T50" s="155"/>
      <c r="U50" s="189">
        <f t="shared" si="20"/>
        <v>0</v>
      </c>
      <c r="V50" s="189">
        <f t="shared" si="21"/>
        <v>0</v>
      </c>
      <c r="W50" s="189">
        <f t="shared" si="22"/>
        <v>0</v>
      </c>
      <c r="X50" s="189">
        <f t="shared" si="23"/>
        <v>0</v>
      </c>
      <c r="Y50" s="189">
        <f t="shared" si="24"/>
        <v>0</v>
      </c>
      <c r="Z50" s="189">
        <f t="shared" si="25"/>
        <v>0</v>
      </c>
      <c r="AA50" s="189">
        <f t="shared" si="26"/>
        <v>0</v>
      </c>
      <c r="AB50" s="156"/>
    </row>
    <row r="51" spans="1:28" ht="15.75" x14ac:dyDescent="0.25">
      <c r="A51" s="115" t="s">
        <v>68</v>
      </c>
      <c r="B51" s="117">
        <f>U98+V98</f>
        <v>394.77</v>
      </c>
      <c r="C51" s="116">
        <v>1.4999999999999999E-2</v>
      </c>
      <c r="D51" s="117">
        <f>+B51*C51</f>
        <v>5.9215499999999999</v>
      </c>
      <c r="E51" s="172">
        <v>0</v>
      </c>
      <c r="F51" s="117">
        <f>D51*E51</f>
        <v>0</v>
      </c>
      <c r="G51" s="117">
        <f t="shared" si="28"/>
        <v>388.84844999999996</v>
      </c>
      <c r="H51" s="173">
        <f t="shared" si="31"/>
        <v>44502</v>
      </c>
      <c r="I51" s="175"/>
      <c r="J51" s="81">
        <f t="shared" si="0"/>
        <v>394.77</v>
      </c>
      <c r="K51" s="80">
        <v>388.95</v>
      </c>
      <c r="L51" s="186">
        <f t="shared" si="30"/>
        <v>-0.10155000000003156</v>
      </c>
      <c r="M51" s="107"/>
      <c r="N51" s="104">
        <v>9</v>
      </c>
      <c r="O51" s="167" t="s">
        <v>70</v>
      </c>
      <c r="P51" s="153"/>
      <c r="Q51" s="153"/>
      <c r="R51" s="155"/>
      <c r="S51" s="155"/>
      <c r="T51" s="155"/>
      <c r="U51" s="189">
        <f t="shared" si="20"/>
        <v>0</v>
      </c>
      <c r="V51" s="189">
        <f t="shared" si="21"/>
        <v>0</v>
      </c>
      <c r="W51" s="189">
        <f t="shared" si="22"/>
        <v>0</v>
      </c>
      <c r="X51" s="189">
        <f t="shared" si="23"/>
        <v>0</v>
      </c>
      <c r="Y51" s="189">
        <f t="shared" si="24"/>
        <v>0</v>
      </c>
      <c r="Z51" s="189">
        <f t="shared" si="25"/>
        <v>0</v>
      </c>
      <c r="AA51" s="189">
        <f t="shared" si="26"/>
        <v>0</v>
      </c>
      <c r="AB51" s="156"/>
    </row>
    <row r="52" spans="1:28" ht="15.75" x14ac:dyDescent="0.25">
      <c r="A52" s="115" t="s">
        <v>119</v>
      </c>
      <c r="B52" s="117">
        <f>T42</f>
        <v>0</v>
      </c>
      <c r="C52" s="116">
        <v>2.5000000000000001E-2</v>
      </c>
      <c r="D52" s="117">
        <f>B52*C52</f>
        <v>0</v>
      </c>
      <c r="E52" s="172">
        <v>0.05</v>
      </c>
      <c r="F52" s="117">
        <f>(B52/E$10)*E52</f>
        <v>0</v>
      </c>
      <c r="G52" s="117">
        <f>B52-D52-F52</f>
        <v>0</v>
      </c>
      <c r="H52" s="188">
        <f t="shared" si="31"/>
        <v>44502</v>
      </c>
      <c r="I52" s="176"/>
      <c r="J52" s="81">
        <f t="shared" si="0"/>
        <v>0</v>
      </c>
      <c r="K52" s="80"/>
      <c r="L52" s="186">
        <f>K52-G52</f>
        <v>0</v>
      </c>
      <c r="M52" s="107"/>
      <c r="N52" s="104">
        <v>10</v>
      </c>
      <c r="O52" s="167" t="s">
        <v>70</v>
      </c>
      <c r="P52" s="168"/>
      <c r="Q52" s="71"/>
      <c r="R52" s="160"/>
      <c r="S52" s="155"/>
      <c r="T52" s="155"/>
      <c r="U52" s="189">
        <f t="shared" si="20"/>
        <v>0</v>
      </c>
      <c r="V52" s="189">
        <f t="shared" si="21"/>
        <v>0</v>
      </c>
      <c r="W52" s="189">
        <f t="shared" si="22"/>
        <v>0</v>
      </c>
      <c r="X52" s="189">
        <f t="shared" si="23"/>
        <v>0</v>
      </c>
      <c r="Y52" s="189">
        <f t="shared" si="24"/>
        <v>0</v>
      </c>
      <c r="Z52" s="189">
        <f t="shared" si="25"/>
        <v>0</v>
      </c>
      <c r="AA52" s="189">
        <f t="shared" si="26"/>
        <v>0</v>
      </c>
      <c r="AB52" s="156"/>
    </row>
    <row r="53" spans="1:28" ht="15.75" x14ac:dyDescent="0.25">
      <c r="A53" s="115" t="s">
        <v>2</v>
      </c>
      <c r="B53" s="117">
        <f>T63</f>
        <v>0</v>
      </c>
      <c r="C53" s="116">
        <v>2.5000000000000001E-2</v>
      </c>
      <c r="D53" s="117">
        <f t="shared" ref="D53:D56" si="32">B53*C53</f>
        <v>0</v>
      </c>
      <c r="E53" s="172">
        <v>0.05</v>
      </c>
      <c r="F53" s="117">
        <f t="shared" ref="F53:F56" si="33">(B53/E$10)*E53</f>
        <v>0</v>
      </c>
      <c r="G53" s="117">
        <f t="shared" ref="G53:G58" si="34">B53-D53-F53</f>
        <v>0</v>
      </c>
      <c r="H53" s="188">
        <f t="shared" si="31"/>
        <v>44502</v>
      </c>
      <c r="I53" s="176"/>
      <c r="J53" s="81">
        <f t="shared" si="0"/>
        <v>0</v>
      </c>
      <c r="K53" s="80"/>
      <c r="L53" s="186">
        <f t="shared" si="30"/>
        <v>0</v>
      </c>
      <c r="M53" s="107"/>
      <c r="N53" s="104">
        <v>11</v>
      </c>
      <c r="O53" s="167" t="s">
        <v>70</v>
      </c>
      <c r="P53" s="153"/>
      <c r="Q53" s="153"/>
      <c r="R53" s="155"/>
      <c r="S53" s="155"/>
      <c r="T53" s="155"/>
      <c r="U53" s="189">
        <f t="shared" si="20"/>
        <v>0</v>
      </c>
      <c r="V53" s="189">
        <f t="shared" si="21"/>
        <v>0</v>
      </c>
      <c r="W53" s="189">
        <f t="shared" si="22"/>
        <v>0</v>
      </c>
      <c r="X53" s="189">
        <f t="shared" si="23"/>
        <v>0</v>
      </c>
      <c r="Y53" s="189">
        <f t="shared" si="24"/>
        <v>0</v>
      </c>
      <c r="Z53" s="189">
        <f t="shared" si="25"/>
        <v>0</v>
      </c>
      <c r="AA53" s="189">
        <f t="shared" si="26"/>
        <v>0</v>
      </c>
      <c r="AB53" s="156"/>
    </row>
    <row r="54" spans="1:28" ht="15.75" x14ac:dyDescent="0.25">
      <c r="A54" s="115" t="s">
        <v>11</v>
      </c>
      <c r="B54" s="117">
        <f>T69</f>
        <v>0</v>
      </c>
      <c r="C54" s="116">
        <v>2.5000000000000001E-2</v>
      </c>
      <c r="D54" s="117">
        <f t="shared" si="32"/>
        <v>0</v>
      </c>
      <c r="E54" s="172">
        <v>0.05</v>
      </c>
      <c r="F54" s="117">
        <f t="shared" si="33"/>
        <v>0</v>
      </c>
      <c r="G54" s="117">
        <f t="shared" si="34"/>
        <v>0</v>
      </c>
      <c r="H54" s="173">
        <f t="shared" si="31"/>
        <v>44502</v>
      </c>
      <c r="I54" s="176"/>
      <c r="J54" s="81">
        <f t="shared" si="0"/>
        <v>0</v>
      </c>
      <c r="K54" s="80"/>
      <c r="L54" s="186">
        <f t="shared" si="30"/>
        <v>0</v>
      </c>
      <c r="M54" s="107"/>
      <c r="N54" s="104">
        <v>12</v>
      </c>
      <c r="O54" s="167" t="s">
        <v>70</v>
      </c>
      <c r="P54" s="153"/>
      <c r="Q54" s="153"/>
      <c r="R54" s="155"/>
      <c r="S54" s="155"/>
      <c r="T54" s="155"/>
      <c r="U54" s="189">
        <f t="shared" si="20"/>
        <v>0</v>
      </c>
      <c r="V54" s="189">
        <f t="shared" si="21"/>
        <v>0</v>
      </c>
      <c r="W54" s="189">
        <f t="shared" si="22"/>
        <v>0</v>
      </c>
      <c r="X54" s="189">
        <f t="shared" si="23"/>
        <v>0</v>
      </c>
      <c r="Y54" s="189">
        <f t="shared" si="24"/>
        <v>0</v>
      </c>
      <c r="Z54" s="189">
        <f t="shared" si="25"/>
        <v>0</v>
      </c>
      <c r="AA54" s="189">
        <f t="shared" si="26"/>
        <v>0</v>
      </c>
      <c r="AB54" s="156"/>
    </row>
    <row r="55" spans="1:28" ht="15.75" x14ac:dyDescent="0.25">
      <c r="A55" s="115" t="s">
        <v>52</v>
      </c>
      <c r="B55" s="117">
        <f>Z98</f>
        <v>0</v>
      </c>
      <c r="C55" s="116">
        <v>2.5000000000000001E-2</v>
      </c>
      <c r="D55" s="117">
        <f t="shared" si="32"/>
        <v>0</v>
      </c>
      <c r="E55" s="172">
        <v>0.05</v>
      </c>
      <c r="F55" s="117">
        <f t="shared" si="33"/>
        <v>0</v>
      </c>
      <c r="G55" s="117">
        <f t="shared" si="34"/>
        <v>0</v>
      </c>
      <c r="H55" s="173">
        <f t="shared" si="31"/>
        <v>44502</v>
      </c>
      <c r="I55" s="176"/>
      <c r="J55" s="81">
        <f t="shared" si="0"/>
        <v>0</v>
      </c>
      <c r="K55" s="80"/>
      <c r="L55" s="186">
        <f t="shared" si="30"/>
        <v>0</v>
      </c>
      <c r="M55" s="107"/>
      <c r="N55" s="104">
        <v>13</v>
      </c>
      <c r="O55" s="167" t="s">
        <v>70</v>
      </c>
      <c r="P55" s="153"/>
      <c r="Q55" s="153"/>
      <c r="R55" s="155"/>
      <c r="S55" s="155"/>
      <c r="T55" s="155"/>
      <c r="U55" s="189">
        <f t="shared" si="20"/>
        <v>0</v>
      </c>
      <c r="V55" s="189">
        <f t="shared" si="21"/>
        <v>0</v>
      </c>
      <c r="W55" s="189">
        <f t="shared" si="22"/>
        <v>0</v>
      </c>
      <c r="X55" s="189">
        <f t="shared" si="23"/>
        <v>0</v>
      </c>
      <c r="Y55" s="189">
        <f t="shared" si="24"/>
        <v>0</v>
      </c>
      <c r="Z55" s="189">
        <f t="shared" si="25"/>
        <v>0</v>
      </c>
      <c r="AA55" s="189">
        <f t="shared" si="26"/>
        <v>0</v>
      </c>
      <c r="AB55" s="156"/>
    </row>
    <row r="56" spans="1:28" ht="15.75" x14ac:dyDescent="0.25">
      <c r="A56" s="115" t="s">
        <v>178</v>
      </c>
      <c r="B56" s="117">
        <f>T75</f>
        <v>0</v>
      </c>
      <c r="C56" s="116">
        <v>2.5000000000000001E-2</v>
      </c>
      <c r="D56" s="117">
        <f t="shared" si="32"/>
        <v>0</v>
      </c>
      <c r="E56" s="172">
        <v>0.05</v>
      </c>
      <c r="F56" s="117">
        <f t="shared" si="33"/>
        <v>0</v>
      </c>
      <c r="G56" s="117">
        <f t="shared" si="34"/>
        <v>0</v>
      </c>
      <c r="H56" s="173">
        <f t="shared" si="31"/>
        <v>44502</v>
      </c>
      <c r="I56" s="176"/>
      <c r="J56" s="81">
        <f t="shared" si="0"/>
        <v>0</v>
      </c>
      <c r="K56" s="80"/>
      <c r="L56" s="186">
        <f t="shared" si="30"/>
        <v>0</v>
      </c>
      <c r="M56" s="107"/>
      <c r="N56" s="104">
        <v>14</v>
      </c>
      <c r="O56" s="167" t="s">
        <v>70</v>
      </c>
      <c r="P56" s="153"/>
      <c r="Q56" s="153"/>
      <c r="R56" s="155"/>
      <c r="S56" s="155"/>
      <c r="T56" s="155"/>
      <c r="U56" s="189">
        <f t="shared" si="20"/>
        <v>0</v>
      </c>
      <c r="V56" s="189">
        <f t="shared" si="21"/>
        <v>0</v>
      </c>
      <c r="W56" s="189">
        <f t="shared" si="22"/>
        <v>0</v>
      </c>
      <c r="X56" s="189">
        <f t="shared" si="23"/>
        <v>0</v>
      </c>
      <c r="Y56" s="189">
        <f t="shared" si="24"/>
        <v>0</v>
      </c>
      <c r="Z56" s="189">
        <f t="shared" si="25"/>
        <v>0</v>
      </c>
      <c r="AA56" s="189">
        <f t="shared" si="26"/>
        <v>0</v>
      </c>
      <c r="AB56" s="156"/>
    </row>
    <row r="57" spans="1:28" ht="15.75" x14ac:dyDescent="0.25">
      <c r="A57" s="115" t="s">
        <v>117</v>
      </c>
      <c r="B57" s="117">
        <f>S42</f>
        <v>0</v>
      </c>
      <c r="C57" s="116">
        <v>5.3E-3</v>
      </c>
      <c r="D57" s="117">
        <f>C57*B57</f>
        <v>0</v>
      </c>
      <c r="E57" s="172">
        <v>0</v>
      </c>
      <c r="F57" s="117">
        <f>D57*E57</f>
        <v>0</v>
      </c>
      <c r="G57" s="117">
        <f t="shared" si="34"/>
        <v>0</v>
      </c>
      <c r="H57" s="173">
        <f>B6+3</f>
        <v>44504</v>
      </c>
      <c r="I57" s="175"/>
      <c r="J57" s="81">
        <f t="shared" si="0"/>
        <v>0</v>
      </c>
      <c r="K57" s="80"/>
      <c r="L57" s="186">
        <f t="shared" si="30"/>
        <v>0</v>
      </c>
      <c r="M57" s="107"/>
      <c r="N57" s="104">
        <v>15</v>
      </c>
      <c r="O57" s="167" t="s">
        <v>70</v>
      </c>
      <c r="P57" s="153"/>
      <c r="Q57" s="153"/>
      <c r="R57" s="155"/>
      <c r="S57" s="155"/>
      <c r="T57" s="155"/>
      <c r="U57" s="189">
        <f t="shared" si="20"/>
        <v>0</v>
      </c>
      <c r="V57" s="189">
        <f t="shared" si="21"/>
        <v>0</v>
      </c>
      <c r="W57" s="189">
        <f t="shared" si="22"/>
        <v>0</v>
      </c>
      <c r="X57" s="189">
        <f t="shared" si="23"/>
        <v>0</v>
      </c>
      <c r="Y57" s="189">
        <f t="shared" si="24"/>
        <v>0</v>
      </c>
      <c r="Z57" s="189">
        <f t="shared" si="25"/>
        <v>0</v>
      </c>
      <c r="AA57" s="189">
        <f t="shared" si="26"/>
        <v>0</v>
      </c>
      <c r="AB57" s="156"/>
    </row>
    <row r="58" spans="1:28" ht="15.75" x14ac:dyDescent="0.25">
      <c r="A58" s="115" t="s">
        <v>59</v>
      </c>
      <c r="B58" s="117">
        <f>S63</f>
        <v>0</v>
      </c>
      <c r="C58" s="116">
        <v>7.4999999999999997E-3</v>
      </c>
      <c r="D58" s="117">
        <f>B58*C58</f>
        <v>0</v>
      </c>
      <c r="E58" s="172">
        <v>0</v>
      </c>
      <c r="F58" s="117">
        <f>D58*E58</f>
        <v>0</v>
      </c>
      <c r="G58" s="117">
        <f t="shared" si="34"/>
        <v>0</v>
      </c>
      <c r="H58" s="173">
        <f>B$6+5</f>
        <v>44506</v>
      </c>
      <c r="I58" s="175"/>
      <c r="J58" s="81">
        <f t="shared" si="0"/>
        <v>0</v>
      </c>
      <c r="K58" s="80"/>
      <c r="L58" s="186">
        <f t="shared" si="30"/>
        <v>0</v>
      </c>
      <c r="M58" s="107"/>
      <c r="N58" s="104">
        <v>16</v>
      </c>
      <c r="O58" s="167" t="s">
        <v>70</v>
      </c>
      <c r="P58" s="153"/>
      <c r="Q58" s="153"/>
      <c r="R58" s="155"/>
      <c r="S58" s="155"/>
      <c r="T58" s="155"/>
      <c r="U58" s="189">
        <f t="shared" si="20"/>
        <v>0</v>
      </c>
      <c r="V58" s="189">
        <f t="shared" si="21"/>
        <v>0</v>
      </c>
      <c r="W58" s="189">
        <f t="shared" si="22"/>
        <v>0</v>
      </c>
      <c r="X58" s="189">
        <f t="shared" si="23"/>
        <v>0</v>
      </c>
      <c r="Y58" s="189">
        <f t="shared" si="24"/>
        <v>0</v>
      </c>
      <c r="Z58" s="189">
        <f t="shared" si="25"/>
        <v>0</v>
      </c>
      <c r="AA58" s="189">
        <f t="shared" si="26"/>
        <v>0</v>
      </c>
      <c r="AB58" s="156"/>
    </row>
    <row r="59" spans="1:28" ht="15.75" x14ac:dyDescent="0.25">
      <c r="A59" s="86" t="s">
        <v>6</v>
      </c>
      <c r="B59" s="56"/>
      <c r="C59" s="18"/>
      <c r="D59" s="57"/>
      <c r="E59" s="177"/>
      <c r="F59" s="57"/>
      <c r="G59" s="57">
        <f>B59-D59-F59</f>
        <v>0</v>
      </c>
      <c r="H59" s="173"/>
      <c r="I59" s="175"/>
      <c r="J59" s="81">
        <f>B59-I59</f>
        <v>0</v>
      </c>
      <c r="K59" s="80"/>
      <c r="L59" s="186">
        <f t="shared" si="30"/>
        <v>0</v>
      </c>
      <c r="M59" s="107"/>
      <c r="N59" s="104">
        <v>17</v>
      </c>
      <c r="O59" s="167" t="s">
        <v>70</v>
      </c>
      <c r="P59" s="153"/>
      <c r="Q59" s="153"/>
      <c r="R59" s="155"/>
      <c r="S59" s="155"/>
      <c r="T59" s="155"/>
      <c r="U59" s="189">
        <f t="shared" si="20"/>
        <v>0</v>
      </c>
      <c r="V59" s="189">
        <f t="shared" si="21"/>
        <v>0</v>
      </c>
      <c r="W59" s="189">
        <f t="shared" si="22"/>
        <v>0</v>
      </c>
      <c r="X59" s="189">
        <f t="shared" si="23"/>
        <v>0</v>
      </c>
      <c r="Y59" s="189">
        <f t="shared" si="24"/>
        <v>0</v>
      </c>
      <c r="Z59" s="189">
        <f t="shared" si="25"/>
        <v>0</v>
      </c>
      <c r="AA59" s="189">
        <f t="shared" si="26"/>
        <v>0</v>
      </c>
      <c r="AB59" s="156"/>
    </row>
    <row r="60" spans="1:28" ht="15.75" x14ac:dyDescent="0.25">
      <c r="A60" s="86" t="s">
        <v>61</v>
      </c>
      <c r="B60" s="56"/>
      <c r="C60" s="18"/>
      <c r="D60" s="57">
        <f>C60*B60</f>
        <v>0</v>
      </c>
      <c r="E60" s="177"/>
      <c r="F60" s="57">
        <f>D60*E60</f>
        <v>0</v>
      </c>
      <c r="G60" s="57">
        <f t="shared" ref="G60" si="35">B60-D60-F60</f>
        <v>0</v>
      </c>
      <c r="H60" s="173">
        <f>B6+30</f>
        <v>44531</v>
      </c>
      <c r="I60" s="175"/>
      <c r="J60" s="81">
        <f t="shared" si="0"/>
        <v>0</v>
      </c>
      <c r="K60" s="80"/>
      <c r="L60" s="186">
        <f t="shared" si="30"/>
        <v>0</v>
      </c>
      <c r="M60" s="107"/>
      <c r="N60" s="104">
        <v>18</v>
      </c>
      <c r="O60" s="167" t="s">
        <v>70</v>
      </c>
      <c r="P60" s="153"/>
      <c r="Q60" s="153"/>
      <c r="R60" s="155"/>
      <c r="S60" s="155"/>
      <c r="T60" s="155"/>
      <c r="U60" s="189">
        <f t="shared" si="20"/>
        <v>0</v>
      </c>
      <c r="V60" s="189">
        <f t="shared" si="21"/>
        <v>0</v>
      </c>
      <c r="W60" s="189">
        <f t="shared" si="22"/>
        <v>0</v>
      </c>
      <c r="X60" s="189">
        <f t="shared" si="23"/>
        <v>0</v>
      </c>
      <c r="Y60" s="189">
        <f t="shared" si="24"/>
        <v>0</v>
      </c>
      <c r="Z60" s="189">
        <f t="shared" si="25"/>
        <v>0</v>
      </c>
      <c r="AA60" s="189">
        <f t="shared" si="26"/>
        <v>0</v>
      </c>
      <c r="AB60" s="156"/>
    </row>
    <row r="61" spans="1:28" ht="15.75" x14ac:dyDescent="0.25">
      <c r="A61" s="86" t="s">
        <v>9</v>
      </c>
      <c r="B61" s="56"/>
      <c r="C61" s="18"/>
      <c r="D61" s="57">
        <f>SUM(D46:D58)</f>
        <v>30.553124999999998</v>
      </c>
      <c r="E61" s="177"/>
      <c r="F61" s="57">
        <f>SUM(F46:F58)</f>
        <v>0</v>
      </c>
      <c r="G61" s="57">
        <f>SUM(G46:G58)</f>
        <v>3648.4268749999997</v>
      </c>
      <c r="H61" s="173">
        <f t="shared" si="31"/>
        <v>44502</v>
      </c>
      <c r="I61" s="175"/>
      <c r="J61" s="81">
        <f t="shared" si="0"/>
        <v>0</v>
      </c>
      <c r="K61" s="80"/>
      <c r="L61" s="186">
        <f t="shared" si="30"/>
        <v>3648.4268749999997</v>
      </c>
      <c r="M61" s="107"/>
      <c r="N61" s="104">
        <v>19</v>
      </c>
      <c r="O61" s="167" t="s">
        <v>70</v>
      </c>
      <c r="P61" s="87"/>
      <c r="Q61" s="87"/>
      <c r="R61" s="87"/>
      <c r="S61" s="87"/>
      <c r="T61" s="87"/>
      <c r="U61" s="189">
        <f t="shared" si="20"/>
        <v>0</v>
      </c>
      <c r="V61" s="189">
        <f t="shared" si="21"/>
        <v>0</v>
      </c>
      <c r="W61" s="189">
        <f t="shared" si="22"/>
        <v>0</v>
      </c>
      <c r="X61" s="189">
        <f t="shared" si="23"/>
        <v>0</v>
      </c>
      <c r="Y61" s="189">
        <f t="shared" si="24"/>
        <v>0</v>
      </c>
      <c r="Z61" s="189">
        <f t="shared" si="25"/>
        <v>0</v>
      </c>
      <c r="AA61" s="189">
        <f t="shared" si="26"/>
        <v>0</v>
      </c>
      <c r="AB61" s="156"/>
    </row>
    <row r="62" spans="1:28" ht="15.75" x14ac:dyDescent="0.25">
      <c r="A62" s="65" t="s">
        <v>60</v>
      </c>
      <c r="B62" s="56"/>
      <c r="C62" s="18"/>
      <c r="D62" s="101"/>
      <c r="E62" s="178"/>
      <c r="F62" s="101"/>
      <c r="G62" s="57"/>
      <c r="H62" s="173">
        <f>B$6+1</f>
        <v>44502</v>
      </c>
      <c r="I62" s="176"/>
      <c r="J62" s="81">
        <f t="shared" si="0"/>
        <v>0</v>
      </c>
      <c r="K62" s="80"/>
      <c r="L62" s="186">
        <f t="shared" si="30"/>
        <v>0</v>
      </c>
      <c r="M62" s="107"/>
      <c r="N62" s="104">
        <v>20</v>
      </c>
      <c r="O62" s="167" t="s">
        <v>70</v>
      </c>
      <c r="P62" s="87"/>
      <c r="Q62" s="87"/>
      <c r="R62" s="87"/>
      <c r="S62" s="87"/>
      <c r="T62" s="87"/>
      <c r="U62" s="189">
        <f t="shared" si="20"/>
        <v>0</v>
      </c>
      <c r="V62" s="189">
        <f t="shared" si="21"/>
        <v>0</v>
      </c>
      <c r="W62" s="189">
        <f t="shared" si="22"/>
        <v>0</v>
      </c>
      <c r="X62" s="189">
        <f t="shared" si="23"/>
        <v>0</v>
      </c>
      <c r="Y62" s="189">
        <f t="shared" si="24"/>
        <v>0</v>
      </c>
      <c r="Z62" s="189">
        <f t="shared" si="25"/>
        <v>0</v>
      </c>
      <c r="AA62" s="189">
        <f t="shared" si="26"/>
        <v>0</v>
      </c>
      <c r="AB62" s="156"/>
    </row>
    <row r="63" spans="1:28" ht="15.75" x14ac:dyDescent="0.25">
      <c r="A63" s="143" t="s">
        <v>145</v>
      </c>
      <c r="B63" s="144"/>
      <c r="C63" s="145"/>
      <c r="D63" s="179"/>
      <c r="E63" s="180"/>
      <c r="F63" s="179"/>
      <c r="G63" s="146"/>
      <c r="H63" s="181"/>
      <c r="I63" s="176"/>
      <c r="J63" s="81"/>
      <c r="K63" s="80"/>
      <c r="L63" s="186"/>
      <c r="M63" s="107"/>
      <c r="N63" s="282" t="s">
        <v>109</v>
      </c>
      <c r="O63" s="282"/>
      <c r="P63" s="282"/>
      <c r="Q63" s="282"/>
      <c r="R63" s="191">
        <f>SUM(R43:R62)</f>
        <v>0</v>
      </c>
      <c r="S63" s="191">
        <f>SUM(S43:S62)</f>
        <v>0</v>
      </c>
      <c r="T63" s="191">
        <f>SUM(T43:T62)</f>
        <v>0</v>
      </c>
      <c r="U63" s="191">
        <f t="shared" ref="U63:W63" si="36">SUM(U43:U62)</f>
        <v>0</v>
      </c>
      <c r="V63" s="191">
        <f t="shared" si="36"/>
        <v>0</v>
      </c>
      <c r="W63" s="191">
        <f t="shared" si="36"/>
        <v>0</v>
      </c>
      <c r="X63" s="191">
        <f t="shared" ref="X63" si="37">SUM(X43:X62)</f>
        <v>0</v>
      </c>
      <c r="Y63" s="191">
        <f>SUM(Y43:Y62)</f>
        <v>0</v>
      </c>
      <c r="Z63" s="191">
        <f t="shared" ref="Z63:AA63" si="38">SUM(Z43:Z62)</f>
        <v>0</v>
      </c>
      <c r="AA63" s="191">
        <f t="shared" si="38"/>
        <v>0</v>
      </c>
      <c r="AB63" s="103"/>
    </row>
    <row r="64" spans="1:28" ht="16.5" thickBot="1" x14ac:dyDescent="0.3">
      <c r="A64" s="19" t="s">
        <v>5</v>
      </c>
      <c r="B64" s="61"/>
      <c r="C64" s="20"/>
      <c r="D64" s="182"/>
      <c r="E64" s="183"/>
      <c r="F64" s="182"/>
      <c r="G64" s="58">
        <f>SUM(G46:G61)</f>
        <v>7296.8537499999993</v>
      </c>
      <c r="H64" s="184"/>
      <c r="I64" s="175"/>
      <c r="J64" s="81">
        <f t="shared" si="0"/>
        <v>0</v>
      </c>
      <c r="K64" s="80"/>
      <c r="L64" s="186">
        <f t="shared" si="30"/>
        <v>7296.8537499999993</v>
      </c>
      <c r="M64" s="130"/>
      <c r="N64" s="87">
        <v>1</v>
      </c>
      <c r="O64" s="122" t="s">
        <v>172</v>
      </c>
      <c r="P64" s="87"/>
      <c r="Q64" s="87"/>
      <c r="R64" s="87">
        <v>16.55</v>
      </c>
      <c r="S64" s="87"/>
      <c r="T64" s="87"/>
      <c r="U64" s="189">
        <f t="shared" ref="U64" si="39">((T64/U$10)*U$9)</f>
        <v>0</v>
      </c>
      <c r="V64" s="189">
        <f t="shared" ref="V64" si="40">R64*V$10</f>
        <v>0.124125</v>
      </c>
      <c r="W64" s="189">
        <f t="shared" ref="W64" si="41">+S64*V$10</f>
        <v>0</v>
      </c>
      <c r="X64" s="189">
        <f t="shared" ref="X64" si="42">+T64*X$10</f>
        <v>0</v>
      </c>
      <c r="Y64" s="189">
        <f t="shared" ref="Y64" si="43">R64-V64</f>
        <v>16.425875000000001</v>
      </c>
      <c r="Z64" s="189">
        <f t="shared" ref="Z64" si="44">S64-W64</f>
        <v>0</v>
      </c>
      <c r="AA64" s="189">
        <f t="shared" ref="AA64" si="45">T64-U64-X64</f>
        <v>0</v>
      </c>
      <c r="AB64" s="87"/>
    </row>
    <row r="65" spans="1:30" ht="15.75" x14ac:dyDescent="0.25">
      <c r="A65" s="21" t="s">
        <v>18</v>
      </c>
      <c r="B65" s="169">
        <f>+B12+B20+B28+B36+B44+B45+B46+B47+B48+B49+B50+B51+B52+B53+B54+B55+B56+B57+B58+B59+B60-B62-B63</f>
        <v>7363.3899999999994</v>
      </c>
      <c r="G65" s="22"/>
      <c r="L65" s="132"/>
      <c r="M65" s="131"/>
      <c r="N65" s="87">
        <v>2</v>
      </c>
      <c r="O65" s="122"/>
      <c r="P65" s="87"/>
      <c r="Q65" s="87"/>
      <c r="R65" s="87"/>
      <c r="S65" s="87"/>
      <c r="T65" s="87"/>
      <c r="U65" s="189">
        <f t="shared" ref="U65:U68" si="46">((T65/U$10)*U$9)</f>
        <v>0</v>
      </c>
      <c r="V65" s="189">
        <f t="shared" ref="V65:V68" si="47">R65*V$10</f>
        <v>0</v>
      </c>
      <c r="W65" s="189">
        <f t="shared" ref="W65:W68" si="48">+S65*V$10</f>
        <v>0</v>
      </c>
      <c r="X65" s="189">
        <f t="shared" ref="X65:X68" si="49">+T65*X$10</f>
        <v>0</v>
      </c>
      <c r="Y65" s="189">
        <f t="shared" ref="Y65:Y68" si="50">R65-V65</f>
        <v>0</v>
      </c>
      <c r="Z65" s="189">
        <f t="shared" ref="Z65:Z68" si="51">S65-W65</f>
        <v>0</v>
      </c>
      <c r="AA65" s="189">
        <f t="shared" ref="AA65:AA68" si="52">T65-U65-X65</f>
        <v>0</v>
      </c>
      <c r="AB65" s="87"/>
    </row>
    <row r="66" spans="1:30" ht="15" customHeight="1" x14ac:dyDescent="0.25">
      <c r="D66" s="68"/>
      <c r="E66" s="69"/>
      <c r="L66" s="88"/>
      <c r="N66" s="87">
        <v>3</v>
      </c>
      <c r="O66" s="122"/>
      <c r="P66" s="87"/>
      <c r="Q66" s="87"/>
      <c r="R66" s="87"/>
      <c r="S66" s="87"/>
      <c r="T66" s="87"/>
      <c r="U66" s="189">
        <f t="shared" si="46"/>
        <v>0</v>
      </c>
      <c r="V66" s="189">
        <f t="shared" si="47"/>
        <v>0</v>
      </c>
      <c r="W66" s="189">
        <f t="shared" si="48"/>
        <v>0</v>
      </c>
      <c r="X66" s="189">
        <f t="shared" si="49"/>
        <v>0</v>
      </c>
      <c r="Y66" s="189">
        <f t="shared" si="50"/>
        <v>0</v>
      </c>
      <c r="Z66" s="189">
        <f t="shared" si="51"/>
        <v>0</v>
      </c>
      <c r="AA66" s="189">
        <f t="shared" si="52"/>
        <v>0</v>
      </c>
      <c r="AB66" s="87"/>
    </row>
    <row r="67" spans="1:30" ht="15.75" x14ac:dyDescent="0.25">
      <c r="A67" s="299" t="s">
        <v>20</v>
      </c>
      <c r="B67" s="300"/>
      <c r="F67" s="301" t="s">
        <v>136</v>
      </c>
      <c r="G67" s="301"/>
      <c r="H67" s="301"/>
      <c r="I67" s="302" t="s">
        <v>138</v>
      </c>
      <c r="J67" s="303"/>
      <c r="K67" s="138"/>
      <c r="N67" s="87">
        <v>4</v>
      </c>
      <c r="O67" s="122"/>
      <c r="P67" s="87"/>
      <c r="Q67" s="87"/>
      <c r="R67" s="87"/>
      <c r="S67" s="87"/>
      <c r="T67" s="87"/>
      <c r="U67" s="189">
        <f t="shared" si="46"/>
        <v>0</v>
      </c>
      <c r="V67" s="189">
        <f t="shared" si="47"/>
        <v>0</v>
      </c>
      <c r="W67" s="189">
        <f t="shared" si="48"/>
        <v>0</v>
      </c>
      <c r="X67" s="189">
        <f t="shared" si="49"/>
        <v>0</v>
      </c>
      <c r="Y67" s="189">
        <f t="shared" si="50"/>
        <v>0</v>
      </c>
      <c r="Z67" s="189">
        <f t="shared" si="51"/>
        <v>0</v>
      </c>
      <c r="AA67" s="189">
        <f t="shared" si="52"/>
        <v>0</v>
      </c>
      <c r="AB67" s="87"/>
    </row>
    <row r="68" spans="1:30" ht="15.75" x14ac:dyDescent="0.25">
      <c r="A68" s="23" t="s">
        <v>19</v>
      </c>
      <c r="B68" s="77">
        <v>7359.68</v>
      </c>
      <c r="C68" s="59"/>
      <c r="D68" s="59"/>
      <c r="F68" s="53" t="s">
        <v>135</v>
      </c>
      <c r="G68" s="53" t="s">
        <v>53</v>
      </c>
      <c r="H68" s="53" t="s">
        <v>134</v>
      </c>
      <c r="I68" s="53" t="s">
        <v>53</v>
      </c>
      <c r="J68" s="53" t="s">
        <v>134</v>
      </c>
      <c r="N68" s="87">
        <v>5</v>
      </c>
      <c r="O68" s="122"/>
      <c r="P68" s="87"/>
      <c r="Q68" s="87"/>
      <c r="R68" s="87"/>
      <c r="S68" s="87"/>
      <c r="T68" s="87"/>
      <c r="U68" s="189">
        <f t="shared" si="46"/>
        <v>0</v>
      </c>
      <c r="V68" s="189">
        <f t="shared" si="47"/>
        <v>0</v>
      </c>
      <c r="W68" s="189">
        <f t="shared" si="48"/>
        <v>0</v>
      </c>
      <c r="X68" s="189">
        <f t="shared" si="49"/>
        <v>0</v>
      </c>
      <c r="Y68" s="189">
        <f t="shared" si="50"/>
        <v>0</v>
      </c>
      <c r="Z68" s="189">
        <f t="shared" si="51"/>
        <v>0</v>
      </c>
      <c r="AA68" s="189">
        <f t="shared" si="52"/>
        <v>0</v>
      </c>
      <c r="AB68" s="87"/>
    </row>
    <row r="69" spans="1:30" ht="16.5" thickBot="1" x14ac:dyDescent="0.3">
      <c r="A69" s="24" t="s">
        <v>5</v>
      </c>
      <c r="B69" s="62">
        <v>7359.68</v>
      </c>
      <c r="C69" s="59"/>
      <c r="F69" s="87" t="s">
        <v>129</v>
      </c>
      <c r="G69" s="22"/>
      <c r="H69" s="89">
        <f>+G52</f>
        <v>0</v>
      </c>
      <c r="I69" s="136"/>
      <c r="J69" s="136">
        <f>K52</f>
        <v>0</v>
      </c>
      <c r="N69" s="282" t="s">
        <v>110</v>
      </c>
      <c r="O69" s="282"/>
      <c r="P69" s="283"/>
      <c r="Q69" s="283"/>
      <c r="R69" s="192">
        <f>SUM(R64:R68)</f>
        <v>16.55</v>
      </c>
      <c r="S69" s="123"/>
      <c r="T69" s="192">
        <f>SUM(T64:T68)</f>
        <v>0</v>
      </c>
      <c r="U69" s="192">
        <f>SUM(U64:U68)</f>
        <v>0</v>
      </c>
      <c r="V69" s="192">
        <f t="shared" ref="V69:AA69" si="53">SUM(V64:V68)</f>
        <v>0.124125</v>
      </c>
      <c r="W69" s="192">
        <f t="shared" si="53"/>
        <v>0</v>
      </c>
      <c r="X69" s="192">
        <f t="shared" si="53"/>
        <v>0</v>
      </c>
      <c r="Y69" s="192">
        <f t="shared" si="53"/>
        <v>16.425875000000001</v>
      </c>
      <c r="Z69" s="192">
        <f t="shared" si="53"/>
        <v>0</v>
      </c>
      <c r="AA69" s="193">
        <f t="shared" si="53"/>
        <v>0</v>
      </c>
      <c r="AB69" s="103"/>
    </row>
    <row r="70" spans="1:30" ht="26.25" customHeight="1" thickBot="1" x14ac:dyDescent="0.3">
      <c r="A70" s="25" t="s">
        <v>58</v>
      </c>
      <c r="B70" s="170">
        <f>B68-B67</f>
        <v>7359.68</v>
      </c>
      <c r="C70" s="59"/>
      <c r="F70" s="87" t="s">
        <v>130</v>
      </c>
      <c r="G70" s="137"/>
      <c r="H70" s="87"/>
      <c r="I70" s="53" t="s">
        <v>137</v>
      </c>
      <c r="J70" s="53" t="s">
        <v>139</v>
      </c>
      <c r="N70" s="87">
        <v>1</v>
      </c>
      <c r="O70" s="122" t="s">
        <v>211</v>
      </c>
      <c r="P70" s="87">
        <v>444</v>
      </c>
      <c r="Q70" s="87">
        <v>2002</v>
      </c>
      <c r="R70" s="239">
        <v>432.02</v>
      </c>
      <c r="S70" s="87"/>
      <c r="T70" s="87"/>
      <c r="U70" s="189">
        <f t="shared" ref="U70:U74" si="54">((T70/U$10)*U$9)</f>
        <v>0</v>
      </c>
      <c r="V70" s="189">
        <f t="shared" ref="V70:V74" si="55">R70*V$10</f>
        <v>3.2401499999999999</v>
      </c>
      <c r="W70" s="189">
        <f t="shared" ref="W70:W74" si="56">+S70*V$10</f>
        <v>0</v>
      </c>
      <c r="X70" s="189">
        <f t="shared" ref="X70:X74" si="57">+T70*X$10</f>
        <v>0</v>
      </c>
      <c r="Y70" s="189">
        <f t="shared" ref="Y70:Y74" si="58">R70-V70</f>
        <v>428.77985000000001</v>
      </c>
      <c r="Z70" s="189">
        <f t="shared" ref="Z70:Z74" si="59">S70-W70</f>
        <v>0</v>
      </c>
      <c r="AA70" s="189">
        <f t="shared" ref="AA70:AA74" si="60">T70-U70-X70</f>
        <v>0</v>
      </c>
      <c r="AB70" s="87"/>
    </row>
    <row r="71" spans="1:30" ht="28.5" customHeight="1" thickBot="1" x14ac:dyDescent="0.3">
      <c r="A71" s="25" t="s">
        <v>57</v>
      </c>
      <c r="B71" s="70">
        <f>(B65-B69)-B72</f>
        <v>3.7099999999991269</v>
      </c>
      <c r="C71" s="64"/>
      <c r="F71" s="87" t="s">
        <v>131</v>
      </c>
      <c r="G71" s="137"/>
      <c r="H71" s="87"/>
      <c r="I71" s="81">
        <f>+I69-G69-G70-G71-G72-G73</f>
        <v>0</v>
      </c>
      <c r="J71" s="81">
        <f>+J69-H69-H70-H71-H72-H73</f>
        <v>0</v>
      </c>
      <c r="N71" s="87">
        <v>2</v>
      </c>
      <c r="O71" s="122" t="s">
        <v>211</v>
      </c>
      <c r="P71" s="87">
        <v>350</v>
      </c>
      <c r="Q71" s="87">
        <v>2003</v>
      </c>
      <c r="R71" s="137">
        <v>893.22</v>
      </c>
      <c r="S71" s="87"/>
      <c r="T71" s="87"/>
      <c r="U71" s="189">
        <f t="shared" si="54"/>
        <v>0</v>
      </c>
      <c r="V71" s="189">
        <f t="shared" si="55"/>
        <v>6.6991500000000004</v>
      </c>
      <c r="W71" s="189">
        <f t="shared" si="56"/>
        <v>0</v>
      </c>
      <c r="X71" s="189">
        <f t="shared" si="57"/>
        <v>0</v>
      </c>
      <c r="Y71" s="189">
        <f t="shared" si="58"/>
        <v>886.52085</v>
      </c>
      <c r="Z71" s="189">
        <f t="shared" si="59"/>
        <v>0</v>
      </c>
      <c r="AA71" s="189">
        <f t="shared" si="60"/>
        <v>0</v>
      </c>
      <c r="AB71" s="87"/>
    </row>
    <row r="72" spans="1:30" ht="18.75" customHeight="1" x14ac:dyDescent="0.25">
      <c r="A72" s="73"/>
      <c r="B72" s="74"/>
      <c r="F72" s="87" t="s">
        <v>132</v>
      </c>
      <c r="G72" s="137"/>
      <c r="H72" s="87"/>
      <c r="N72" s="87">
        <v>3</v>
      </c>
      <c r="O72" s="122" t="s">
        <v>211</v>
      </c>
      <c r="P72" s="87"/>
      <c r="Q72" s="87"/>
      <c r="R72" s="137"/>
      <c r="S72" s="87"/>
      <c r="T72" s="87"/>
      <c r="U72" s="189">
        <f t="shared" si="54"/>
        <v>0</v>
      </c>
      <c r="V72" s="189">
        <f t="shared" si="55"/>
        <v>0</v>
      </c>
      <c r="W72" s="189">
        <f t="shared" si="56"/>
        <v>0</v>
      </c>
      <c r="X72" s="189">
        <f t="shared" si="57"/>
        <v>0</v>
      </c>
      <c r="Y72" s="189">
        <f t="shared" si="58"/>
        <v>0</v>
      </c>
      <c r="Z72" s="189">
        <f t="shared" si="59"/>
        <v>0</v>
      </c>
      <c r="AA72" s="189">
        <f t="shared" si="60"/>
        <v>0</v>
      </c>
      <c r="AB72" s="87"/>
    </row>
    <row r="73" spans="1:30" ht="15.75" x14ac:dyDescent="0.25">
      <c r="F73" s="87" t="s">
        <v>133</v>
      </c>
      <c r="G73" s="137"/>
      <c r="H73" s="87"/>
      <c r="N73" s="87">
        <v>4</v>
      </c>
      <c r="O73" s="122" t="s">
        <v>212</v>
      </c>
      <c r="P73" s="87">
        <v>367</v>
      </c>
      <c r="Q73" s="87">
        <v>2002</v>
      </c>
      <c r="R73" s="137">
        <v>604.4</v>
      </c>
      <c r="S73" s="87"/>
      <c r="T73" s="87"/>
      <c r="U73" s="189">
        <f t="shared" si="54"/>
        <v>0</v>
      </c>
      <c r="V73" s="189">
        <f t="shared" si="55"/>
        <v>4.5329999999999995</v>
      </c>
      <c r="W73" s="189">
        <f t="shared" si="56"/>
        <v>0</v>
      </c>
      <c r="X73" s="189">
        <f t="shared" si="57"/>
        <v>0</v>
      </c>
      <c r="Y73" s="189">
        <f t="shared" si="58"/>
        <v>599.86699999999996</v>
      </c>
      <c r="Z73" s="189">
        <f t="shared" si="59"/>
        <v>0</v>
      </c>
      <c r="AA73" s="189">
        <f t="shared" si="60"/>
        <v>0</v>
      </c>
      <c r="AB73" s="87"/>
    </row>
    <row r="74" spans="1:30" ht="15.75" x14ac:dyDescent="0.25">
      <c r="F74" s="87" t="s">
        <v>43</v>
      </c>
      <c r="G74" s="89">
        <f>+G69+G70+G71+G72+G73</f>
        <v>0</v>
      </c>
      <c r="H74" s="89">
        <f t="shared" ref="H74" si="61">+H69+H70+H71+H72+H73</f>
        <v>0</v>
      </c>
      <c r="N74" s="87">
        <v>5</v>
      </c>
      <c r="O74" s="122" t="s">
        <v>212</v>
      </c>
      <c r="P74" s="87">
        <v>368</v>
      </c>
      <c r="Q74" s="87">
        <v>2002</v>
      </c>
      <c r="R74" s="137">
        <v>508.77</v>
      </c>
      <c r="S74" s="87"/>
      <c r="T74" s="87"/>
      <c r="U74" s="189">
        <f t="shared" si="54"/>
        <v>0</v>
      </c>
      <c r="V74" s="189">
        <f t="shared" si="55"/>
        <v>3.8157749999999999</v>
      </c>
      <c r="W74" s="189">
        <f t="shared" si="56"/>
        <v>0</v>
      </c>
      <c r="X74" s="189">
        <f t="shared" si="57"/>
        <v>0</v>
      </c>
      <c r="Y74" s="189">
        <f t="shared" si="58"/>
        <v>504.95422500000001</v>
      </c>
      <c r="Z74" s="189">
        <f t="shared" si="59"/>
        <v>0</v>
      </c>
      <c r="AA74" s="189">
        <f t="shared" si="60"/>
        <v>0</v>
      </c>
      <c r="AB74" s="87"/>
    </row>
    <row r="75" spans="1:30" ht="15.75" x14ac:dyDescent="0.25">
      <c r="N75" s="282" t="s">
        <v>128</v>
      </c>
      <c r="O75" s="282"/>
      <c r="P75" s="283"/>
      <c r="Q75" s="283"/>
      <c r="R75" s="192">
        <f>SUM(R70:R74)</f>
        <v>2438.41</v>
      </c>
      <c r="S75" s="192"/>
      <c r="T75" s="192">
        <f>SUM(T70:T74)</f>
        <v>0</v>
      </c>
      <c r="U75" s="192">
        <f>SUM(U70:U74)</f>
        <v>0</v>
      </c>
      <c r="V75" s="192">
        <f t="shared" ref="V75" si="62">SUM(V70:V74)</f>
        <v>18.288074999999999</v>
      </c>
      <c r="W75" s="192">
        <f t="shared" ref="W75" si="63">SUM(W70:W74)</f>
        <v>0</v>
      </c>
      <c r="X75" s="192">
        <f t="shared" ref="X75" si="64">SUM(X70:X74)</f>
        <v>0</v>
      </c>
      <c r="Y75" s="192">
        <f t="shared" ref="Y75" si="65">SUM(Y70:Y74)</f>
        <v>2420.1219249999999</v>
      </c>
      <c r="Z75" s="192">
        <f t="shared" ref="Z75" si="66">SUM(Z70:Z74)</f>
        <v>0</v>
      </c>
      <c r="AA75" s="193">
        <f t="shared" ref="AA75" si="67">SUM(AA70:AA74)</f>
        <v>0</v>
      </c>
      <c r="AB75" s="103"/>
    </row>
    <row r="76" spans="1:30" ht="15.75" x14ac:dyDescent="0.25">
      <c r="N76" s="284" t="s">
        <v>73</v>
      </c>
      <c r="O76" s="286" t="s">
        <v>67</v>
      </c>
      <c r="P76" s="282" t="s">
        <v>62</v>
      </c>
      <c r="Q76" s="282"/>
      <c r="R76" s="282"/>
      <c r="S76" s="282"/>
      <c r="T76" s="282"/>
      <c r="U76" s="288" t="s">
        <v>68</v>
      </c>
      <c r="V76" s="289"/>
      <c r="W76" s="289"/>
      <c r="X76" s="289"/>
      <c r="Y76" s="290"/>
      <c r="Z76" s="279" t="s">
        <v>54</v>
      </c>
      <c r="AA76" s="279" t="s">
        <v>64</v>
      </c>
      <c r="AB76" s="279" t="s">
        <v>124</v>
      </c>
      <c r="AC76" s="280" t="s">
        <v>127</v>
      </c>
      <c r="AD76" s="281" t="s">
        <v>65</v>
      </c>
    </row>
    <row r="77" spans="1:30" ht="60" x14ac:dyDescent="0.25">
      <c r="F77" s="291" t="s">
        <v>140</v>
      </c>
      <c r="G77" s="292"/>
      <c r="H77" s="141" t="s">
        <v>142</v>
      </c>
      <c r="N77" s="285"/>
      <c r="O77" s="287"/>
      <c r="P77" s="124" t="s">
        <v>75</v>
      </c>
      <c r="Q77" s="124" t="s">
        <v>72</v>
      </c>
      <c r="R77" s="125" t="s">
        <v>115</v>
      </c>
      <c r="S77" s="125" t="s">
        <v>116</v>
      </c>
      <c r="T77" s="125" t="s">
        <v>74</v>
      </c>
      <c r="U77" s="126" t="s">
        <v>113</v>
      </c>
      <c r="V77" s="126" t="s">
        <v>114</v>
      </c>
      <c r="W77" s="127" t="s">
        <v>115</v>
      </c>
      <c r="X77" s="128" t="s">
        <v>116</v>
      </c>
      <c r="Y77" s="129" t="s">
        <v>74</v>
      </c>
      <c r="Z77" s="279"/>
      <c r="AA77" s="279"/>
      <c r="AB77" s="279"/>
      <c r="AC77" s="280" t="s">
        <v>127</v>
      </c>
      <c r="AD77" s="281"/>
    </row>
    <row r="78" spans="1:30" ht="15.75" x14ac:dyDescent="0.25">
      <c r="F78" s="53" t="s">
        <v>135</v>
      </c>
      <c r="G78" s="53" t="s">
        <v>53</v>
      </c>
      <c r="H78" s="53" t="s">
        <v>53</v>
      </c>
      <c r="N78" s="87">
        <v>1</v>
      </c>
      <c r="O78" s="87" t="s">
        <v>112</v>
      </c>
      <c r="P78" s="137">
        <v>1.7</v>
      </c>
      <c r="Q78" s="137"/>
      <c r="R78" s="82">
        <v>7.4999999999999997E-3</v>
      </c>
      <c r="S78" s="216">
        <f>+(P78+Q78)*R78</f>
        <v>1.2749999999999999E-2</v>
      </c>
      <c r="T78" s="240">
        <f>+(P78+Q78)-S78</f>
        <v>1.6872499999999999</v>
      </c>
      <c r="U78" s="112">
        <v>81.209999999999994</v>
      </c>
      <c r="V78" s="112"/>
      <c r="W78" s="113">
        <v>1.4999999999999999E-2</v>
      </c>
      <c r="X78" s="196">
        <f>+(U78+V78)*W78</f>
        <v>1.2181499999999998</v>
      </c>
      <c r="Y78" s="213">
        <f>+(U78+V78)-X78</f>
        <v>79.991849999999999</v>
      </c>
      <c r="Z78" s="87"/>
      <c r="AA78" s="189">
        <f t="shared" ref="AA78:AA97" si="68">((Z78/U$10)*U$9)</f>
        <v>0</v>
      </c>
      <c r="AB78" s="189">
        <f>+Z78*X$10</f>
        <v>0</v>
      </c>
      <c r="AC78" s="189">
        <f>Z78-AA78-AB78</f>
        <v>0</v>
      </c>
      <c r="AD78" s="87"/>
    </row>
    <row r="79" spans="1:30" ht="15.75" x14ac:dyDescent="0.25">
      <c r="F79" s="87" t="s">
        <v>129</v>
      </c>
      <c r="G79" s="22"/>
      <c r="H79" s="136">
        <f>K50</f>
        <v>187.9</v>
      </c>
      <c r="N79" s="87">
        <v>2</v>
      </c>
      <c r="O79" s="87" t="s">
        <v>112</v>
      </c>
      <c r="P79" s="137">
        <v>84.95</v>
      </c>
      <c r="Q79" s="137">
        <v>17.12</v>
      </c>
      <c r="R79" s="82">
        <v>7.4999999999999997E-3</v>
      </c>
      <c r="S79" s="194">
        <f t="shared" ref="S79:S97" si="69">+(P79+Q79)*R79</f>
        <v>0.76552500000000001</v>
      </c>
      <c r="T79" s="213">
        <f t="shared" ref="T79:T97" si="70">+(P79+Q79)-S79</f>
        <v>101.30447500000001</v>
      </c>
      <c r="U79" s="211">
        <v>80.64</v>
      </c>
      <c r="V79" s="112"/>
      <c r="W79" s="113">
        <v>1.4999999999999999E-2</v>
      </c>
      <c r="X79" s="196">
        <f t="shared" ref="X79:X97" si="71">+(U79+V79)*W79</f>
        <v>1.2096</v>
      </c>
      <c r="Y79" s="213">
        <f t="shared" ref="Y79:Y97" si="72">+(U79+V79)-X79</f>
        <v>79.430400000000006</v>
      </c>
      <c r="Z79" s="87"/>
      <c r="AA79" s="189">
        <f t="shared" si="68"/>
        <v>0</v>
      </c>
      <c r="AB79" s="189">
        <f t="shared" ref="AB79:AB97" si="73">+Z79*X$10</f>
        <v>0</v>
      </c>
      <c r="AC79" s="189">
        <f t="shared" ref="AC79:AC97" si="74">Z79-AA79-AB79</f>
        <v>0</v>
      </c>
      <c r="AD79" s="87"/>
    </row>
    <row r="80" spans="1:30" ht="30" x14ac:dyDescent="0.25">
      <c r="F80" s="87" t="s">
        <v>130</v>
      </c>
      <c r="G80" s="137"/>
      <c r="H80" s="142" t="s">
        <v>141</v>
      </c>
      <c r="N80" s="87">
        <v>3</v>
      </c>
      <c r="O80" s="87" t="s">
        <v>112</v>
      </c>
      <c r="P80" s="137">
        <v>47.62</v>
      </c>
      <c r="Q80" s="137">
        <v>22.59</v>
      </c>
      <c r="R80" s="82">
        <v>7.4999999999999997E-3</v>
      </c>
      <c r="S80" s="216">
        <f t="shared" si="69"/>
        <v>0.5265749999999999</v>
      </c>
      <c r="T80" s="213">
        <f t="shared" si="70"/>
        <v>69.683425</v>
      </c>
      <c r="U80" s="211">
        <v>130.13999999999999</v>
      </c>
      <c r="V80" s="112"/>
      <c r="W80" s="113">
        <v>1.4999999999999999E-2</v>
      </c>
      <c r="X80" s="196">
        <f t="shared" si="71"/>
        <v>1.9520999999999997</v>
      </c>
      <c r="Y80" s="238">
        <f t="shared" si="72"/>
        <v>128.18789999999998</v>
      </c>
      <c r="Z80" s="87"/>
      <c r="AA80" s="189">
        <f t="shared" si="68"/>
        <v>0</v>
      </c>
      <c r="AB80" s="189">
        <f t="shared" si="73"/>
        <v>0</v>
      </c>
      <c r="AC80" s="189">
        <f t="shared" si="74"/>
        <v>0</v>
      </c>
      <c r="AD80" s="87"/>
    </row>
    <row r="81" spans="6:30" ht="15.75" x14ac:dyDescent="0.25">
      <c r="F81" s="87" t="s">
        <v>131</v>
      </c>
      <c r="G81" s="137"/>
      <c r="H81" s="81">
        <f>+H79-G86</f>
        <v>187.9</v>
      </c>
      <c r="N81" s="87">
        <v>4</v>
      </c>
      <c r="O81" s="87" t="s">
        <v>112</v>
      </c>
      <c r="P81" s="87">
        <v>15.34</v>
      </c>
      <c r="Q81" s="137"/>
      <c r="R81" s="82">
        <v>7.4999999999999997E-3</v>
      </c>
      <c r="S81" s="216">
        <f t="shared" si="69"/>
        <v>0.11505</v>
      </c>
      <c r="T81" s="240">
        <f>+(P81+Q81)-S81</f>
        <v>15.22495</v>
      </c>
      <c r="U81" s="211">
        <v>102.78</v>
      </c>
      <c r="V81" s="112"/>
      <c r="W81" s="113">
        <v>1.4999999999999999E-2</v>
      </c>
      <c r="X81" s="196">
        <f t="shared" si="71"/>
        <v>1.5417000000000001</v>
      </c>
      <c r="Y81" s="238">
        <f t="shared" si="72"/>
        <v>101.2383</v>
      </c>
      <c r="Z81" s="87"/>
      <c r="AA81" s="189">
        <f t="shared" si="68"/>
        <v>0</v>
      </c>
      <c r="AB81" s="189">
        <f t="shared" si="73"/>
        <v>0</v>
      </c>
      <c r="AC81" s="189">
        <f t="shared" si="74"/>
        <v>0</v>
      </c>
      <c r="AD81" s="87"/>
    </row>
    <row r="82" spans="6:30" ht="15.75" x14ac:dyDescent="0.25">
      <c r="F82" s="87" t="s">
        <v>132</v>
      </c>
      <c r="G82" s="137"/>
      <c r="H82" s="140"/>
      <c r="N82" s="87">
        <v>5</v>
      </c>
      <c r="O82" s="87" t="s">
        <v>112</v>
      </c>
      <c r="P82" s="87"/>
      <c r="Q82" s="87"/>
      <c r="R82" s="82">
        <v>7.4999999999999997E-3</v>
      </c>
      <c r="S82" s="194">
        <f t="shared" si="69"/>
        <v>0</v>
      </c>
      <c r="T82" s="219">
        <f t="shared" si="70"/>
        <v>0</v>
      </c>
      <c r="U82" s="112"/>
      <c r="V82" s="112"/>
      <c r="W82" s="113">
        <v>1.4999999999999999E-2</v>
      </c>
      <c r="X82" s="196">
        <f t="shared" si="71"/>
        <v>0</v>
      </c>
      <c r="Y82" s="217">
        <f t="shared" si="72"/>
        <v>0</v>
      </c>
      <c r="Z82" s="87"/>
      <c r="AA82" s="189">
        <f t="shared" si="68"/>
        <v>0</v>
      </c>
      <c r="AB82" s="189">
        <f t="shared" si="73"/>
        <v>0</v>
      </c>
      <c r="AC82" s="189">
        <f t="shared" si="74"/>
        <v>0</v>
      </c>
      <c r="AD82" s="87"/>
    </row>
    <row r="83" spans="6:30" ht="15.75" x14ac:dyDescent="0.25">
      <c r="F83" s="87" t="s">
        <v>133</v>
      </c>
      <c r="G83" s="137"/>
      <c r="H83" s="140"/>
      <c r="N83" s="87">
        <v>6</v>
      </c>
      <c r="O83" s="87" t="s">
        <v>112</v>
      </c>
      <c r="P83" s="87"/>
      <c r="Q83" s="87"/>
      <c r="R83" s="82">
        <v>7.4999999999999997E-3</v>
      </c>
      <c r="S83" s="194">
        <f t="shared" si="69"/>
        <v>0</v>
      </c>
      <c r="T83" s="219">
        <f t="shared" si="70"/>
        <v>0</v>
      </c>
      <c r="U83" s="112"/>
      <c r="V83" s="112"/>
      <c r="W83" s="113">
        <v>1.4999999999999999E-2</v>
      </c>
      <c r="X83" s="196">
        <f t="shared" si="71"/>
        <v>0</v>
      </c>
      <c r="Y83" s="217">
        <f t="shared" si="72"/>
        <v>0</v>
      </c>
      <c r="Z83" s="87"/>
      <c r="AA83" s="189">
        <f t="shared" si="68"/>
        <v>0</v>
      </c>
      <c r="AB83" s="189">
        <f t="shared" si="73"/>
        <v>0</v>
      </c>
      <c r="AC83" s="189">
        <f t="shared" si="74"/>
        <v>0</v>
      </c>
      <c r="AD83" s="87"/>
    </row>
    <row r="84" spans="6:30" ht="15.75" x14ac:dyDescent="0.25">
      <c r="F84" s="87" t="s">
        <v>143</v>
      </c>
      <c r="G84" s="87"/>
      <c r="H84" s="139"/>
      <c r="N84" s="87">
        <v>7</v>
      </c>
      <c r="O84" s="87" t="s">
        <v>112</v>
      </c>
      <c r="P84" s="87"/>
      <c r="Q84" s="87"/>
      <c r="R84" s="82">
        <v>7.4999999999999997E-3</v>
      </c>
      <c r="S84" s="194">
        <f t="shared" si="69"/>
        <v>0</v>
      </c>
      <c r="T84" s="194">
        <f t="shared" si="70"/>
        <v>0</v>
      </c>
      <c r="U84" s="112"/>
      <c r="V84" s="112"/>
      <c r="W84" s="113">
        <v>1.4999999999999999E-2</v>
      </c>
      <c r="X84" s="196">
        <f t="shared" si="71"/>
        <v>0</v>
      </c>
      <c r="Y84" s="196">
        <f t="shared" si="72"/>
        <v>0</v>
      </c>
      <c r="Z84" s="87"/>
      <c r="AA84" s="189">
        <f t="shared" si="68"/>
        <v>0</v>
      </c>
      <c r="AB84" s="189">
        <f t="shared" si="73"/>
        <v>0</v>
      </c>
      <c r="AC84" s="189">
        <f t="shared" si="74"/>
        <v>0</v>
      </c>
      <c r="AD84" s="87"/>
    </row>
    <row r="85" spans="6:30" ht="15.75" x14ac:dyDescent="0.25">
      <c r="F85" s="87" t="s">
        <v>144</v>
      </c>
      <c r="G85" s="87"/>
      <c r="N85" s="87">
        <v>8</v>
      </c>
      <c r="O85" s="87" t="s">
        <v>112</v>
      </c>
      <c r="P85" s="87"/>
      <c r="Q85" s="87"/>
      <c r="R85" s="82">
        <v>7.4999999999999997E-3</v>
      </c>
      <c r="S85" s="194">
        <f t="shared" si="69"/>
        <v>0</v>
      </c>
      <c r="T85" s="194">
        <f t="shared" si="70"/>
        <v>0</v>
      </c>
      <c r="U85" s="112"/>
      <c r="V85" s="112"/>
      <c r="W85" s="113">
        <v>1.4999999999999999E-2</v>
      </c>
      <c r="X85" s="196">
        <f t="shared" si="71"/>
        <v>0</v>
      </c>
      <c r="Y85" s="196">
        <f t="shared" si="72"/>
        <v>0</v>
      </c>
      <c r="Z85" s="87"/>
      <c r="AA85" s="189">
        <f t="shared" si="68"/>
        <v>0</v>
      </c>
      <c r="AB85" s="189">
        <f t="shared" si="73"/>
        <v>0</v>
      </c>
      <c r="AC85" s="189">
        <f t="shared" si="74"/>
        <v>0</v>
      </c>
      <c r="AD85" s="87"/>
    </row>
    <row r="86" spans="6:30" ht="15.75" x14ac:dyDescent="0.25">
      <c r="F86" s="87" t="s">
        <v>43</v>
      </c>
      <c r="G86" s="81">
        <f>+G79+G80+G81+G82+G83+G84+G85</f>
        <v>0</v>
      </c>
      <c r="N86" s="87">
        <v>9</v>
      </c>
      <c r="O86" s="87" t="s">
        <v>112</v>
      </c>
      <c r="P86" s="87"/>
      <c r="Q86" s="87"/>
      <c r="R86" s="82">
        <v>7.4999999999999997E-3</v>
      </c>
      <c r="S86" s="194">
        <f t="shared" si="69"/>
        <v>0</v>
      </c>
      <c r="T86" s="194">
        <f t="shared" si="70"/>
        <v>0</v>
      </c>
      <c r="U86" s="112"/>
      <c r="V86" s="112"/>
      <c r="W86" s="113">
        <v>1.4999999999999999E-2</v>
      </c>
      <c r="X86" s="196">
        <f t="shared" si="71"/>
        <v>0</v>
      </c>
      <c r="Y86" s="196">
        <f t="shared" si="72"/>
        <v>0</v>
      </c>
      <c r="Z86" s="87"/>
      <c r="AA86" s="189">
        <f t="shared" si="68"/>
        <v>0</v>
      </c>
      <c r="AB86" s="189">
        <f t="shared" si="73"/>
        <v>0</v>
      </c>
      <c r="AC86" s="189">
        <f t="shared" si="74"/>
        <v>0</v>
      </c>
      <c r="AD86" s="87"/>
    </row>
    <row r="87" spans="6:30" ht="15.75" x14ac:dyDescent="0.25">
      <c r="N87" s="87">
        <v>10</v>
      </c>
      <c r="O87" s="87" t="s">
        <v>112</v>
      </c>
      <c r="P87" s="87"/>
      <c r="Q87" s="87"/>
      <c r="R87" s="82">
        <v>7.4999999999999997E-3</v>
      </c>
      <c r="S87" s="194">
        <f t="shared" si="69"/>
        <v>0</v>
      </c>
      <c r="T87" s="194">
        <f t="shared" si="70"/>
        <v>0</v>
      </c>
      <c r="U87" s="112"/>
      <c r="V87" s="112"/>
      <c r="W87" s="113">
        <v>1.4999999999999999E-2</v>
      </c>
      <c r="X87" s="196">
        <f t="shared" si="71"/>
        <v>0</v>
      </c>
      <c r="Y87" s="196">
        <f t="shared" si="72"/>
        <v>0</v>
      </c>
      <c r="Z87" s="87"/>
      <c r="AA87" s="189">
        <f t="shared" si="68"/>
        <v>0</v>
      </c>
      <c r="AB87" s="189">
        <f t="shared" si="73"/>
        <v>0</v>
      </c>
      <c r="AC87" s="189">
        <f t="shared" si="74"/>
        <v>0</v>
      </c>
      <c r="AD87" s="87"/>
    </row>
    <row r="88" spans="6:30" ht="15.75" x14ac:dyDescent="0.25">
      <c r="N88" s="87">
        <v>11</v>
      </c>
      <c r="O88" s="87" t="s">
        <v>112</v>
      </c>
      <c r="P88" s="87"/>
      <c r="Q88" s="87"/>
      <c r="R88" s="82">
        <v>7.4999999999999997E-3</v>
      </c>
      <c r="S88" s="194">
        <f t="shared" si="69"/>
        <v>0</v>
      </c>
      <c r="T88" s="194">
        <f t="shared" si="70"/>
        <v>0</v>
      </c>
      <c r="U88" s="112"/>
      <c r="V88" s="112"/>
      <c r="W88" s="113">
        <v>1.4999999999999999E-2</v>
      </c>
      <c r="X88" s="196">
        <f t="shared" si="71"/>
        <v>0</v>
      </c>
      <c r="Y88" s="196">
        <f t="shared" si="72"/>
        <v>0</v>
      </c>
      <c r="Z88" s="87"/>
      <c r="AA88" s="189">
        <f t="shared" si="68"/>
        <v>0</v>
      </c>
      <c r="AB88" s="189">
        <f t="shared" si="73"/>
        <v>0</v>
      </c>
      <c r="AC88" s="189">
        <f t="shared" si="74"/>
        <v>0</v>
      </c>
      <c r="AD88" s="87"/>
    </row>
    <row r="89" spans="6:30" ht="15.75" x14ac:dyDescent="0.25">
      <c r="N89" s="87">
        <v>12</v>
      </c>
      <c r="O89" s="87" t="s">
        <v>112</v>
      </c>
      <c r="P89" s="87"/>
      <c r="Q89" s="87"/>
      <c r="R89" s="82">
        <v>7.4999999999999997E-3</v>
      </c>
      <c r="S89" s="194">
        <f t="shared" si="69"/>
        <v>0</v>
      </c>
      <c r="T89" s="194">
        <f t="shared" si="70"/>
        <v>0</v>
      </c>
      <c r="U89" s="112"/>
      <c r="V89" s="112"/>
      <c r="W89" s="113">
        <v>1.4999999999999999E-2</v>
      </c>
      <c r="X89" s="196">
        <f t="shared" si="71"/>
        <v>0</v>
      </c>
      <c r="Y89" s="196">
        <f t="shared" si="72"/>
        <v>0</v>
      </c>
      <c r="Z89" s="87"/>
      <c r="AA89" s="189">
        <f t="shared" si="68"/>
        <v>0</v>
      </c>
      <c r="AB89" s="189">
        <f t="shared" si="73"/>
        <v>0</v>
      </c>
      <c r="AC89" s="189">
        <f t="shared" si="74"/>
        <v>0</v>
      </c>
      <c r="AD89" s="87"/>
    </row>
    <row r="90" spans="6:30" ht="15.75" x14ac:dyDescent="0.25">
      <c r="N90" s="87">
        <v>13</v>
      </c>
      <c r="O90" s="87" t="s">
        <v>112</v>
      </c>
      <c r="P90" s="87"/>
      <c r="Q90" s="87"/>
      <c r="R90" s="82">
        <v>7.4999999999999997E-3</v>
      </c>
      <c r="S90" s="194">
        <f t="shared" si="69"/>
        <v>0</v>
      </c>
      <c r="T90" s="194">
        <f t="shared" si="70"/>
        <v>0</v>
      </c>
      <c r="U90" s="112"/>
      <c r="V90" s="112"/>
      <c r="W90" s="113">
        <v>1.4999999999999999E-2</v>
      </c>
      <c r="X90" s="196">
        <f t="shared" si="71"/>
        <v>0</v>
      </c>
      <c r="Y90" s="196">
        <f t="shared" si="72"/>
        <v>0</v>
      </c>
      <c r="Z90" s="87"/>
      <c r="AA90" s="189">
        <f t="shared" si="68"/>
        <v>0</v>
      </c>
      <c r="AB90" s="189">
        <f t="shared" si="73"/>
        <v>0</v>
      </c>
      <c r="AC90" s="189">
        <f t="shared" si="74"/>
        <v>0</v>
      </c>
      <c r="AD90" s="87"/>
    </row>
    <row r="91" spans="6:30" ht="15.75" x14ac:dyDescent="0.25">
      <c r="N91" s="87">
        <v>14</v>
      </c>
      <c r="O91" s="87" t="s">
        <v>112</v>
      </c>
      <c r="P91" s="87"/>
      <c r="Q91" s="87"/>
      <c r="R91" s="82">
        <v>7.4999999999999997E-3</v>
      </c>
      <c r="S91" s="194">
        <f t="shared" si="69"/>
        <v>0</v>
      </c>
      <c r="T91" s="194">
        <f t="shared" si="70"/>
        <v>0</v>
      </c>
      <c r="U91" s="112"/>
      <c r="V91" s="112"/>
      <c r="W91" s="113">
        <v>1.4999999999999999E-2</v>
      </c>
      <c r="X91" s="196">
        <f t="shared" si="71"/>
        <v>0</v>
      </c>
      <c r="Y91" s="196">
        <f t="shared" si="72"/>
        <v>0</v>
      </c>
      <c r="Z91" s="87"/>
      <c r="AA91" s="189">
        <f t="shared" si="68"/>
        <v>0</v>
      </c>
      <c r="AB91" s="189">
        <f t="shared" si="73"/>
        <v>0</v>
      </c>
      <c r="AC91" s="189">
        <f t="shared" si="74"/>
        <v>0</v>
      </c>
      <c r="AD91" s="87"/>
    </row>
    <row r="92" spans="6:30" ht="15.75" x14ac:dyDescent="0.25">
      <c r="N92" s="87">
        <v>15</v>
      </c>
      <c r="O92" s="87" t="s">
        <v>112</v>
      </c>
      <c r="P92" s="87"/>
      <c r="Q92" s="87"/>
      <c r="R92" s="82">
        <v>7.4999999999999997E-3</v>
      </c>
      <c r="S92" s="194">
        <f t="shared" si="69"/>
        <v>0</v>
      </c>
      <c r="T92" s="194">
        <f t="shared" si="70"/>
        <v>0</v>
      </c>
      <c r="U92" s="112"/>
      <c r="V92" s="112"/>
      <c r="W92" s="113">
        <v>1.4999999999999999E-2</v>
      </c>
      <c r="X92" s="196">
        <f t="shared" si="71"/>
        <v>0</v>
      </c>
      <c r="Y92" s="196">
        <f t="shared" si="72"/>
        <v>0</v>
      </c>
      <c r="Z92" s="87"/>
      <c r="AA92" s="189">
        <f t="shared" si="68"/>
        <v>0</v>
      </c>
      <c r="AB92" s="189">
        <f t="shared" si="73"/>
        <v>0</v>
      </c>
      <c r="AC92" s="189">
        <f t="shared" si="74"/>
        <v>0</v>
      </c>
      <c r="AD92" s="87"/>
    </row>
    <row r="93" spans="6:30" ht="15.75" x14ac:dyDescent="0.25">
      <c r="N93" s="87">
        <v>16</v>
      </c>
      <c r="O93" s="87" t="s">
        <v>112</v>
      </c>
      <c r="P93" s="87"/>
      <c r="Q93" s="87"/>
      <c r="R93" s="82">
        <v>7.4999999999999997E-3</v>
      </c>
      <c r="S93" s="194">
        <f t="shared" si="69"/>
        <v>0</v>
      </c>
      <c r="T93" s="194">
        <f t="shared" si="70"/>
        <v>0</v>
      </c>
      <c r="U93" s="112"/>
      <c r="V93" s="112"/>
      <c r="W93" s="113">
        <v>1.4999999999999999E-2</v>
      </c>
      <c r="X93" s="196">
        <f t="shared" si="71"/>
        <v>0</v>
      </c>
      <c r="Y93" s="196">
        <f t="shared" si="72"/>
        <v>0</v>
      </c>
      <c r="Z93" s="87"/>
      <c r="AA93" s="189">
        <f t="shared" si="68"/>
        <v>0</v>
      </c>
      <c r="AB93" s="189">
        <f t="shared" si="73"/>
        <v>0</v>
      </c>
      <c r="AC93" s="189">
        <f t="shared" si="74"/>
        <v>0</v>
      </c>
      <c r="AD93" s="87"/>
    </row>
    <row r="94" spans="6:30" ht="15.75" x14ac:dyDescent="0.25">
      <c r="N94" s="87">
        <v>17</v>
      </c>
      <c r="O94" s="87" t="s">
        <v>112</v>
      </c>
      <c r="P94" s="87"/>
      <c r="Q94" s="87"/>
      <c r="R94" s="82">
        <v>7.4999999999999997E-3</v>
      </c>
      <c r="S94" s="194">
        <f t="shared" si="69"/>
        <v>0</v>
      </c>
      <c r="T94" s="194">
        <f t="shared" si="70"/>
        <v>0</v>
      </c>
      <c r="U94" s="112"/>
      <c r="V94" s="112"/>
      <c r="W94" s="113">
        <v>1.4999999999999999E-2</v>
      </c>
      <c r="X94" s="196">
        <f t="shared" si="71"/>
        <v>0</v>
      </c>
      <c r="Y94" s="196">
        <f t="shared" si="72"/>
        <v>0</v>
      </c>
      <c r="Z94" s="87"/>
      <c r="AA94" s="189">
        <f t="shared" si="68"/>
        <v>0</v>
      </c>
      <c r="AB94" s="189">
        <f t="shared" si="73"/>
        <v>0</v>
      </c>
      <c r="AC94" s="189">
        <f t="shared" si="74"/>
        <v>0</v>
      </c>
      <c r="AD94" s="87"/>
    </row>
    <row r="95" spans="6:30" ht="15.75" x14ac:dyDescent="0.25">
      <c r="N95" s="87">
        <v>18</v>
      </c>
      <c r="O95" s="87" t="s">
        <v>112</v>
      </c>
      <c r="P95" s="87"/>
      <c r="Q95" s="87"/>
      <c r="R95" s="82">
        <v>7.4999999999999997E-3</v>
      </c>
      <c r="S95" s="194">
        <f t="shared" si="69"/>
        <v>0</v>
      </c>
      <c r="T95" s="194">
        <f t="shared" si="70"/>
        <v>0</v>
      </c>
      <c r="U95" s="112"/>
      <c r="V95" s="112"/>
      <c r="W95" s="113">
        <v>1.4999999999999999E-2</v>
      </c>
      <c r="X95" s="196">
        <f t="shared" si="71"/>
        <v>0</v>
      </c>
      <c r="Y95" s="196">
        <f t="shared" si="72"/>
        <v>0</v>
      </c>
      <c r="Z95" s="87"/>
      <c r="AA95" s="189">
        <f t="shared" si="68"/>
        <v>0</v>
      </c>
      <c r="AB95" s="189">
        <f t="shared" si="73"/>
        <v>0</v>
      </c>
      <c r="AC95" s="189">
        <f t="shared" si="74"/>
        <v>0</v>
      </c>
      <c r="AD95" s="87"/>
    </row>
    <row r="96" spans="6:30" ht="15.75" x14ac:dyDescent="0.25">
      <c r="N96" s="87">
        <v>19</v>
      </c>
      <c r="O96" s="87" t="s">
        <v>112</v>
      </c>
      <c r="P96" s="87"/>
      <c r="Q96" s="87"/>
      <c r="R96" s="82">
        <v>7.4999999999999997E-3</v>
      </c>
      <c r="S96" s="194">
        <f t="shared" si="69"/>
        <v>0</v>
      </c>
      <c r="T96" s="194">
        <f t="shared" si="70"/>
        <v>0</v>
      </c>
      <c r="U96" s="112"/>
      <c r="V96" s="112"/>
      <c r="W96" s="113">
        <v>1.4999999999999999E-2</v>
      </c>
      <c r="X96" s="196">
        <f t="shared" si="71"/>
        <v>0</v>
      </c>
      <c r="Y96" s="196">
        <f t="shared" si="72"/>
        <v>0</v>
      </c>
      <c r="Z96" s="87"/>
      <c r="AA96" s="189">
        <f t="shared" si="68"/>
        <v>0</v>
      </c>
      <c r="AB96" s="189">
        <f t="shared" si="73"/>
        <v>0</v>
      </c>
      <c r="AC96" s="189">
        <f t="shared" si="74"/>
        <v>0</v>
      </c>
      <c r="AD96" s="87"/>
    </row>
    <row r="97" spans="14:30" ht="15.75" x14ac:dyDescent="0.25">
      <c r="N97" s="87">
        <v>20</v>
      </c>
      <c r="O97" s="87" t="s">
        <v>112</v>
      </c>
      <c r="P97" s="87"/>
      <c r="Q97" s="87"/>
      <c r="R97" s="82">
        <v>7.4999999999999997E-3</v>
      </c>
      <c r="S97" s="194">
        <f t="shared" si="69"/>
        <v>0</v>
      </c>
      <c r="T97" s="194">
        <f t="shared" si="70"/>
        <v>0</v>
      </c>
      <c r="U97" s="112"/>
      <c r="V97" s="112"/>
      <c r="W97" s="113">
        <v>1.4999999999999999E-2</v>
      </c>
      <c r="X97" s="196">
        <f t="shared" si="71"/>
        <v>0</v>
      </c>
      <c r="Y97" s="196">
        <f t="shared" si="72"/>
        <v>0</v>
      </c>
      <c r="Z97" s="87"/>
      <c r="AA97" s="189">
        <f t="shared" si="68"/>
        <v>0</v>
      </c>
      <c r="AB97" s="189">
        <f t="shared" si="73"/>
        <v>0</v>
      </c>
      <c r="AC97" s="189">
        <f t="shared" si="74"/>
        <v>0</v>
      </c>
      <c r="AD97" s="87"/>
    </row>
    <row r="98" spans="14:30" x14ac:dyDescent="0.25">
      <c r="N98" s="109" t="s">
        <v>111</v>
      </c>
      <c r="O98" s="110"/>
      <c r="P98" s="195">
        <f>SUM(P78:P97)+SUM(O78:O97)</f>
        <v>149.61000000000001</v>
      </c>
      <c r="Q98" s="195">
        <f>SUM(Q78:Q97)</f>
        <v>39.71</v>
      </c>
      <c r="R98" s="111"/>
      <c r="S98" s="195">
        <f>SUM(S78:S97)</f>
        <v>1.4199000000000002</v>
      </c>
      <c r="T98" s="195">
        <f>SUM(T78:T97)</f>
        <v>187.90010000000004</v>
      </c>
      <c r="U98" s="114">
        <f>SUM(U78:U97)</f>
        <v>394.77</v>
      </c>
      <c r="V98" s="114">
        <f>SUM(V78:V97)</f>
        <v>0</v>
      </c>
      <c r="W98" s="112"/>
      <c r="X98" s="197">
        <f>SUM(X78:X97)</f>
        <v>5.9215499999999999</v>
      </c>
      <c r="Y98" s="197">
        <f>SUM(Y78:Y97)</f>
        <v>388.84844999999996</v>
      </c>
      <c r="Z98" s="63">
        <f>SUM(Z78:Z97)</f>
        <v>0</v>
      </c>
      <c r="AA98" s="198">
        <f t="shared" ref="AA98:AB98" si="75">SUM(AA78:AA97)</f>
        <v>0</v>
      </c>
      <c r="AB98" s="198">
        <f t="shared" si="75"/>
        <v>0</v>
      </c>
      <c r="AC98" s="198">
        <f>SUM(AC78:AC97)</f>
        <v>0</v>
      </c>
      <c r="AD98" s="87"/>
    </row>
    <row r="99" spans="14:30" x14ac:dyDescent="0.25">
      <c r="N99" s="85"/>
    </row>
    <row r="100" spans="14:30" x14ac:dyDescent="0.25">
      <c r="N100" s="85"/>
      <c r="P100" s="212">
        <f>P78+Q78+U78</f>
        <v>82.91</v>
      </c>
    </row>
    <row r="101" spans="14:30" x14ac:dyDescent="0.25">
      <c r="N101" s="85"/>
      <c r="P101" s="215">
        <f>P79+Q79+U79</f>
        <v>182.71</v>
      </c>
    </row>
    <row r="102" spans="14:30" x14ac:dyDescent="0.25">
      <c r="N102" s="85"/>
      <c r="P102" s="212">
        <f>P80+Q80+U80</f>
        <v>200.34999999999997</v>
      </c>
    </row>
    <row r="103" spans="14:30" x14ac:dyDescent="0.25">
      <c r="N103" s="85"/>
      <c r="P103" s="212">
        <f>P81+Q81+U81</f>
        <v>118.12</v>
      </c>
    </row>
    <row r="104" spans="14:30" x14ac:dyDescent="0.25">
      <c r="N104" s="85"/>
    </row>
    <row r="105" spans="14:30" x14ac:dyDescent="0.25">
      <c r="N105" s="85"/>
    </row>
    <row r="106" spans="14:30" x14ac:dyDescent="0.25">
      <c r="N106" s="85"/>
    </row>
    <row r="107" spans="14:30" x14ac:dyDescent="0.25">
      <c r="N107" s="85"/>
    </row>
    <row r="108" spans="14:30" x14ac:dyDescent="0.25">
      <c r="N108" s="85"/>
    </row>
    <row r="109" spans="14:30" x14ac:dyDescent="0.25">
      <c r="N109" s="85"/>
    </row>
    <row r="110" spans="14:30" x14ac:dyDescent="0.25">
      <c r="N110" s="85"/>
    </row>
    <row r="111" spans="14:30" x14ac:dyDescent="0.25">
      <c r="N111" s="85"/>
    </row>
    <row r="112" spans="14:30" x14ac:dyDescent="0.25">
      <c r="N112" s="85"/>
    </row>
    <row r="113" spans="14:14" x14ac:dyDescent="0.25">
      <c r="N113" s="85"/>
    </row>
    <row r="114" spans="14:14" x14ac:dyDescent="0.25">
      <c r="N114" s="85"/>
    </row>
    <row r="115" spans="14:14" x14ac:dyDescent="0.25">
      <c r="N115" s="85"/>
    </row>
    <row r="116" spans="14:14" x14ac:dyDescent="0.25">
      <c r="N116" s="76"/>
    </row>
    <row r="118" spans="14:14" x14ac:dyDescent="0.25">
      <c r="N118" s="78"/>
    </row>
    <row r="119" spans="14:14" x14ac:dyDescent="0.25">
      <c r="N119" s="90"/>
    </row>
    <row r="120" spans="14:14" x14ac:dyDescent="0.25">
      <c r="N120" s="92"/>
    </row>
    <row r="121" spans="14:14" x14ac:dyDescent="0.25">
      <c r="N121" s="92"/>
    </row>
    <row r="122" spans="14:14" x14ac:dyDescent="0.25">
      <c r="N122" s="92"/>
    </row>
    <row r="123" spans="14:14" x14ac:dyDescent="0.25">
      <c r="N123" s="92"/>
    </row>
    <row r="124" spans="14:14" x14ac:dyDescent="0.25">
      <c r="N124" s="92"/>
    </row>
    <row r="125" spans="14:14" x14ac:dyDescent="0.25">
      <c r="N125" s="92"/>
    </row>
    <row r="126" spans="14:14" x14ac:dyDescent="0.25">
      <c r="N126" s="90"/>
    </row>
    <row r="127" spans="14:14" x14ac:dyDescent="0.25">
      <c r="N127" s="92"/>
    </row>
    <row r="128" spans="14:14" x14ac:dyDescent="0.25">
      <c r="N128" s="90"/>
    </row>
  </sheetData>
  <mergeCells count="22">
    <mergeCell ref="F77:G77"/>
    <mergeCell ref="N42:Q42"/>
    <mergeCell ref="N63:Q63"/>
    <mergeCell ref="N69:Q69"/>
    <mergeCell ref="A1:A3"/>
    <mergeCell ref="B1:H1"/>
    <mergeCell ref="B2:H2"/>
    <mergeCell ref="B3:H3"/>
    <mergeCell ref="B4:H4"/>
    <mergeCell ref="A67:B67"/>
    <mergeCell ref="F67:H67"/>
    <mergeCell ref="I67:J67"/>
    <mergeCell ref="AA76:AA77"/>
    <mergeCell ref="AB76:AB77"/>
    <mergeCell ref="AC76:AC77"/>
    <mergeCell ref="AD76:AD77"/>
    <mergeCell ref="N75:Q75"/>
    <mergeCell ref="N76:N77"/>
    <mergeCell ref="O76:O77"/>
    <mergeCell ref="U76:Y76"/>
    <mergeCell ref="P76:T76"/>
    <mergeCell ref="Z76:Z77"/>
  </mergeCells>
  <conditionalFormatting sqref="B70">
    <cfRule type="cellIs" dxfId="61" priority="1" operator="greaterThan">
      <formula>0</formula>
    </cfRule>
    <cfRule type="cellIs" dxfId="60" priority="2" operator="lessThan">
      <formula>0</formula>
    </cfRule>
  </conditionalFormatting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39</vt:i4>
      </vt:variant>
      <vt:variant>
        <vt:lpstr>Rangos con nombre</vt:lpstr>
      </vt:variant>
      <vt:variant>
        <vt:i4>31</vt:i4>
      </vt:variant>
    </vt:vector>
  </HeadingPairs>
  <TitlesOfParts>
    <vt:vector size="70" baseType="lpstr">
      <vt:lpstr>RESUMEN GENERAL DE VENTAS</vt:lpstr>
      <vt:lpstr>PROVINCIAL</vt:lpstr>
      <vt:lpstr>BANESCO</vt:lpstr>
      <vt:lpstr>VENEZUELA</vt:lpstr>
      <vt:lpstr>PLAZA</vt:lpstr>
      <vt:lpstr>TESORO</vt:lpstr>
      <vt:lpstr>VENTAS A CREDITO</vt:lpstr>
      <vt:lpstr>DIVISAS Y TRANSFERENCIAS</vt:lpstr>
      <vt:lpstr>DIA 1</vt:lpstr>
      <vt:lpstr>DIA 2</vt:lpstr>
      <vt:lpstr>DIA 3</vt:lpstr>
      <vt:lpstr>DIA 4</vt:lpstr>
      <vt:lpstr>DIA 5</vt:lpstr>
      <vt:lpstr>DIA 6</vt:lpstr>
      <vt:lpstr>DIA 7</vt:lpstr>
      <vt:lpstr>DIA 8</vt:lpstr>
      <vt:lpstr>DIA 9</vt:lpstr>
      <vt:lpstr>DIA 10</vt:lpstr>
      <vt:lpstr>DIA 11</vt:lpstr>
      <vt:lpstr>DIA 12</vt:lpstr>
      <vt:lpstr>DIA 13</vt:lpstr>
      <vt:lpstr>DIA 14</vt:lpstr>
      <vt:lpstr>DIA 15</vt:lpstr>
      <vt:lpstr>DIA 16</vt:lpstr>
      <vt:lpstr>DIA 17</vt:lpstr>
      <vt:lpstr>DIA 18</vt:lpstr>
      <vt:lpstr>DIA 19</vt:lpstr>
      <vt:lpstr>DIA 20</vt:lpstr>
      <vt:lpstr>DIA 21</vt:lpstr>
      <vt:lpstr>DIA 22</vt:lpstr>
      <vt:lpstr>DIA 23</vt:lpstr>
      <vt:lpstr>DIA 24</vt:lpstr>
      <vt:lpstr>DIA 25</vt:lpstr>
      <vt:lpstr>DIA 26</vt:lpstr>
      <vt:lpstr>DIA 27</vt:lpstr>
      <vt:lpstr>DIA 28</vt:lpstr>
      <vt:lpstr>DIA 29</vt:lpstr>
      <vt:lpstr>DIA 30</vt:lpstr>
      <vt:lpstr>DIA 31</vt:lpstr>
      <vt:lpstr>'DIA 1'!Área_de_impresión</vt:lpstr>
      <vt:lpstr>'DIA 10'!Área_de_impresión</vt:lpstr>
      <vt:lpstr>'DIA 11'!Área_de_impresión</vt:lpstr>
      <vt:lpstr>'DIA 12'!Área_de_impresión</vt:lpstr>
      <vt:lpstr>'DIA 13'!Área_de_impresión</vt:lpstr>
      <vt:lpstr>'DIA 14'!Área_de_impresión</vt:lpstr>
      <vt:lpstr>'DIA 15'!Área_de_impresión</vt:lpstr>
      <vt:lpstr>'DIA 16'!Área_de_impresión</vt:lpstr>
      <vt:lpstr>'DIA 17'!Área_de_impresión</vt:lpstr>
      <vt:lpstr>'DIA 18'!Área_de_impresión</vt:lpstr>
      <vt:lpstr>'DIA 19'!Área_de_impresión</vt:lpstr>
      <vt:lpstr>'DIA 2'!Área_de_impresión</vt:lpstr>
      <vt:lpstr>'DIA 20'!Área_de_impresión</vt:lpstr>
      <vt:lpstr>'DIA 21'!Área_de_impresión</vt:lpstr>
      <vt:lpstr>'DIA 22'!Área_de_impresión</vt:lpstr>
      <vt:lpstr>'DIA 23'!Área_de_impresión</vt:lpstr>
      <vt:lpstr>'DIA 24'!Área_de_impresión</vt:lpstr>
      <vt:lpstr>'DIA 25'!Área_de_impresión</vt:lpstr>
      <vt:lpstr>'DIA 26'!Área_de_impresión</vt:lpstr>
      <vt:lpstr>'DIA 27'!Área_de_impresión</vt:lpstr>
      <vt:lpstr>'DIA 28'!Área_de_impresión</vt:lpstr>
      <vt:lpstr>'DIA 29'!Área_de_impresión</vt:lpstr>
      <vt:lpstr>'DIA 3'!Área_de_impresión</vt:lpstr>
      <vt:lpstr>'DIA 30'!Área_de_impresión</vt:lpstr>
      <vt:lpstr>'DIA 31'!Área_de_impresión</vt:lpstr>
      <vt:lpstr>'DIA 4'!Área_de_impresión</vt:lpstr>
      <vt:lpstr>'DIA 5'!Área_de_impresión</vt:lpstr>
      <vt:lpstr>'DIA 6'!Área_de_impresión</vt:lpstr>
      <vt:lpstr>'DIA 7'!Área_de_impresión</vt:lpstr>
      <vt:lpstr>'DIA 8'!Área_de_impresión</vt:lpstr>
      <vt:lpstr>'DIA 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2020-07-27T15:11:55Z</cp:lastPrinted>
  <dcterms:created xsi:type="dcterms:W3CDTF">2013-07-24T18:56:16Z</dcterms:created>
  <dcterms:modified xsi:type="dcterms:W3CDTF">2021-11-10T18:31:18Z</dcterms:modified>
</cp:coreProperties>
</file>