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"/>
    </mc:Choice>
  </mc:AlternateContent>
  <bookViews>
    <workbookView xWindow="0" yWindow="0" windowWidth="19200" windowHeight="1150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6" i="2" l="1"/>
  <c r="G195" i="2"/>
  <c r="K193" i="2"/>
  <c r="J193" i="2"/>
  <c r="D193" i="2"/>
  <c r="E193" i="2"/>
  <c r="G198" i="2" l="1"/>
  <c r="L174" i="2" l="1"/>
  <c r="L173" i="2"/>
  <c r="L172" i="2"/>
  <c r="L170" i="2"/>
  <c r="G170" i="2"/>
  <c r="J148" i="2"/>
  <c r="K145" i="2"/>
  <c r="D126" i="2"/>
  <c r="H162" i="2"/>
  <c r="D162" i="2"/>
  <c r="K169" i="2" l="1"/>
  <c r="L169" i="2" s="1"/>
  <c r="F169" i="2"/>
  <c r="G169" i="2" s="1"/>
  <c r="K168" i="2"/>
  <c r="L168" i="2" s="1"/>
  <c r="F168" i="2"/>
  <c r="G168" i="2" s="1"/>
  <c r="K167" i="2"/>
  <c r="L167" i="2" s="1"/>
  <c r="F167" i="2"/>
  <c r="K166" i="2"/>
  <c r="L166" i="2" s="1"/>
  <c r="F166" i="2"/>
  <c r="G166" i="2"/>
  <c r="L165" i="2"/>
  <c r="K165" i="2"/>
  <c r="F165" i="2"/>
  <c r="G165" i="2" s="1"/>
  <c r="K164" i="2"/>
  <c r="L164" i="2" s="1"/>
  <c r="G164" i="2"/>
  <c r="F164" i="2"/>
  <c r="K163" i="2"/>
  <c r="L163" i="2" s="1"/>
  <c r="G163" i="2"/>
  <c r="F163" i="2"/>
  <c r="K162" i="2"/>
  <c r="L162" i="2" s="1"/>
  <c r="G162" i="2"/>
  <c r="F162" i="2"/>
  <c r="K161" i="2"/>
  <c r="L161" i="2" s="1"/>
  <c r="G161" i="2"/>
  <c r="F161" i="2"/>
  <c r="K160" i="2"/>
  <c r="L160" i="2" s="1"/>
  <c r="F160" i="2"/>
  <c r="G160" i="2" s="1"/>
  <c r="K159" i="2"/>
  <c r="L159" i="2" s="1"/>
  <c r="F159" i="2"/>
  <c r="G159" i="2" s="1"/>
  <c r="K158" i="2"/>
  <c r="L158" i="2" s="1"/>
  <c r="G158" i="2"/>
  <c r="F158" i="2"/>
  <c r="K157" i="2"/>
  <c r="L157" i="2" s="1"/>
  <c r="F157" i="2"/>
  <c r="G157" i="2" s="1"/>
  <c r="L156" i="2"/>
  <c r="K156" i="2"/>
  <c r="G156" i="2"/>
  <c r="F156" i="2"/>
  <c r="J149" i="2"/>
  <c r="J145" i="2"/>
  <c r="I145" i="2"/>
  <c r="G145" i="2"/>
  <c r="K144" i="2"/>
  <c r="J144" i="2"/>
  <c r="I144" i="2"/>
  <c r="L144" i="2" s="1"/>
  <c r="H144" i="2"/>
  <c r="G144" i="2"/>
  <c r="K143" i="2"/>
  <c r="J143" i="2"/>
  <c r="I143" i="2"/>
  <c r="L143" i="2" s="1"/>
  <c r="H143" i="2"/>
  <c r="G143" i="2"/>
  <c r="K142" i="2"/>
  <c r="J142" i="2"/>
  <c r="I142" i="2"/>
  <c r="L142" i="2" s="1"/>
  <c r="H142" i="2"/>
  <c r="G142" i="2"/>
  <c r="K141" i="2"/>
  <c r="J141" i="2"/>
  <c r="I141" i="2"/>
  <c r="L141" i="2" s="1"/>
  <c r="H141" i="2"/>
  <c r="G141" i="2"/>
  <c r="K140" i="2"/>
  <c r="J140" i="2"/>
  <c r="I140" i="2"/>
  <c r="L140" i="2" s="1"/>
  <c r="H140" i="2"/>
  <c r="G140" i="2"/>
  <c r="K139" i="2"/>
  <c r="J139" i="2"/>
  <c r="I139" i="2"/>
  <c r="L139" i="2" s="1"/>
  <c r="H139" i="2"/>
  <c r="G139" i="2"/>
  <c r="K138" i="2"/>
  <c r="J138" i="2"/>
  <c r="I138" i="2"/>
  <c r="L138" i="2" s="1"/>
  <c r="H138" i="2"/>
  <c r="G138" i="2"/>
  <c r="K137" i="2"/>
  <c r="J137" i="2"/>
  <c r="I137" i="2"/>
  <c r="L137" i="2" s="1"/>
  <c r="H137" i="2"/>
  <c r="G137" i="2"/>
  <c r="K136" i="2"/>
  <c r="J136" i="2"/>
  <c r="I136" i="2"/>
  <c r="L136" i="2" s="1"/>
  <c r="H136" i="2"/>
  <c r="G136" i="2"/>
  <c r="K135" i="2"/>
  <c r="J135" i="2"/>
  <c r="I135" i="2"/>
  <c r="L135" i="2" s="1"/>
  <c r="H135" i="2"/>
  <c r="G135" i="2"/>
  <c r="J134" i="2"/>
  <c r="I134" i="2"/>
  <c r="L134" i="2" s="1"/>
  <c r="H134" i="2"/>
  <c r="K134" i="2" s="1"/>
  <c r="G134" i="2"/>
  <c r="K133" i="2"/>
  <c r="J133" i="2"/>
  <c r="I133" i="2"/>
  <c r="L133" i="2" s="1"/>
  <c r="H133" i="2"/>
  <c r="G133" i="2"/>
  <c r="J132" i="2"/>
  <c r="I132" i="2"/>
  <c r="L132" i="2" s="1"/>
  <c r="H132" i="2"/>
  <c r="K132" i="2" s="1"/>
  <c r="G132" i="2"/>
  <c r="J131" i="2"/>
  <c r="I131" i="2"/>
  <c r="L131" i="2" s="1"/>
  <c r="G131" i="2"/>
  <c r="H131" i="2"/>
  <c r="K131" i="2" s="1"/>
  <c r="J130" i="2"/>
  <c r="I130" i="2"/>
  <c r="L130" i="2" s="1"/>
  <c r="G130" i="2"/>
  <c r="J129" i="2"/>
  <c r="I129" i="2"/>
  <c r="L129" i="2" s="1"/>
  <c r="G129" i="2"/>
  <c r="H129" i="2"/>
  <c r="K129" i="2" s="1"/>
  <c r="J128" i="2"/>
  <c r="I128" i="2"/>
  <c r="L128" i="2" s="1"/>
  <c r="G128" i="2"/>
  <c r="K127" i="2"/>
  <c r="J127" i="2"/>
  <c r="I127" i="2"/>
  <c r="L127" i="2" s="1"/>
  <c r="H127" i="2"/>
  <c r="G127" i="2"/>
  <c r="J126" i="2"/>
  <c r="I126" i="2"/>
  <c r="L126" i="2" s="1"/>
  <c r="H126" i="2"/>
  <c r="K126" i="2" s="1"/>
  <c r="G126" i="2"/>
  <c r="K125" i="2"/>
  <c r="J125" i="2"/>
  <c r="I125" i="2"/>
  <c r="L125" i="2" s="1"/>
  <c r="H125" i="2"/>
  <c r="G125" i="2"/>
  <c r="J124" i="2"/>
  <c r="I124" i="2"/>
  <c r="L124" i="2" s="1"/>
  <c r="H124" i="2"/>
  <c r="K124" i="2" s="1"/>
  <c r="G124" i="2"/>
  <c r="J123" i="2"/>
  <c r="I123" i="2"/>
  <c r="L123" i="2" s="1"/>
  <c r="H123" i="2"/>
  <c r="K123" i="2" s="1"/>
  <c r="G123" i="2"/>
  <c r="J122" i="2"/>
  <c r="I122" i="2"/>
  <c r="L122" i="2" s="1"/>
  <c r="H122" i="2"/>
  <c r="K122" i="2" s="1"/>
  <c r="G122" i="2"/>
  <c r="J121" i="2"/>
  <c r="I121" i="2"/>
  <c r="L121" i="2" s="1"/>
  <c r="H121" i="2"/>
  <c r="K121" i="2" s="1"/>
  <c r="G121" i="2"/>
  <c r="J120" i="2"/>
  <c r="I120" i="2"/>
  <c r="L120" i="2" s="1"/>
  <c r="H120" i="2"/>
  <c r="K120" i="2" s="1"/>
  <c r="G120" i="2"/>
  <c r="H128" i="2" l="1"/>
  <c r="K128" i="2" s="1"/>
  <c r="H130" i="2"/>
  <c r="K130" i="2" s="1"/>
  <c r="D145" i="2"/>
  <c r="G167" i="2"/>
  <c r="L115" i="2"/>
  <c r="G111" i="2"/>
  <c r="L114" i="2"/>
  <c r="L111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1" i="2"/>
  <c r="M65" i="2"/>
  <c r="M64" i="2"/>
  <c r="M63" i="2"/>
  <c r="M62" i="2"/>
  <c r="H145" i="2" l="1"/>
  <c r="J150" i="2" s="1"/>
  <c r="L175" i="2" s="1"/>
  <c r="D69" i="2"/>
  <c r="H108" i="2"/>
  <c r="D108" i="2"/>
  <c r="D72" i="2"/>
  <c r="D107" i="2"/>
  <c r="D71" i="2"/>
  <c r="D70" i="2"/>
  <c r="H70" i="2" s="1"/>
  <c r="K70" i="2" s="1"/>
  <c r="K110" i="2"/>
  <c r="L110" i="2" s="1"/>
  <c r="F110" i="2"/>
  <c r="G110" i="2" s="1"/>
  <c r="K109" i="2"/>
  <c r="L109" i="2" s="1"/>
  <c r="F109" i="2"/>
  <c r="G109" i="2" s="1"/>
  <c r="K108" i="2"/>
  <c r="L108" i="2" s="1"/>
  <c r="F108" i="2"/>
  <c r="G108" i="2" s="1"/>
  <c r="K107" i="2"/>
  <c r="L107" i="2" s="1"/>
  <c r="F107" i="2"/>
  <c r="G107" i="2" s="1"/>
  <c r="K106" i="2"/>
  <c r="L106" i="2" s="1"/>
  <c r="F106" i="2"/>
  <c r="G106" i="2" s="1"/>
  <c r="K105" i="2"/>
  <c r="L105" i="2" s="1"/>
  <c r="F105" i="2"/>
  <c r="G105" i="2" s="1"/>
  <c r="K104" i="2"/>
  <c r="L104" i="2" s="1"/>
  <c r="F104" i="2"/>
  <c r="G104" i="2" s="1"/>
  <c r="K103" i="2"/>
  <c r="L103" i="2" s="1"/>
  <c r="F103" i="2"/>
  <c r="G103" i="2" s="1"/>
  <c r="K102" i="2"/>
  <c r="L102" i="2" s="1"/>
  <c r="F102" i="2"/>
  <c r="G102" i="2" s="1"/>
  <c r="K101" i="2"/>
  <c r="L101" i="2" s="1"/>
  <c r="F101" i="2"/>
  <c r="G101" i="2" s="1"/>
  <c r="K100" i="2"/>
  <c r="L100" i="2" s="1"/>
  <c r="F100" i="2"/>
  <c r="G100" i="2" s="1"/>
  <c r="K99" i="2"/>
  <c r="L99" i="2" s="1"/>
  <c r="F99" i="2"/>
  <c r="G99" i="2" s="1"/>
  <c r="K98" i="2"/>
  <c r="L98" i="2" s="1"/>
  <c r="F98" i="2"/>
  <c r="G98" i="2" s="1"/>
  <c r="K97" i="2"/>
  <c r="L97" i="2" s="1"/>
  <c r="F97" i="2"/>
  <c r="G97" i="2" s="1"/>
  <c r="J86" i="2"/>
  <c r="I86" i="2"/>
  <c r="G86" i="2"/>
  <c r="J85" i="2"/>
  <c r="I85" i="2"/>
  <c r="L85" i="2" s="1"/>
  <c r="H85" i="2"/>
  <c r="K85" i="2" s="1"/>
  <c r="G85" i="2"/>
  <c r="J84" i="2"/>
  <c r="I84" i="2"/>
  <c r="L84" i="2" s="1"/>
  <c r="H84" i="2"/>
  <c r="K84" i="2" s="1"/>
  <c r="G84" i="2"/>
  <c r="J83" i="2"/>
  <c r="I83" i="2"/>
  <c r="L83" i="2" s="1"/>
  <c r="H83" i="2"/>
  <c r="K83" i="2" s="1"/>
  <c r="G83" i="2"/>
  <c r="J82" i="2"/>
  <c r="I82" i="2"/>
  <c r="L82" i="2" s="1"/>
  <c r="H82" i="2"/>
  <c r="K82" i="2" s="1"/>
  <c r="G82" i="2"/>
  <c r="J81" i="2"/>
  <c r="I81" i="2"/>
  <c r="L81" i="2" s="1"/>
  <c r="H81" i="2"/>
  <c r="K81" i="2" s="1"/>
  <c r="G81" i="2"/>
  <c r="J80" i="2"/>
  <c r="I80" i="2"/>
  <c r="L80" i="2" s="1"/>
  <c r="H80" i="2"/>
  <c r="K80" i="2" s="1"/>
  <c r="G80" i="2"/>
  <c r="J79" i="2"/>
  <c r="I79" i="2"/>
  <c r="L79" i="2" s="1"/>
  <c r="H79" i="2"/>
  <c r="K79" i="2" s="1"/>
  <c r="G79" i="2"/>
  <c r="J78" i="2"/>
  <c r="I78" i="2"/>
  <c r="L78" i="2" s="1"/>
  <c r="H78" i="2"/>
  <c r="K78" i="2" s="1"/>
  <c r="G78" i="2"/>
  <c r="J77" i="2"/>
  <c r="I77" i="2"/>
  <c r="L77" i="2" s="1"/>
  <c r="H77" i="2"/>
  <c r="K77" i="2" s="1"/>
  <c r="G77" i="2"/>
  <c r="J76" i="2"/>
  <c r="I76" i="2"/>
  <c r="L76" i="2" s="1"/>
  <c r="H76" i="2"/>
  <c r="K76" i="2" s="1"/>
  <c r="G76" i="2"/>
  <c r="J75" i="2"/>
  <c r="I75" i="2"/>
  <c r="L75" i="2" s="1"/>
  <c r="H75" i="2"/>
  <c r="K75" i="2" s="1"/>
  <c r="G75" i="2"/>
  <c r="L74" i="2"/>
  <c r="J74" i="2"/>
  <c r="I74" i="2"/>
  <c r="H74" i="2"/>
  <c r="K74" i="2" s="1"/>
  <c r="G74" i="2"/>
  <c r="L73" i="2"/>
  <c r="J73" i="2"/>
  <c r="I73" i="2"/>
  <c r="H73" i="2"/>
  <c r="K73" i="2" s="1"/>
  <c r="G73" i="2"/>
  <c r="L72" i="2"/>
  <c r="J72" i="2"/>
  <c r="I72" i="2"/>
  <c r="H72" i="2"/>
  <c r="K72" i="2" s="1"/>
  <c r="G72" i="2"/>
  <c r="L71" i="2"/>
  <c r="J71" i="2"/>
  <c r="I71" i="2"/>
  <c r="H71" i="2"/>
  <c r="K71" i="2" s="1"/>
  <c r="G71" i="2"/>
  <c r="L70" i="2"/>
  <c r="J70" i="2"/>
  <c r="I70" i="2"/>
  <c r="G70" i="2"/>
  <c r="L69" i="2"/>
  <c r="J69" i="2"/>
  <c r="I69" i="2"/>
  <c r="H69" i="2"/>
  <c r="K69" i="2" s="1"/>
  <c r="G69" i="2"/>
  <c r="L68" i="2"/>
  <c r="J68" i="2"/>
  <c r="I68" i="2"/>
  <c r="H68" i="2"/>
  <c r="K68" i="2" s="1"/>
  <c r="G68" i="2"/>
  <c r="L67" i="2"/>
  <c r="J67" i="2"/>
  <c r="I67" i="2"/>
  <c r="H67" i="2"/>
  <c r="K67" i="2" s="1"/>
  <c r="G67" i="2"/>
  <c r="L66" i="2"/>
  <c r="J66" i="2"/>
  <c r="I66" i="2"/>
  <c r="H66" i="2"/>
  <c r="K66" i="2" s="1"/>
  <c r="G66" i="2"/>
  <c r="L65" i="2"/>
  <c r="J65" i="2"/>
  <c r="I65" i="2"/>
  <c r="H65" i="2"/>
  <c r="K65" i="2" s="1"/>
  <c r="G65" i="2"/>
  <c r="L64" i="2"/>
  <c r="J64" i="2"/>
  <c r="I64" i="2"/>
  <c r="H64" i="2"/>
  <c r="K64" i="2" s="1"/>
  <c r="G64" i="2"/>
  <c r="L63" i="2"/>
  <c r="J63" i="2"/>
  <c r="I63" i="2"/>
  <c r="H63" i="2"/>
  <c r="K63" i="2" s="1"/>
  <c r="G63" i="2"/>
  <c r="L62" i="2"/>
  <c r="J62" i="2"/>
  <c r="I62" i="2"/>
  <c r="H62" i="2"/>
  <c r="K62" i="2" s="1"/>
  <c r="G62" i="2"/>
  <c r="L61" i="2"/>
  <c r="J61" i="2"/>
  <c r="I61" i="2"/>
  <c r="H61" i="2"/>
  <c r="K61" i="2" s="1"/>
  <c r="G61" i="2"/>
  <c r="M85" i="2" l="1"/>
  <c r="M86" i="2" s="1"/>
  <c r="J90" i="2" s="1"/>
  <c r="D86" i="2"/>
  <c r="H86" i="2" s="1"/>
  <c r="K86" i="2" s="1"/>
  <c r="J89" i="2" s="1"/>
  <c r="J91" i="2" s="1"/>
  <c r="L113" i="2" s="1"/>
  <c r="D28" i="2"/>
  <c r="L56" i="2"/>
  <c r="L55" i="2"/>
  <c r="L52" i="2"/>
  <c r="G52" i="2"/>
  <c r="J31" i="2"/>
  <c r="L54" i="2" s="1"/>
  <c r="L57" i="2" s="1"/>
  <c r="K51" i="2"/>
  <c r="L51" i="2" s="1"/>
  <c r="F51" i="2"/>
  <c r="G51" i="2" s="1"/>
  <c r="L50" i="2"/>
  <c r="K50" i="2"/>
  <c r="G50" i="2"/>
  <c r="M50" i="2" s="1"/>
  <c r="O50" i="2" s="1"/>
  <c r="F50" i="2"/>
  <c r="L49" i="2"/>
  <c r="K49" i="2"/>
  <c r="F49" i="2"/>
  <c r="K48" i="2"/>
  <c r="L48" i="2" s="1"/>
  <c r="F48" i="2"/>
  <c r="G48" i="2" s="1"/>
  <c r="L47" i="2"/>
  <c r="K47" i="2"/>
  <c r="F47" i="2"/>
  <c r="K46" i="2"/>
  <c r="L46" i="2" s="1"/>
  <c r="F46" i="2"/>
  <c r="L45" i="2"/>
  <c r="K45" i="2"/>
  <c r="G45" i="2"/>
  <c r="F45" i="2"/>
  <c r="L44" i="2"/>
  <c r="K44" i="2"/>
  <c r="F44" i="2"/>
  <c r="G44" i="2" s="1"/>
  <c r="M44" i="2" s="1"/>
  <c r="O44" i="2" s="1"/>
  <c r="K43" i="2"/>
  <c r="L43" i="2"/>
  <c r="F43" i="2"/>
  <c r="G43" i="2" s="1"/>
  <c r="L42" i="2"/>
  <c r="K42" i="2"/>
  <c r="G42" i="2"/>
  <c r="M42" i="2" s="1"/>
  <c r="O42" i="2" s="1"/>
  <c r="F42" i="2"/>
  <c r="K41" i="2"/>
  <c r="F41" i="2"/>
  <c r="G41" i="2" s="1"/>
  <c r="K40" i="2"/>
  <c r="L40" i="2"/>
  <c r="F40" i="2"/>
  <c r="G40" i="2" s="1"/>
  <c r="K39" i="2"/>
  <c r="G39" i="2"/>
  <c r="F39" i="2"/>
  <c r="K38" i="2"/>
  <c r="L38" i="2" s="1"/>
  <c r="G38" i="2"/>
  <c r="F38" i="2"/>
  <c r="J28" i="2"/>
  <c r="I28" i="2"/>
  <c r="G28" i="2"/>
  <c r="H28" i="2"/>
  <c r="K28" i="2" s="1"/>
  <c r="J27" i="2"/>
  <c r="I27" i="2"/>
  <c r="L27" i="2" s="1"/>
  <c r="H27" i="2"/>
  <c r="K27" i="2" s="1"/>
  <c r="G27" i="2"/>
  <c r="L26" i="2"/>
  <c r="J26" i="2"/>
  <c r="I26" i="2"/>
  <c r="H26" i="2"/>
  <c r="K26" i="2" s="1"/>
  <c r="G26" i="2"/>
  <c r="L25" i="2"/>
  <c r="J25" i="2"/>
  <c r="I25" i="2"/>
  <c r="H25" i="2"/>
  <c r="K25" i="2" s="1"/>
  <c r="G25" i="2"/>
  <c r="K24" i="2"/>
  <c r="J24" i="2"/>
  <c r="I24" i="2"/>
  <c r="L24" i="2" s="1"/>
  <c r="H24" i="2"/>
  <c r="G24" i="2"/>
  <c r="M24" i="2" s="1"/>
  <c r="L23" i="2"/>
  <c r="J23" i="2"/>
  <c r="I23" i="2"/>
  <c r="H23" i="2"/>
  <c r="K23" i="2" s="1"/>
  <c r="O23" i="2" s="1"/>
  <c r="G23" i="2"/>
  <c r="M23" i="2" s="1"/>
  <c r="K22" i="2"/>
  <c r="O22" i="2" s="1"/>
  <c r="J22" i="2"/>
  <c r="I22" i="2"/>
  <c r="L22" i="2" s="1"/>
  <c r="H22" i="2"/>
  <c r="G22" i="2"/>
  <c r="M22" i="2" s="1"/>
  <c r="L21" i="2"/>
  <c r="J21" i="2"/>
  <c r="I21" i="2"/>
  <c r="H21" i="2"/>
  <c r="K21" i="2" s="1"/>
  <c r="O21" i="2" s="1"/>
  <c r="G21" i="2"/>
  <c r="M21" i="2" s="1"/>
  <c r="K20" i="2"/>
  <c r="O20" i="2" s="1"/>
  <c r="J20" i="2"/>
  <c r="I20" i="2"/>
  <c r="L20" i="2" s="1"/>
  <c r="H20" i="2"/>
  <c r="G20" i="2"/>
  <c r="M20" i="2" s="1"/>
  <c r="K19" i="2"/>
  <c r="O19" i="2" s="1"/>
  <c r="J19" i="2"/>
  <c r="I19" i="2"/>
  <c r="L19" i="2" s="1"/>
  <c r="H19" i="2"/>
  <c r="G19" i="2"/>
  <c r="M19" i="2" s="1"/>
  <c r="J18" i="2"/>
  <c r="I18" i="2"/>
  <c r="L18" i="2" s="1"/>
  <c r="H18" i="2"/>
  <c r="K18" i="2" s="1"/>
  <c r="O18" i="2" s="1"/>
  <c r="G18" i="2"/>
  <c r="J17" i="2"/>
  <c r="M17" i="2" s="1"/>
  <c r="I17" i="2"/>
  <c r="L17" i="2" s="1"/>
  <c r="H17" i="2"/>
  <c r="K17" i="2" s="1"/>
  <c r="O17" i="2" s="1"/>
  <c r="G17" i="2"/>
  <c r="K16" i="2"/>
  <c r="O16" i="2" s="1"/>
  <c r="J16" i="2"/>
  <c r="I16" i="2"/>
  <c r="L16" i="2" s="1"/>
  <c r="H16" i="2"/>
  <c r="G16" i="2"/>
  <c r="M16" i="2" s="1"/>
  <c r="K15" i="2"/>
  <c r="O15" i="2" s="1"/>
  <c r="J15" i="2"/>
  <c r="I15" i="2"/>
  <c r="L15" i="2" s="1"/>
  <c r="H15" i="2"/>
  <c r="G15" i="2"/>
  <c r="M15" i="2" s="1"/>
  <c r="J14" i="2"/>
  <c r="I14" i="2"/>
  <c r="L14" i="2" s="1"/>
  <c r="H14" i="2"/>
  <c r="K14" i="2" s="1"/>
  <c r="O14" i="2" s="1"/>
  <c r="G14" i="2"/>
  <c r="J13" i="2"/>
  <c r="M13" i="2" s="1"/>
  <c r="I13" i="2"/>
  <c r="L13" i="2" s="1"/>
  <c r="H13" i="2"/>
  <c r="K13" i="2" s="1"/>
  <c r="O13" i="2" s="1"/>
  <c r="G13" i="2"/>
  <c r="K12" i="2"/>
  <c r="O12" i="2" s="1"/>
  <c r="J12" i="2"/>
  <c r="I12" i="2"/>
  <c r="L12" i="2" s="1"/>
  <c r="H12" i="2"/>
  <c r="G12" i="2"/>
  <c r="M12" i="2" s="1"/>
  <c r="J11" i="2"/>
  <c r="I11" i="2"/>
  <c r="L11" i="2" s="1"/>
  <c r="H11" i="2"/>
  <c r="K11" i="2" s="1"/>
  <c r="G11" i="2"/>
  <c r="J10" i="2"/>
  <c r="I10" i="2"/>
  <c r="L10" i="2" s="1"/>
  <c r="H10" i="2"/>
  <c r="K10" i="2" s="1"/>
  <c r="G10" i="2"/>
  <c r="M10" i="2" s="1"/>
  <c r="J9" i="2"/>
  <c r="I9" i="2"/>
  <c r="L9" i="2" s="1"/>
  <c r="H9" i="2"/>
  <c r="K9" i="2" s="1"/>
  <c r="G9" i="2"/>
  <c r="J8" i="2"/>
  <c r="I8" i="2"/>
  <c r="L8" i="2" s="1"/>
  <c r="H8" i="2"/>
  <c r="K8" i="2" s="1"/>
  <c r="G8" i="2"/>
  <c r="M8" i="2" s="1"/>
  <c r="J7" i="2"/>
  <c r="I7" i="2"/>
  <c r="L7" i="2" s="1"/>
  <c r="H7" i="2"/>
  <c r="K7" i="2" s="1"/>
  <c r="G7" i="2"/>
  <c r="J6" i="2"/>
  <c r="I6" i="2"/>
  <c r="L6" i="2" s="1"/>
  <c r="H6" i="2"/>
  <c r="K6" i="2" s="1"/>
  <c r="G6" i="2"/>
  <c r="M6" i="2" s="1"/>
  <c r="J5" i="2"/>
  <c r="I5" i="2"/>
  <c r="L5" i="2" s="1"/>
  <c r="H5" i="2"/>
  <c r="K5" i="2" s="1"/>
  <c r="G5" i="2"/>
  <c r="J4" i="2"/>
  <c r="I4" i="2"/>
  <c r="L4" i="2" s="1"/>
  <c r="H4" i="2"/>
  <c r="K4" i="2" s="1"/>
  <c r="G4" i="2"/>
  <c r="M4" i="2" s="1"/>
  <c r="J3" i="2"/>
  <c r="I3" i="2"/>
  <c r="L3" i="2" s="1"/>
  <c r="H3" i="2"/>
  <c r="K3" i="2" s="1"/>
  <c r="G3" i="2"/>
  <c r="L116" i="2" l="1"/>
  <c r="M48" i="2"/>
  <c r="M43" i="2"/>
  <c r="M38" i="2"/>
  <c r="O38" i="2" s="1"/>
  <c r="P38" i="2" s="1"/>
  <c r="M40" i="2"/>
  <c r="O40" i="2" s="1"/>
  <c r="P40" i="2" s="1"/>
  <c r="R40" i="2" s="1"/>
  <c r="P26" i="2"/>
  <c r="R26" i="2" s="1"/>
  <c r="O26" i="2"/>
  <c r="P25" i="2"/>
  <c r="R25" i="2" s="1"/>
  <c r="O25" i="2"/>
  <c r="P27" i="2"/>
  <c r="R27" i="2" s="1"/>
  <c r="O27" i="2"/>
  <c r="M3" i="2"/>
  <c r="M5" i="2"/>
  <c r="M7" i="2"/>
  <c r="M9" i="2"/>
  <c r="M11" i="2"/>
  <c r="M14" i="2"/>
  <c r="M18" i="2"/>
  <c r="M25" i="2"/>
  <c r="M26" i="2"/>
  <c r="M27" i="2"/>
  <c r="O4" i="2"/>
  <c r="P4" i="2" s="1"/>
  <c r="R4" i="2" s="1"/>
  <c r="O6" i="2"/>
  <c r="P6" i="2" s="1"/>
  <c r="R6" i="2" s="1"/>
  <c r="O8" i="2"/>
  <c r="P8" i="2" s="1"/>
  <c r="R8" i="2" s="1"/>
  <c r="O10" i="2"/>
  <c r="P10" i="2" s="1"/>
  <c r="R10" i="2" s="1"/>
  <c r="O43" i="2"/>
  <c r="P43" i="2" s="1"/>
  <c r="R43" i="2" s="1"/>
  <c r="O3" i="2"/>
  <c r="P3" i="2" s="1"/>
  <c r="O5" i="2"/>
  <c r="P5" i="2" s="1"/>
  <c r="R5" i="2" s="1"/>
  <c r="O7" i="2"/>
  <c r="P7" i="2" s="1"/>
  <c r="R7" i="2" s="1"/>
  <c r="O9" i="2"/>
  <c r="P9" i="2" s="1"/>
  <c r="R9" i="2" s="1"/>
  <c r="O11" i="2"/>
  <c r="P11" i="2" s="1"/>
  <c r="R11" i="2" s="1"/>
  <c r="P12" i="2"/>
  <c r="R12" i="2" s="1"/>
  <c r="P14" i="2"/>
  <c r="R14" i="2" s="1"/>
  <c r="P16" i="2"/>
  <c r="R16" i="2" s="1"/>
  <c r="P18" i="2"/>
  <c r="R18" i="2" s="1"/>
  <c r="N24" i="2"/>
  <c r="O24" i="2" s="1"/>
  <c r="P24" i="2" s="1"/>
  <c r="R24" i="2" s="1"/>
  <c r="P13" i="2"/>
  <c r="R13" i="2" s="1"/>
  <c r="P15" i="2"/>
  <c r="R15" i="2" s="1"/>
  <c r="P17" i="2"/>
  <c r="R17" i="2" s="1"/>
  <c r="P19" i="2"/>
  <c r="R19" i="2" s="1"/>
  <c r="P20" i="2"/>
  <c r="R20" i="2" s="1"/>
  <c r="P21" i="2"/>
  <c r="R21" i="2" s="1"/>
  <c r="P22" i="2"/>
  <c r="R22" i="2" s="1"/>
  <c r="P23" i="2"/>
  <c r="R23" i="2" s="1"/>
  <c r="L39" i="2"/>
  <c r="M39" i="2" s="1"/>
  <c r="L41" i="2"/>
  <c r="M41" i="2" s="1"/>
  <c r="P42" i="2"/>
  <c r="R42" i="2" s="1"/>
  <c r="P44" i="2"/>
  <c r="R44" i="2" s="1"/>
  <c r="M45" i="2"/>
  <c r="G46" i="2"/>
  <c r="M46" i="2" s="1"/>
  <c r="G47" i="2"/>
  <c r="M47" i="2" s="1"/>
  <c r="O48" i="2"/>
  <c r="P48" i="2" s="1"/>
  <c r="R48" i="2" s="1"/>
  <c r="G49" i="2"/>
  <c r="M49" i="2" s="1"/>
  <c r="P50" i="2"/>
  <c r="R50" i="2" s="1"/>
  <c r="R38" i="2" l="1"/>
  <c r="O41" i="2"/>
  <c r="P41" i="2"/>
  <c r="R41" i="2" s="1"/>
  <c r="P28" i="2"/>
  <c r="R3" i="2"/>
  <c r="R28" i="2" s="1"/>
  <c r="O46" i="2"/>
  <c r="P46" i="2" s="1"/>
  <c r="R46" i="2" s="1"/>
  <c r="O39" i="2"/>
  <c r="P39" i="2" s="1"/>
  <c r="R39" i="2" s="1"/>
  <c r="O49" i="2"/>
  <c r="P49" i="2" s="1"/>
  <c r="R49" i="2" s="1"/>
  <c r="O47" i="2"/>
  <c r="P47" i="2" s="1"/>
  <c r="R47" i="2" s="1"/>
  <c r="O45" i="2"/>
  <c r="P45" i="2" s="1"/>
  <c r="R45" i="2" s="1"/>
  <c r="M51" i="2"/>
  <c r="P51" i="2" l="1"/>
  <c r="R51" i="2"/>
  <c r="L51" i="1" l="1"/>
  <c r="P29" i="1"/>
  <c r="N25" i="1"/>
  <c r="P25" i="1"/>
  <c r="L57" i="1" l="1"/>
  <c r="L56" i="1"/>
  <c r="L58" i="1" s="1"/>
  <c r="R40" i="1"/>
  <c r="R39" i="1"/>
  <c r="H57" i="1"/>
  <c r="P52" i="1"/>
  <c r="M52" i="1"/>
  <c r="P51" i="1"/>
  <c r="K29" i="1"/>
  <c r="R29" i="1"/>
  <c r="R52" i="1"/>
  <c r="D29" i="1"/>
  <c r="D51" i="1"/>
  <c r="D50" i="1"/>
  <c r="O25" i="1"/>
  <c r="P24" i="1"/>
  <c r="O41" i="1"/>
  <c r="O40" i="1"/>
  <c r="M40" i="1"/>
  <c r="M49" i="1"/>
  <c r="M39" i="1"/>
  <c r="K26" i="1"/>
  <c r="K27" i="1"/>
  <c r="O27" i="1" s="1"/>
  <c r="P27" i="1" s="1"/>
  <c r="R27" i="1" s="1"/>
  <c r="J25" i="1"/>
  <c r="J26" i="1"/>
  <c r="M26" i="1" s="1"/>
  <c r="J27" i="1"/>
  <c r="M27" i="1" s="1"/>
  <c r="I25" i="1"/>
  <c r="L25" i="1" s="1"/>
  <c r="I26" i="1"/>
  <c r="L26" i="1" s="1"/>
  <c r="I27" i="1"/>
  <c r="L27" i="1" s="1"/>
  <c r="H25" i="1"/>
  <c r="K25" i="1" s="1"/>
  <c r="H26" i="1"/>
  <c r="H27" i="1"/>
  <c r="G25" i="1"/>
  <c r="G26" i="1"/>
  <c r="G27" i="1"/>
  <c r="H49" i="1"/>
  <c r="D49" i="1"/>
  <c r="H48" i="1"/>
  <c r="D48" i="1"/>
  <c r="M47" i="1"/>
  <c r="K21" i="1"/>
  <c r="O21" i="1" s="1"/>
  <c r="K22" i="1"/>
  <c r="K23" i="1"/>
  <c r="O23" i="1" s="1"/>
  <c r="K24" i="1"/>
  <c r="J21" i="1"/>
  <c r="M21" i="1" s="1"/>
  <c r="J22" i="1"/>
  <c r="M22" i="1" s="1"/>
  <c r="J23" i="1"/>
  <c r="M23" i="1" s="1"/>
  <c r="J24" i="1"/>
  <c r="M24" i="1" s="1"/>
  <c r="J28" i="1"/>
  <c r="M28" i="1" s="1"/>
  <c r="I21" i="1"/>
  <c r="L21" i="1" s="1"/>
  <c r="I22" i="1"/>
  <c r="L22" i="1" s="1"/>
  <c r="I23" i="1"/>
  <c r="L23" i="1" s="1"/>
  <c r="I24" i="1"/>
  <c r="L24" i="1" s="1"/>
  <c r="I28" i="1"/>
  <c r="L28" i="1" s="1"/>
  <c r="H21" i="1"/>
  <c r="H22" i="1"/>
  <c r="H23" i="1"/>
  <c r="H24" i="1"/>
  <c r="G21" i="1"/>
  <c r="G22" i="1"/>
  <c r="G23" i="1"/>
  <c r="G24" i="1"/>
  <c r="P39" i="1"/>
  <c r="O39" i="1"/>
  <c r="M41" i="1"/>
  <c r="M42" i="1"/>
  <c r="O42" i="1" s="1"/>
  <c r="P42" i="1" s="1"/>
  <c r="R42" i="1" s="1"/>
  <c r="M43" i="1"/>
  <c r="O43" i="1" s="1"/>
  <c r="P43" i="1" s="1"/>
  <c r="R43" i="1" s="1"/>
  <c r="M44" i="1"/>
  <c r="O44" i="1" s="1"/>
  <c r="P44" i="1" s="1"/>
  <c r="R44" i="1" s="1"/>
  <c r="M45" i="1"/>
  <c r="O45" i="1" s="1"/>
  <c r="P45" i="1" s="1"/>
  <c r="R45" i="1" s="1"/>
  <c r="M46" i="1"/>
  <c r="O46" i="1" s="1"/>
  <c r="P46" i="1" s="1"/>
  <c r="R46" i="1" s="1"/>
  <c r="R4" i="1"/>
  <c r="P5" i="1"/>
  <c r="R5" i="1" s="1"/>
  <c r="P7" i="1"/>
  <c r="R7" i="1" s="1"/>
  <c r="P11" i="1"/>
  <c r="R11" i="1" s="1"/>
  <c r="P4" i="1"/>
  <c r="O5" i="1"/>
  <c r="O7" i="1"/>
  <c r="O11" i="1"/>
  <c r="O12" i="1"/>
  <c r="P12" i="1" s="1"/>
  <c r="R12" i="1" s="1"/>
  <c r="O20" i="1"/>
  <c r="P20" i="1" s="1"/>
  <c r="R20" i="1" s="1"/>
  <c r="O4" i="1"/>
  <c r="O26" i="1" l="1"/>
  <c r="P26" i="1" s="1"/>
  <c r="R26" i="1" s="1"/>
  <c r="P40" i="1"/>
  <c r="M25" i="1"/>
  <c r="R25" i="1"/>
  <c r="O47" i="1"/>
  <c r="P47" i="1" s="1"/>
  <c r="R47" i="1" s="1"/>
  <c r="O24" i="1"/>
  <c r="R24" i="1" s="1"/>
  <c r="P23" i="1"/>
  <c r="R23" i="1" s="1"/>
  <c r="O22" i="1"/>
  <c r="P21" i="1"/>
  <c r="R21" i="1" s="1"/>
  <c r="P41" i="1"/>
  <c r="R41" i="1" s="1"/>
  <c r="H5" i="1"/>
  <c r="H4" i="1"/>
  <c r="K5" i="1"/>
  <c r="K4" i="1"/>
  <c r="J29" i="1"/>
  <c r="I29" i="1"/>
  <c r="H28" i="1"/>
  <c r="K28" i="1" s="1"/>
  <c r="H29" i="1"/>
  <c r="G28" i="1"/>
  <c r="G29" i="1"/>
  <c r="F45" i="1"/>
  <c r="H47" i="1"/>
  <c r="K47" i="1" s="1"/>
  <c r="L47" i="1" s="1"/>
  <c r="D47" i="1"/>
  <c r="J20" i="1"/>
  <c r="M20" i="1" s="1"/>
  <c r="I20" i="1"/>
  <c r="L20" i="1" s="1"/>
  <c r="G19" i="1"/>
  <c r="G20" i="1"/>
  <c r="H46" i="1"/>
  <c r="L43" i="1"/>
  <c r="G18" i="1"/>
  <c r="H6" i="1"/>
  <c r="H7" i="1"/>
  <c r="K7" i="1" s="1"/>
  <c r="H8" i="1"/>
  <c r="H9" i="1"/>
  <c r="K9" i="1" s="1"/>
  <c r="H10" i="1"/>
  <c r="H11" i="1"/>
  <c r="K11" i="1" s="1"/>
  <c r="H12" i="1"/>
  <c r="H13" i="1"/>
  <c r="K13" i="1" s="1"/>
  <c r="H14" i="1"/>
  <c r="H15" i="1"/>
  <c r="K15" i="1" s="1"/>
  <c r="H16" i="1"/>
  <c r="H17" i="1"/>
  <c r="K17" i="1" s="1"/>
  <c r="H18" i="1"/>
  <c r="K18" i="1" s="1"/>
  <c r="H19" i="1"/>
  <c r="K19" i="1" s="1"/>
  <c r="H20" i="1"/>
  <c r="K20" i="1" s="1"/>
  <c r="I18" i="1"/>
  <c r="I19" i="1"/>
  <c r="J18" i="1"/>
  <c r="J19" i="1"/>
  <c r="M19" i="1" s="1"/>
  <c r="L18" i="1"/>
  <c r="L19" i="1"/>
  <c r="J17" i="1"/>
  <c r="M17" i="1" s="1"/>
  <c r="I17" i="1"/>
  <c r="L17" i="1" s="1"/>
  <c r="G17" i="1"/>
  <c r="H44" i="1"/>
  <c r="D43" i="1"/>
  <c r="F43" i="1" s="1"/>
  <c r="G43" i="1" s="1"/>
  <c r="H42" i="1"/>
  <c r="L42" i="1" s="1"/>
  <c r="D42" i="1"/>
  <c r="F42" i="1" s="1"/>
  <c r="G42" i="1" s="1"/>
  <c r="H41" i="1"/>
  <c r="K41" i="1" s="1"/>
  <c r="L41" i="1" s="1"/>
  <c r="D41" i="1"/>
  <c r="H40" i="1"/>
  <c r="L40" i="1" s="1"/>
  <c r="D40" i="1"/>
  <c r="H39" i="1"/>
  <c r="D39" i="1"/>
  <c r="K8" i="1"/>
  <c r="G4" i="1"/>
  <c r="I4" i="1"/>
  <c r="L4" i="1" s="1"/>
  <c r="J4" i="1"/>
  <c r="M4" i="1"/>
  <c r="G5" i="1"/>
  <c r="I5" i="1"/>
  <c r="J5" i="1"/>
  <c r="M5" i="1" s="1"/>
  <c r="L5" i="1"/>
  <c r="G6" i="1"/>
  <c r="I6" i="1"/>
  <c r="L6" i="1" s="1"/>
  <c r="J6" i="1"/>
  <c r="K6" i="1"/>
  <c r="M6" i="1"/>
  <c r="G7" i="1"/>
  <c r="I7" i="1"/>
  <c r="J7" i="1"/>
  <c r="M7" i="1" s="1"/>
  <c r="L7" i="1"/>
  <c r="G8" i="1"/>
  <c r="I8" i="1"/>
  <c r="L8" i="1" s="1"/>
  <c r="J8" i="1"/>
  <c r="M8" i="1" s="1"/>
  <c r="G9" i="1"/>
  <c r="I9" i="1"/>
  <c r="J9" i="1"/>
  <c r="M9" i="1" s="1"/>
  <c r="L9" i="1"/>
  <c r="G10" i="1"/>
  <c r="I10" i="1"/>
  <c r="L10" i="1" s="1"/>
  <c r="J10" i="1"/>
  <c r="K10" i="1"/>
  <c r="M10" i="1"/>
  <c r="G11" i="1"/>
  <c r="I11" i="1"/>
  <c r="J11" i="1"/>
  <c r="M11" i="1" s="1"/>
  <c r="L11" i="1"/>
  <c r="G12" i="1"/>
  <c r="I12" i="1"/>
  <c r="L12" i="1" s="1"/>
  <c r="J12" i="1"/>
  <c r="K12" i="1"/>
  <c r="M12" i="1"/>
  <c r="G13" i="1"/>
  <c r="I13" i="1"/>
  <c r="J13" i="1"/>
  <c r="M13" i="1" s="1"/>
  <c r="L13" i="1"/>
  <c r="G14" i="1"/>
  <c r="I14" i="1"/>
  <c r="L14" i="1" s="1"/>
  <c r="J14" i="1"/>
  <c r="K14" i="1"/>
  <c r="M14" i="1"/>
  <c r="G15" i="1"/>
  <c r="I15" i="1"/>
  <c r="J15" i="1"/>
  <c r="M15" i="1" s="1"/>
  <c r="L15" i="1"/>
  <c r="G16" i="1"/>
  <c r="K16" i="1"/>
  <c r="I16" i="1"/>
  <c r="L16" i="1" s="1"/>
  <c r="J16" i="1"/>
  <c r="M16" i="1" s="1"/>
  <c r="K53" i="1"/>
  <c r="L53" i="1" s="1"/>
  <c r="F53" i="1"/>
  <c r="G53" i="1" s="1"/>
  <c r="L52" i="1"/>
  <c r="K52" i="1"/>
  <c r="F52" i="1"/>
  <c r="G52" i="1" s="1"/>
  <c r="K51" i="1"/>
  <c r="F51" i="1"/>
  <c r="G51" i="1" s="1"/>
  <c r="K50" i="1"/>
  <c r="L50" i="1" s="1"/>
  <c r="F50" i="1"/>
  <c r="G50" i="1" s="1"/>
  <c r="M50" i="1" s="1"/>
  <c r="O50" i="1" s="1"/>
  <c r="P50" i="1" s="1"/>
  <c r="R50" i="1" s="1"/>
  <c r="K49" i="1"/>
  <c r="L49" i="1" s="1"/>
  <c r="F49" i="1"/>
  <c r="G49" i="1" s="1"/>
  <c r="L48" i="1"/>
  <c r="K48" i="1"/>
  <c r="F48" i="1"/>
  <c r="G48" i="1" s="1"/>
  <c r="M48" i="1" s="1"/>
  <c r="F47" i="1"/>
  <c r="K46" i="1"/>
  <c r="L46" i="1" s="1"/>
  <c r="F46" i="1"/>
  <c r="G46" i="1" s="1"/>
  <c r="L45" i="1"/>
  <c r="K45" i="1"/>
  <c r="G45" i="1"/>
  <c r="K44" i="1"/>
  <c r="L44" i="1" s="1"/>
  <c r="F44" i="1"/>
  <c r="G44" i="1" s="1"/>
  <c r="K43" i="1"/>
  <c r="K42" i="1"/>
  <c r="F41" i="1"/>
  <c r="K40" i="1"/>
  <c r="F40" i="1"/>
  <c r="G40" i="1" s="1"/>
  <c r="K39" i="1"/>
  <c r="L39" i="1" s="1"/>
  <c r="F39" i="1"/>
  <c r="M51" i="1" l="1"/>
  <c r="O51" i="1" s="1"/>
  <c r="R51" i="1" s="1"/>
  <c r="P28" i="1"/>
  <c r="R28" i="1" s="1"/>
  <c r="O28" i="1"/>
  <c r="P16" i="1"/>
  <c r="R16" i="1" s="1"/>
  <c r="O16" i="1"/>
  <c r="O19" i="1"/>
  <c r="P19" i="1" s="1"/>
  <c r="R19" i="1" s="1"/>
  <c r="O17" i="1"/>
  <c r="P17" i="1" s="1"/>
  <c r="R17" i="1" s="1"/>
  <c r="O15" i="1"/>
  <c r="P15" i="1" s="1"/>
  <c r="R15" i="1" s="1"/>
  <c r="O13" i="1"/>
  <c r="P13" i="1" s="1"/>
  <c r="R13" i="1" s="1"/>
  <c r="O9" i="1"/>
  <c r="P9" i="1" s="1"/>
  <c r="R9" i="1" s="1"/>
  <c r="O14" i="1"/>
  <c r="P14" i="1" s="1"/>
  <c r="R14" i="1" s="1"/>
  <c r="O10" i="1"/>
  <c r="P10" i="1" s="1"/>
  <c r="R10" i="1" s="1"/>
  <c r="O6" i="1"/>
  <c r="P6" i="1" s="1"/>
  <c r="R6" i="1" s="1"/>
  <c r="O8" i="1"/>
  <c r="P8" i="1" s="1"/>
  <c r="R8" i="1" s="1"/>
  <c r="O18" i="1"/>
  <c r="P18" i="1" s="1"/>
  <c r="R18" i="1" s="1"/>
  <c r="M18" i="1"/>
  <c r="O49" i="1"/>
  <c r="P49" i="1" s="1"/>
  <c r="R49" i="1" s="1"/>
  <c r="O48" i="1"/>
  <c r="P48" i="1" s="1"/>
  <c r="R48" i="1" s="1"/>
  <c r="P22" i="1"/>
  <c r="G47" i="1"/>
  <c r="G41" i="1"/>
  <c r="G39" i="1"/>
  <c r="J33" i="1" l="1"/>
  <c r="R22" i="1"/>
  <c r="H56" i="1" l="1"/>
  <c r="H59" i="1" s="1"/>
</calcChain>
</file>

<file path=xl/sharedStrings.xml><?xml version="1.0" encoding="utf-8"?>
<sst xmlns="http://schemas.openxmlformats.org/spreadsheetml/2006/main" count="338" uniqueCount="36">
  <si>
    <t>DEBITO</t>
  </si>
  <si>
    <t>ELECTRON</t>
  </si>
  <si>
    <t>CREDITO</t>
  </si>
  <si>
    <t>I.S.L.R 5%</t>
  </si>
  <si>
    <t>T. DEB</t>
  </si>
  <si>
    <t>T.ELEC</t>
  </si>
  <si>
    <t>T.CRED</t>
  </si>
  <si>
    <t>2,50% CRED</t>
  </si>
  <si>
    <t>0,75% DEB</t>
  </si>
  <si>
    <t>FECHA</t>
  </si>
  <si>
    <t>0,75% ELECT</t>
  </si>
  <si>
    <t>BANCO</t>
  </si>
  <si>
    <t>AHORRO</t>
  </si>
  <si>
    <t>% DESC</t>
  </si>
  <si>
    <t>TOTAL DESC</t>
  </si>
  <si>
    <t>LIQUIDO</t>
  </si>
  <si>
    <t>D</t>
  </si>
  <si>
    <t>N</t>
  </si>
  <si>
    <t>VENEZUELA</t>
  </si>
  <si>
    <t>BANCRECER</t>
  </si>
  <si>
    <t>BIOPAGO</t>
  </si>
  <si>
    <t>MONEDERO</t>
  </si>
  <si>
    <t>CORRIENTE</t>
  </si>
  <si>
    <t>LOTE</t>
  </si>
  <si>
    <t>TOTAL</t>
  </si>
  <si>
    <t>TOTAL DISPONIBLE</t>
  </si>
  <si>
    <t>TASA DIARIA</t>
  </si>
  <si>
    <t>$</t>
  </si>
  <si>
    <t>PAGO PUNTO PRESTADO DE AUTOMERCADO EXPRESS A CANTOLAGO EXPRESS DEL 17 AL 29 DE AGOSTO</t>
  </si>
  <si>
    <t>PAGO PUNTO PRESTADO DE AUTOMERCADO EXPRESS A CANTOLAGO EXPRESS DEL 1 AL 4 DE SEPTIEMBRE</t>
  </si>
  <si>
    <t>PAGO PUNTO PRESTADO DE AUTOMERCADO EXPRESS A CANTOLAGO EXPRESS DEL 5 AL 16 DE SEPTIEMBRE</t>
  </si>
  <si>
    <t>PAGO PUNTO PRESTADO DE AUTOMERCADO EXPRESS A CANTOLAGO EXPRESS DEL 17 AL 23 DE SEPTIEMBRE</t>
  </si>
  <si>
    <t xml:space="preserve">BIOPAGO </t>
  </si>
  <si>
    <t xml:space="preserve">DEBITO </t>
  </si>
  <si>
    <t>CREDICO</t>
  </si>
  <si>
    <t>PAGO PUNTO PRESTADO DE AUTOMERCADO EXPRESS A CANTOLAGO EXPRESS DEL 17 AL 30 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</si>
</sst>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164" fontId="4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5" borderId="2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/>
      <protection locked="0"/>
    </xf>
    <xf numFmtId="10" fontId="6" fillId="9" borderId="2" xfId="0" applyNumberFormat="1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0" fontId="6" fillId="9" borderId="2" xfId="0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10" fontId="0" fillId="0" borderId="2" xfId="0" applyNumberFormat="1" applyBorder="1" applyProtection="1">
      <protection locked="0"/>
    </xf>
    <xf numFmtId="43" fontId="0" fillId="0" borderId="2" xfId="1" applyFont="1" applyBorder="1" applyProtection="1"/>
    <xf numFmtId="0" fontId="0" fillId="9" borderId="2" xfId="0" applyFill="1" applyBorder="1" applyProtection="1">
      <protection locked="0"/>
    </xf>
    <xf numFmtId="10" fontId="0" fillId="9" borderId="2" xfId="2" applyNumberFormat="1" applyFont="1" applyFill="1" applyBorder="1" applyProtection="1">
      <protection locked="0"/>
    </xf>
    <xf numFmtId="43" fontId="0" fillId="9" borderId="2" xfId="1" applyFont="1" applyFill="1" applyBorder="1" applyProtection="1"/>
    <xf numFmtId="0" fontId="0" fillId="0" borderId="2" xfId="0" applyBorder="1" applyProtection="1"/>
    <xf numFmtId="14" fontId="0" fillId="0" borderId="2" xfId="0" applyNumberFormat="1" applyBorder="1" applyProtection="1">
      <protection locked="0"/>
    </xf>
    <xf numFmtId="43" fontId="0" fillId="0" borderId="2" xfId="1" applyFont="1" applyBorder="1" applyProtection="1">
      <protection locked="0"/>
    </xf>
    <xf numFmtId="43" fontId="0" fillId="9" borderId="2" xfId="1" applyFont="1" applyFill="1" applyBorder="1" applyProtection="1">
      <protection locked="0"/>
    </xf>
    <xf numFmtId="43" fontId="0" fillId="0" borderId="2" xfId="1" applyFont="1" applyBorder="1"/>
    <xf numFmtId="43" fontId="0" fillId="0" borderId="2" xfId="0" applyNumberFormat="1" applyBorder="1" applyProtection="1">
      <protection locked="0"/>
    </xf>
    <xf numFmtId="43" fontId="0" fillId="9" borderId="2" xfId="0" applyNumberFormat="1" applyFill="1" applyBorder="1" applyProtection="1">
      <protection locked="0"/>
    </xf>
    <xf numFmtId="43" fontId="0" fillId="0" borderId="2" xfId="0" applyNumberFormat="1" applyBorder="1"/>
    <xf numFmtId="43" fontId="0" fillId="7" borderId="2" xfId="0" applyNumberFormat="1" applyFill="1" applyBorder="1"/>
    <xf numFmtId="0" fontId="0" fillId="7" borderId="4" xfId="0" applyFill="1" applyBorder="1"/>
    <xf numFmtId="4" fontId="0" fillId="0" borderId="2" xfId="0" applyNumberFormat="1" applyBorder="1"/>
    <xf numFmtId="43" fontId="0" fillId="7" borderId="2" xfId="1" applyFont="1" applyFill="1" applyBorder="1"/>
    <xf numFmtId="4" fontId="4" fillId="7" borderId="2" xfId="0" applyNumberFormat="1" applyFont="1" applyFill="1" applyBorder="1" applyAlignment="1">
      <alignment horizontal="center"/>
    </xf>
    <xf numFmtId="0" fontId="0" fillId="0" borderId="0" xfId="0" applyBorder="1" applyProtection="1">
      <protection locked="0"/>
    </xf>
    <xf numFmtId="10" fontId="0" fillId="0" borderId="0" xfId="0" applyNumberFormat="1" applyBorder="1" applyProtection="1">
      <protection locked="0"/>
    </xf>
    <xf numFmtId="0" fontId="0" fillId="0" borderId="0" xfId="0" applyBorder="1" applyProtection="1"/>
    <xf numFmtId="0" fontId="0" fillId="9" borderId="0" xfId="0" applyFill="1" applyBorder="1" applyProtection="1">
      <protection locked="0"/>
    </xf>
    <xf numFmtId="10" fontId="0" fillId="9" borderId="0" xfId="2" applyNumberFormat="1" applyFont="1" applyFill="1" applyBorder="1" applyProtection="1">
      <protection locked="0"/>
    </xf>
    <xf numFmtId="0" fontId="0" fillId="9" borderId="0" xfId="0" applyFill="1" applyBorder="1" applyProtection="1"/>
    <xf numFmtId="4" fontId="0" fillId="7" borderId="2" xfId="0" applyNumberFormat="1" applyFill="1" applyBorder="1"/>
    <xf numFmtId="164" fontId="4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Protection="1">
      <protection locked="0"/>
    </xf>
    <xf numFmtId="9" fontId="3" fillId="8" borderId="8" xfId="2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3" fillId="8" borderId="2" xfId="0" applyFont="1" applyFill="1" applyBorder="1" applyAlignment="1">
      <alignment horizontal="center" wrapText="1"/>
    </xf>
    <xf numFmtId="43" fontId="0" fillId="0" borderId="0" xfId="0" applyNumberFormat="1"/>
    <xf numFmtId="43" fontId="0" fillId="0" borderId="0" xfId="1" applyFont="1"/>
    <xf numFmtId="9" fontId="3" fillId="8" borderId="2" xfId="2" applyFont="1" applyFill="1" applyBorder="1" applyAlignment="1">
      <alignment horizontal="center"/>
    </xf>
    <xf numFmtId="2" fontId="0" fillId="0" borderId="2" xfId="0" applyNumberFormat="1" applyBorder="1"/>
    <xf numFmtId="0" fontId="3" fillId="8" borderId="8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2" fontId="0" fillId="7" borderId="2" xfId="0" applyNumberFormat="1" applyFill="1" applyBorder="1"/>
    <xf numFmtId="0" fontId="0" fillId="7" borderId="2" xfId="0" applyFill="1" applyBorder="1"/>
    <xf numFmtId="0" fontId="6" fillId="7" borderId="0" xfId="0" applyFont="1" applyFill="1"/>
    <xf numFmtId="0" fontId="0" fillId="7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9" borderId="2" xfId="0" applyNumberFormat="1" applyFill="1" applyBorder="1" applyProtection="1"/>
    <xf numFmtId="43" fontId="0" fillId="0" borderId="0" xfId="0" applyNumberFormat="1" applyBorder="1" applyProtection="1"/>
    <xf numFmtId="43" fontId="0" fillId="7" borderId="2" xfId="0" applyNumberFormat="1" applyFill="1" applyBorder="1" applyProtection="1"/>
    <xf numFmtId="43" fontId="0" fillId="7" borderId="2" xfId="1" applyFont="1" applyFill="1" applyBorder="1" applyProtection="1"/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10" borderId="2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11" borderId="2" xfId="0" applyFont="1" applyFill="1" applyBorder="1" applyAlignment="1" applyProtection="1">
      <alignment horizontal="center" vertical="center"/>
      <protection locked="0"/>
    </xf>
    <xf numFmtId="0" fontId="0" fillId="11" borderId="2" xfId="0" applyFill="1" applyBorder="1"/>
    <xf numFmtId="0" fontId="2" fillId="11" borderId="2" xfId="0" applyFont="1" applyFill="1" applyBorder="1"/>
    <xf numFmtId="43" fontId="0" fillId="7" borderId="0" xfId="0" applyNumberFormat="1" applyFill="1"/>
    <xf numFmtId="0" fontId="2" fillId="7" borderId="9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7" borderId="0" xfId="0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6" fillId="9" borderId="5" xfId="0" applyFont="1" applyFill="1" applyBorder="1" applyAlignment="1" applyProtection="1">
      <alignment horizontal="center"/>
      <protection locked="0"/>
    </xf>
    <xf numFmtId="0" fontId="6" fillId="9" borderId="6" xfId="0" applyFont="1" applyFill="1" applyBorder="1" applyAlignment="1" applyProtection="1">
      <alignment horizontal="center"/>
      <protection locked="0"/>
    </xf>
    <xf numFmtId="14" fontId="0" fillId="0" borderId="0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2" fillId="6" borderId="3" xfId="0" applyFont="1" applyFill="1" applyBorder="1" applyProtection="1">
      <protection locked="0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"/>
  <sheetViews>
    <sheetView topLeftCell="H21" workbookViewId="0">
      <selection activeCell="A2" sqref="A2:U66"/>
    </sheetView>
  </sheetViews>
  <sheetFormatPr baseColWidth="10" defaultRowHeight="15" x14ac:dyDescent="0.25"/>
  <cols>
    <col min="2" max="2" width="19.85546875" customWidth="1"/>
    <col min="3" max="3" width="0.140625" customWidth="1"/>
    <col min="4" max="4" width="19.42578125" customWidth="1"/>
    <col min="5" max="5" width="13.85546875" customWidth="1"/>
    <col min="6" max="6" width="16" customWidth="1"/>
    <col min="7" max="7" width="15" customWidth="1"/>
    <col min="8" max="8" width="17" customWidth="1"/>
    <col min="9" max="9" width="14" customWidth="1"/>
    <col min="10" max="10" width="14.5703125" customWidth="1"/>
    <col min="11" max="11" width="18.140625" customWidth="1"/>
    <col min="12" max="12" width="17.28515625" customWidth="1"/>
    <col min="13" max="14" width="15.5703125" customWidth="1"/>
    <col min="15" max="15" width="14.42578125" customWidth="1"/>
    <col min="16" max="16" width="19.42578125" customWidth="1"/>
    <col min="17" max="17" width="12.5703125" bestFit="1" customWidth="1"/>
  </cols>
  <sheetData>
    <row r="2" spans="1:18" ht="16.5" thickBot="1" x14ac:dyDescent="0.3">
      <c r="B2" s="61" t="s">
        <v>28</v>
      </c>
      <c r="C2" s="61"/>
      <c r="D2" s="61"/>
      <c r="E2" s="61"/>
      <c r="F2" s="61"/>
      <c r="G2" s="61"/>
      <c r="H2" s="61"/>
      <c r="I2" s="62"/>
      <c r="J2" s="62"/>
      <c r="K2" s="62"/>
      <c r="L2" s="62"/>
      <c r="M2" s="62"/>
      <c r="N2" s="62"/>
      <c r="O2" s="62"/>
    </row>
    <row r="3" spans="1:18" ht="31.5" x14ac:dyDescent="0.25">
      <c r="A3" s="7" t="s">
        <v>9</v>
      </c>
      <c r="B3" s="8" t="s">
        <v>11</v>
      </c>
      <c r="C3" s="9" t="s">
        <v>23</v>
      </c>
      <c r="D3" s="10" t="s">
        <v>0</v>
      </c>
      <c r="E3" s="10" t="s">
        <v>1</v>
      </c>
      <c r="F3" s="10" t="s">
        <v>2</v>
      </c>
      <c r="G3" s="9" t="s">
        <v>3</v>
      </c>
      <c r="H3" s="9" t="s">
        <v>8</v>
      </c>
      <c r="I3" s="9" t="s">
        <v>10</v>
      </c>
      <c r="J3" s="9" t="s">
        <v>7</v>
      </c>
      <c r="K3" s="9" t="s">
        <v>4</v>
      </c>
      <c r="L3" s="9" t="s">
        <v>5</v>
      </c>
      <c r="M3" s="9" t="s">
        <v>6</v>
      </c>
      <c r="N3" s="56" t="s">
        <v>24</v>
      </c>
      <c r="O3" s="47">
        <v>0.02</v>
      </c>
      <c r="P3" s="51" t="s">
        <v>25</v>
      </c>
      <c r="Q3" s="8" t="s">
        <v>26</v>
      </c>
      <c r="R3" s="8" t="s">
        <v>27</v>
      </c>
    </row>
    <row r="4" spans="1:18" ht="15.75" x14ac:dyDescent="0.25">
      <c r="A4" s="11">
        <v>44425</v>
      </c>
      <c r="B4" s="45" t="s">
        <v>19</v>
      </c>
      <c r="C4" s="1">
        <v>232</v>
      </c>
      <c r="D4" s="2">
        <v>31893346.800000001</v>
      </c>
      <c r="E4" s="3"/>
      <c r="F4" s="3"/>
      <c r="G4" s="4">
        <f>F4/1.16*5%</f>
        <v>0</v>
      </c>
      <c r="H4" s="4">
        <f>D4*0.75%</f>
        <v>239200.101</v>
      </c>
      <c r="I4" s="4">
        <f>E4*0.53%</f>
        <v>0</v>
      </c>
      <c r="J4" s="4">
        <f>F4*2.5%</f>
        <v>0</v>
      </c>
      <c r="K4" s="4">
        <f>D4-H4</f>
        <v>31654146.699000001</v>
      </c>
      <c r="L4" s="4">
        <f>E4-I4</f>
        <v>0</v>
      </c>
      <c r="M4" s="4">
        <f>F4-G4-J4</f>
        <v>0</v>
      </c>
      <c r="N4" s="48"/>
      <c r="O4" s="48">
        <f t="shared" ref="O4:O24" si="0">+K4*2%</f>
        <v>633082.93398000009</v>
      </c>
      <c r="P4" s="35">
        <f t="shared" ref="P4:P28" si="1">+K4-O4</f>
        <v>31021063.765020002</v>
      </c>
      <c r="Q4" s="29">
        <v>4140000</v>
      </c>
      <c r="R4" s="55">
        <f>+P4/Q4</f>
        <v>7.4930105712608697</v>
      </c>
    </row>
    <row r="5" spans="1:18" ht="15.75" x14ac:dyDescent="0.25">
      <c r="A5" s="11">
        <v>44425</v>
      </c>
      <c r="B5" s="45" t="s">
        <v>19</v>
      </c>
      <c r="C5" s="1">
        <v>287</v>
      </c>
      <c r="D5" s="2">
        <v>7990210</v>
      </c>
      <c r="E5" s="3"/>
      <c r="F5" s="3"/>
      <c r="G5" s="4">
        <f t="shared" ref="G5:G29" si="2">F5/1.16*5%</f>
        <v>0</v>
      </c>
      <c r="H5" s="4">
        <f>D5*0.75%</f>
        <v>59926.574999999997</v>
      </c>
      <c r="I5" s="4">
        <f t="shared" ref="I5:I29" si="3">E5*0.53%</f>
        <v>0</v>
      </c>
      <c r="J5" s="4">
        <f>F5*2.5%</f>
        <v>0</v>
      </c>
      <c r="K5" s="4">
        <f>D5-H5</f>
        <v>7930283.4249999998</v>
      </c>
      <c r="L5" s="4">
        <f t="shared" ref="K5:L21" si="4">E5-I5</f>
        <v>0</v>
      </c>
      <c r="M5" s="4">
        <f>F5-G5-J5</f>
        <v>0</v>
      </c>
      <c r="N5" s="48"/>
      <c r="O5" s="48">
        <f t="shared" si="0"/>
        <v>158605.6685</v>
      </c>
      <c r="P5" s="35">
        <f t="shared" si="1"/>
        <v>7771677.7565000001</v>
      </c>
      <c r="Q5" s="29">
        <v>4140000</v>
      </c>
      <c r="R5" s="55">
        <f t="shared" ref="R5:R28" si="5">+P5/Q5</f>
        <v>1.8772168493961352</v>
      </c>
    </row>
    <row r="6" spans="1:18" ht="15.75" x14ac:dyDescent="0.25">
      <c r="A6" s="11">
        <v>44426</v>
      </c>
      <c r="B6" s="45" t="s">
        <v>19</v>
      </c>
      <c r="C6" s="1">
        <v>233</v>
      </c>
      <c r="D6" s="2">
        <v>60063120</v>
      </c>
      <c r="E6" s="3"/>
      <c r="F6" s="2"/>
      <c r="G6" s="4">
        <f t="shared" si="2"/>
        <v>0</v>
      </c>
      <c r="H6" s="4">
        <f t="shared" ref="H6:H29" si="6">D6*0.75%</f>
        <v>450473.39999999997</v>
      </c>
      <c r="I6" s="4">
        <f t="shared" si="3"/>
        <v>0</v>
      </c>
      <c r="J6" s="4">
        <f t="shared" ref="J6:J29" si="7">F6*2.5%</f>
        <v>0</v>
      </c>
      <c r="K6" s="4">
        <f t="shared" si="4"/>
        <v>59612646.600000001</v>
      </c>
      <c r="L6" s="4">
        <f t="shared" si="4"/>
        <v>0</v>
      </c>
      <c r="M6" s="4">
        <f>F6-G6-J6</f>
        <v>0</v>
      </c>
      <c r="N6" s="48"/>
      <c r="O6" s="48">
        <f t="shared" si="0"/>
        <v>1192252.932</v>
      </c>
      <c r="P6" s="35">
        <f t="shared" si="1"/>
        <v>58420393.667999998</v>
      </c>
      <c r="Q6" s="29">
        <v>4140000</v>
      </c>
      <c r="R6" s="55">
        <f t="shared" si="5"/>
        <v>14.1112062</v>
      </c>
    </row>
    <row r="7" spans="1:18" ht="15.75" x14ac:dyDescent="0.25">
      <c r="A7" s="11">
        <v>44426</v>
      </c>
      <c r="B7" s="45" t="s">
        <v>19</v>
      </c>
      <c r="C7" s="1">
        <v>288</v>
      </c>
      <c r="D7" s="2">
        <v>4015800</v>
      </c>
      <c r="E7" s="3"/>
      <c r="F7" s="2"/>
      <c r="G7" s="4">
        <f t="shared" si="2"/>
        <v>0</v>
      </c>
      <c r="H7" s="4">
        <f t="shared" si="6"/>
        <v>30118.5</v>
      </c>
      <c r="I7" s="4">
        <f t="shared" si="3"/>
        <v>0</v>
      </c>
      <c r="J7" s="4">
        <f t="shared" si="7"/>
        <v>0</v>
      </c>
      <c r="K7" s="4">
        <f>D7-H7</f>
        <v>3985681.5</v>
      </c>
      <c r="L7" s="4">
        <f t="shared" si="4"/>
        <v>0</v>
      </c>
      <c r="M7" s="4">
        <f t="shared" ref="M7:M28" si="8">F7-G7-J7</f>
        <v>0</v>
      </c>
      <c r="N7" s="48"/>
      <c r="O7" s="48">
        <f t="shared" si="0"/>
        <v>79713.63</v>
      </c>
      <c r="P7" s="35">
        <f t="shared" si="1"/>
        <v>3905967.87</v>
      </c>
      <c r="Q7" s="29">
        <v>4140000</v>
      </c>
      <c r="R7" s="55">
        <f t="shared" si="5"/>
        <v>0.94347049999999999</v>
      </c>
    </row>
    <row r="8" spans="1:18" ht="15.75" x14ac:dyDescent="0.25">
      <c r="A8" s="11">
        <v>44427</v>
      </c>
      <c r="B8" s="45" t="s">
        <v>19</v>
      </c>
      <c r="C8" s="1">
        <v>289</v>
      </c>
      <c r="D8" s="2">
        <v>28058732</v>
      </c>
      <c r="E8" s="3"/>
      <c r="F8" s="2"/>
      <c r="G8" s="4">
        <f t="shared" si="2"/>
        <v>0</v>
      </c>
      <c r="H8" s="4">
        <f t="shared" si="6"/>
        <v>210440.49</v>
      </c>
      <c r="I8" s="4">
        <f t="shared" si="3"/>
        <v>0</v>
      </c>
      <c r="J8" s="4">
        <f t="shared" si="7"/>
        <v>0</v>
      </c>
      <c r="K8" s="4">
        <f t="shared" si="4"/>
        <v>27848291.510000002</v>
      </c>
      <c r="L8" s="4">
        <f t="shared" si="4"/>
        <v>0</v>
      </c>
      <c r="M8" s="4">
        <f t="shared" si="8"/>
        <v>0</v>
      </c>
      <c r="N8" s="48"/>
      <c r="O8" s="48">
        <f t="shared" si="0"/>
        <v>556965.83020000008</v>
      </c>
      <c r="P8" s="35">
        <f t="shared" si="1"/>
        <v>27291325.6798</v>
      </c>
      <c r="Q8" s="29">
        <v>4140000</v>
      </c>
      <c r="R8" s="55">
        <f t="shared" si="5"/>
        <v>6.5921076521256037</v>
      </c>
    </row>
    <row r="9" spans="1:18" ht="15.75" x14ac:dyDescent="0.25">
      <c r="A9" s="11">
        <v>44427</v>
      </c>
      <c r="B9" s="45" t="s">
        <v>19</v>
      </c>
      <c r="C9" s="1">
        <v>234</v>
      </c>
      <c r="D9" s="2">
        <v>1324800</v>
      </c>
      <c r="E9" s="3"/>
      <c r="F9" s="2"/>
      <c r="G9" s="4">
        <f t="shared" si="2"/>
        <v>0</v>
      </c>
      <c r="H9" s="4">
        <f t="shared" si="6"/>
        <v>9936</v>
      </c>
      <c r="I9" s="4">
        <f t="shared" si="3"/>
        <v>0</v>
      </c>
      <c r="J9" s="4">
        <f t="shared" si="7"/>
        <v>0</v>
      </c>
      <c r="K9" s="4">
        <f t="shared" si="4"/>
        <v>1314864</v>
      </c>
      <c r="L9" s="4">
        <f t="shared" si="4"/>
        <v>0</v>
      </c>
      <c r="M9" s="4">
        <f t="shared" si="8"/>
        <v>0</v>
      </c>
      <c r="N9" s="48"/>
      <c r="O9" s="48">
        <f t="shared" si="0"/>
        <v>26297.279999999999</v>
      </c>
      <c r="P9" s="35">
        <f t="shared" si="1"/>
        <v>1288566.72</v>
      </c>
      <c r="Q9" s="29">
        <v>4140000</v>
      </c>
      <c r="R9" s="55">
        <f t="shared" si="5"/>
        <v>0.31124799999999997</v>
      </c>
    </row>
    <row r="10" spans="1:18" ht="15.75" x14ac:dyDescent="0.25">
      <c r="A10" s="11">
        <v>44428</v>
      </c>
      <c r="B10" s="45" t="s">
        <v>19</v>
      </c>
      <c r="C10" s="1">
        <v>290</v>
      </c>
      <c r="D10" s="2">
        <v>19523775</v>
      </c>
      <c r="E10" s="3"/>
      <c r="F10" s="2"/>
      <c r="G10" s="4">
        <f t="shared" si="2"/>
        <v>0</v>
      </c>
      <c r="H10" s="4">
        <f t="shared" si="6"/>
        <v>146428.3125</v>
      </c>
      <c r="I10" s="4">
        <f t="shared" si="3"/>
        <v>0</v>
      </c>
      <c r="J10" s="4">
        <f t="shared" si="7"/>
        <v>0</v>
      </c>
      <c r="K10" s="3">
        <f t="shared" si="4"/>
        <v>19377346.6875</v>
      </c>
      <c r="L10" s="3">
        <f t="shared" si="4"/>
        <v>0</v>
      </c>
      <c r="M10" s="3">
        <f t="shared" si="8"/>
        <v>0</v>
      </c>
      <c r="N10" s="57"/>
      <c r="O10" s="48">
        <f t="shared" si="0"/>
        <v>387546.93375000003</v>
      </c>
      <c r="P10" s="35">
        <f t="shared" si="1"/>
        <v>18989799.75375</v>
      </c>
      <c r="Q10" s="29">
        <v>4125000</v>
      </c>
      <c r="R10" s="55">
        <f t="shared" si="5"/>
        <v>4.603587819090909</v>
      </c>
    </row>
    <row r="11" spans="1:18" ht="15.75" x14ac:dyDescent="0.25">
      <c r="A11" s="11">
        <v>44428</v>
      </c>
      <c r="B11" s="45" t="s">
        <v>19</v>
      </c>
      <c r="C11" s="1">
        <v>235</v>
      </c>
      <c r="D11" s="2">
        <v>166673455</v>
      </c>
      <c r="E11" s="3"/>
      <c r="F11" s="2"/>
      <c r="G11" s="4">
        <f t="shared" si="2"/>
        <v>0</v>
      </c>
      <c r="H11" s="4">
        <f t="shared" si="6"/>
        <v>1250050.9124999999</v>
      </c>
      <c r="I11" s="4">
        <f t="shared" si="3"/>
        <v>0</v>
      </c>
      <c r="J11" s="4">
        <f t="shared" si="7"/>
        <v>0</v>
      </c>
      <c r="K11" s="3">
        <f>D11-H11</f>
        <v>165423404.08750001</v>
      </c>
      <c r="L11" s="4">
        <f t="shared" si="4"/>
        <v>0</v>
      </c>
      <c r="M11" s="5">
        <f t="shared" si="8"/>
        <v>0</v>
      </c>
      <c r="N11" s="58"/>
      <c r="O11" s="48">
        <f t="shared" si="0"/>
        <v>3308468.0817500004</v>
      </c>
      <c r="P11" s="35">
        <f t="shared" si="1"/>
        <v>162114936.00575</v>
      </c>
      <c r="Q11" s="29">
        <v>4125000</v>
      </c>
      <c r="R11" s="55">
        <f t="shared" si="5"/>
        <v>39.300590546848483</v>
      </c>
    </row>
    <row r="12" spans="1:18" ht="15.75" x14ac:dyDescent="0.25">
      <c r="A12" s="11">
        <v>44429</v>
      </c>
      <c r="B12" s="45" t="s">
        <v>19</v>
      </c>
      <c r="C12" s="1">
        <v>236</v>
      </c>
      <c r="D12" s="2">
        <v>49543260</v>
      </c>
      <c r="E12" s="3"/>
      <c r="F12" s="2"/>
      <c r="G12" s="4">
        <f t="shared" si="2"/>
        <v>0</v>
      </c>
      <c r="H12" s="4">
        <f t="shared" si="6"/>
        <v>371574.45</v>
      </c>
      <c r="I12" s="4">
        <f t="shared" si="3"/>
        <v>0</v>
      </c>
      <c r="J12" s="4">
        <f t="shared" si="7"/>
        <v>0</v>
      </c>
      <c r="K12" s="3">
        <f>D12-H12</f>
        <v>49171685.549999997</v>
      </c>
      <c r="L12" s="4">
        <f t="shared" si="4"/>
        <v>0</v>
      </c>
      <c r="M12" s="5">
        <f t="shared" si="8"/>
        <v>0</v>
      </c>
      <c r="N12" s="58"/>
      <c r="O12" s="48">
        <f t="shared" si="0"/>
        <v>983433.71100000001</v>
      </c>
      <c r="P12" s="35">
        <f t="shared" si="1"/>
        <v>48188251.838999994</v>
      </c>
      <c r="Q12" s="29">
        <v>4125000</v>
      </c>
      <c r="R12" s="55">
        <f t="shared" si="5"/>
        <v>11.682000445818181</v>
      </c>
    </row>
    <row r="13" spans="1:18" ht="15.75" x14ac:dyDescent="0.25">
      <c r="A13" s="11">
        <v>44429</v>
      </c>
      <c r="B13" s="45" t="s">
        <v>19</v>
      </c>
      <c r="C13" s="1">
        <v>291</v>
      </c>
      <c r="D13" s="2">
        <v>49079925</v>
      </c>
      <c r="E13" s="3"/>
      <c r="F13" s="2"/>
      <c r="G13" s="4">
        <f t="shared" si="2"/>
        <v>0</v>
      </c>
      <c r="H13" s="4">
        <f t="shared" si="6"/>
        <v>368099.4375</v>
      </c>
      <c r="I13" s="4">
        <f t="shared" si="3"/>
        <v>0</v>
      </c>
      <c r="J13" s="4">
        <f t="shared" si="7"/>
        <v>0</v>
      </c>
      <c r="K13" s="3">
        <f t="shared" si="4"/>
        <v>48711825.5625</v>
      </c>
      <c r="L13" s="4">
        <f t="shared" si="4"/>
        <v>0</v>
      </c>
      <c r="M13" s="4">
        <f t="shared" si="8"/>
        <v>0</v>
      </c>
      <c r="N13" s="48"/>
      <c r="O13" s="48">
        <f t="shared" si="0"/>
        <v>974236.51124999998</v>
      </c>
      <c r="P13" s="35">
        <f t="shared" si="1"/>
        <v>47737589.051250003</v>
      </c>
      <c r="Q13" s="29">
        <v>4125000</v>
      </c>
      <c r="R13" s="55">
        <f t="shared" si="5"/>
        <v>11.572748860909092</v>
      </c>
    </row>
    <row r="14" spans="1:18" ht="15.75" x14ac:dyDescent="0.25">
      <c r="A14" s="11">
        <v>44430</v>
      </c>
      <c r="B14" s="45" t="s">
        <v>19</v>
      </c>
      <c r="C14" s="1">
        <v>237</v>
      </c>
      <c r="D14" s="3">
        <v>23024100</v>
      </c>
      <c r="E14" s="3"/>
      <c r="F14" s="3"/>
      <c r="G14" s="4">
        <f t="shared" si="2"/>
        <v>0</v>
      </c>
      <c r="H14" s="4">
        <f t="shared" si="6"/>
        <v>172680.75</v>
      </c>
      <c r="I14" s="4">
        <f t="shared" si="3"/>
        <v>0</v>
      </c>
      <c r="J14" s="4">
        <f t="shared" si="7"/>
        <v>0</v>
      </c>
      <c r="K14" s="3">
        <f t="shared" si="4"/>
        <v>22851419.25</v>
      </c>
      <c r="L14" s="4">
        <f t="shared" si="4"/>
        <v>0</v>
      </c>
      <c r="M14" s="4">
        <f t="shared" si="8"/>
        <v>0</v>
      </c>
      <c r="N14" s="48"/>
      <c r="O14" s="48">
        <f t="shared" si="0"/>
        <v>457028.38500000001</v>
      </c>
      <c r="P14" s="35">
        <f t="shared" si="1"/>
        <v>22394390.864999998</v>
      </c>
      <c r="Q14" s="29">
        <v>4125000</v>
      </c>
      <c r="R14" s="55">
        <f t="shared" si="5"/>
        <v>5.4289432399999997</v>
      </c>
    </row>
    <row r="15" spans="1:18" ht="15.75" x14ac:dyDescent="0.25">
      <c r="A15" s="11">
        <v>44431</v>
      </c>
      <c r="B15" s="45" t="s">
        <v>19</v>
      </c>
      <c r="C15" s="1">
        <v>292</v>
      </c>
      <c r="D15" s="2">
        <v>28495185</v>
      </c>
      <c r="E15" s="3"/>
      <c r="F15" s="3"/>
      <c r="G15" s="4">
        <f t="shared" si="2"/>
        <v>0</v>
      </c>
      <c r="H15" s="4">
        <f t="shared" si="6"/>
        <v>213713.88749999998</v>
      </c>
      <c r="I15" s="4">
        <f t="shared" si="3"/>
        <v>0</v>
      </c>
      <c r="J15" s="4">
        <f t="shared" si="7"/>
        <v>0</v>
      </c>
      <c r="K15" s="3">
        <f t="shared" si="4"/>
        <v>28281471.112500001</v>
      </c>
      <c r="L15" s="4">
        <f t="shared" si="4"/>
        <v>0</v>
      </c>
      <c r="M15" s="4">
        <f t="shared" si="8"/>
        <v>0</v>
      </c>
      <c r="N15" s="48"/>
      <c r="O15" s="48">
        <f t="shared" si="0"/>
        <v>565629.42225000006</v>
      </c>
      <c r="P15" s="35">
        <f t="shared" si="1"/>
        <v>27715841.690250002</v>
      </c>
      <c r="Q15" s="29">
        <v>4125000</v>
      </c>
      <c r="R15" s="55">
        <f t="shared" si="5"/>
        <v>6.7189919249090915</v>
      </c>
    </row>
    <row r="16" spans="1:18" ht="15.75" x14ac:dyDescent="0.25">
      <c r="A16" s="11">
        <v>44431</v>
      </c>
      <c r="B16" s="45" t="s">
        <v>19</v>
      </c>
      <c r="C16" s="1">
        <v>238</v>
      </c>
      <c r="D16" s="3">
        <v>77233523.75</v>
      </c>
      <c r="E16" s="3"/>
      <c r="F16" s="3"/>
      <c r="G16" s="4">
        <f t="shared" si="2"/>
        <v>0</v>
      </c>
      <c r="H16" s="4">
        <f t="shared" si="6"/>
        <v>579251.42812499998</v>
      </c>
      <c r="I16" s="4">
        <f t="shared" si="3"/>
        <v>0</v>
      </c>
      <c r="J16" s="4">
        <f t="shared" si="7"/>
        <v>0</v>
      </c>
      <c r="K16" s="3">
        <f t="shared" si="4"/>
        <v>76654272.321875006</v>
      </c>
      <c r="L16" s="4">
        <f t="shared" si="4"/>
        <v>0</v>
      </c>
      <c r="M16" s="4">
        <f t="shared" si="8"/>
        <v>0</v>
      </c>
      <c r="N16" s="48"/>
      <c r="O16" s="48">
        <f t="shared" si="0"/>
        <v>1533085.4464375002</v>
      </c>
      <c r="P16" s="35">
        <f t="shared" si="1"/>
        <v>75121186.875437513</v>
      </c>
      <c r="Q16" s="29">
        <v>4125000</v>
      </c>
      <c r="R16" s="55">
        <f t="shared" si="5"/>
        <v>18.211196818287881</v>
      </c>
    </row>
    <row r="17" spans="1:18" ht="15.75" x14ac:dyDescent="0.25">
      <c r="A17" s="11">
        <v>44432</v>
      </c>
      <c r="B17" s="45" t="s">
        <v>19</v>
      </c>
      <c r="C17" s="6">
        <v>239</v>
      </c>
      <c r="D17" s="29">
        <v>12134387</v>
      </c>
      <c r="E17" s="6"/>
      <c r="F17" s="6"/>
      <c r="G17" s="4">
        <f t="shared" si="2"/>
        <v>0</v>
      </c>
      <c r="H17" s="4">
        <f t="shared" si="6"/>
        <v>91007.902499999997</v>
      </c>
      <c r="I17" s="4">
        <f t="shared" si="3"/>
        <v>0</v>
      </c>
      <c r="J17" s="4">
        <f t="shared" si="7"/>
        <v>0</v>
      </c>
      <c r="K17" s="3">
        <f t="shared" si="4"/>
        <v>12043379.0975</v>
      </c>
      <c r="L17" s="4">
        <f t="shared" si="4"/>
        <v>0</v>
      </c>
      <c r="M17" s="4">
        <f t="shared" si="8"/>
        <v>0</v>
      </c>
      <c r="N17" s="48"/>
      <c r="O17" s="48">
        <f t="shared" si="0"/>
        <v>240867.58195000002</v>
      </c>
      <c r="P17" s="35">
        <f t="shared" si="1"/>
        <v>11802511.515550001</v>
      </c>
      <c r="Q17" s="29">
        <v>4150000</v>
      </c>
      <c r="R17" s="55">
        <f t="shared" si="5"/>
        <v>2.8439786784457834</v>
      </c>
    </row>
    <row r="18" spans="1:18" ht="15.75" x14ac:dyDescent="0.25">
      <c r="A18" s="11">
        <v>44432</v>
      </c>
      <c r="B18" s="45" t="s">
        <v>19</v>
      </c>
      <c r="C18" s="6">
        <v>293</v>
      </c>
      <c r="D18" s="29">
        <v>20592300</v>
      </c>
      <c r="E18" s="6"/>
      <c r="F18" s="6"/>
      <c r="G18" s="4">
        <f t="shared" si="2"/>
        <v>0</v>
      </c>
      <c r="H18" s="4">
        <f t="shared" si="6"/>
        <v>154442.25</v>
      </c>
      <c r="I18" s="4">
        <f t="shared" si="3"/>
        <v>0</v>
      </c>
      <c r="J18" s="4">
        <f t="shared" si="7"/>
        <v>0</v>
      </c>
      <c r="K18" s="3">
        <f t="shared" si="4"/>
        <v>20437857.75</v>
      </c>
      <c r="L18" s="4">
        <f t="shared" si="4"/>
        <v>0</v>
      </c>
      <c r="M18" s="4">
        <f t="shared" si="8"/>
        <v>0</v>
      </c>
      <c r="N18" s="48"/>
      <c r="O18" s="48">
        <f t="shared" si="0"/>
        <v>408757.15500000003</v>
      </c>
      <c r="P18" s="35">
        <f t="shared" si="1"/>
        <v>20029100.594999999</v>
      </c>
      <c r="Q18" s="29">
        <v>4150000</v>
      </c>
      <c r="R18" s="55">
        <f t="shared" si="5"/>
        <v>4.8262893</v>
      </c>
    </row>
    <row r="19" spans="1:18" ht="15.75" x14ac:dyDescent="0.25">
      <c r="A19" s="11">
        <v>44433</v>
      </c>
      <c r="B19" s="45" t="s">
        <v>19</v>
      </c>
      <c r="C19" s="6">
        <v>294</v>
      </c>
      <c r="D19" s="29">
        <v>113176725</v>
      </c>
      <c r="E19" s="6"/>
      <c r="F19" s="6"/>
      <c r="G19" s="4">
        <f t="shared" si="2"/>
        <v>0</v>
      </c>
      <c r="H19" s="4">
        <f t="shared" si="6"/>
        <v>848825.4375</v>
      </c>
      <c r="I19" s="4">
        <f t="shared" si="3"/>
        <v>0</v>
      </c>
      <c r="J19" s="4">
        <f t="shared" si="7"/>
        <v>0</v>
      </c>
      <c r="K19" s="3">
        <f t="shared" si="4"/>
        <v>112327899.5625</v>
      </c>
      <c r="L19" s="4">
        <f t="shared" si="4"/>
        <v>0</v>
      </c>
      <c r="M19" s="4">
        <f t="shared" si="8"/>
        <v>0</v>
      </c>
      <c r="N19" s="48"/>
      <c r="O19" s="48">
        <f t="shared" si="0"/>
        <v>2246557.99125</v>
      </c>
      <c r="P19" s="35">
        <f t="shared" si="1"/>
        <v>110081341.57125001</v>
      </c>
      <c r="Q19" s="29">
        <v>4150000</v>
      </c>
      <c r="R19" s="55">
        <f t="shared" si="5"/>
        <v>26.525624475000001</v>
      </c>
    </row>
    <row r="20" spans="1:18" ht="15" customHeight="1" x14ac:dyDescent="0.25">
      <c r="A20" s="11">
        <v>44433</v>
      </c>
      <c r="B20" s="45" t="s">
        <v>19</v>
      </c>
      <c r="C20" s="6">
        <v>240</v>
      </c>
      <c r="D20" s="29">
        <v>141888522.5</v>
      </c>
      <c r="E20" s="6"/>
      <c r="F20" s="6"/>
      <c r="G20" s="4">
        <f t="shared" si="2"/>
        <v>0</v>
      </c>
      <c r="H20" s="4">
        <f t="shared" si="6"/>
        <v>1064163.91875</v>
      </c>
      <c r="I20" s="4">
        <f t="shared" si="3"/>
        <v>0</v>
      </c>
      <c r="J20" s="4">
        <f t="shared" si="7"/>
        <v>0</v>
      </c>
      <c r="K20" s="3">
        <f>D20-H20</f>
        <v>140824358.58125001</v>
      </c>
      <c r="L20" s="4">
        <f t="shared" si="4"/>
        <v>0</v>
      </c>
      <c r="M20" s="4">
        <f t="shared" si="8"/>
        <v>0</v>
      </c>
      <c r="N20" s="48"/>
      <c r="O20" s="48">
        <f t="shared" si="0"/>
        <v>2816487.1716250004</v>
      </c>
      <c r="P20" s="35">
        <f t="shared" si="1"/>
        <v>138007871.40962502</v>
      </c>
      <c r="Q20" s="29">
        <v>4150000</v>
      </c>
      <c r="R20" s="55">
        <f t="shared" si="5"/>
        <v>33.254908773403621</v>
      </c>
    </row>
    <row r="21" spans="1:18" ht="15" customHeight="1" x14ac:dyDescent="0.25">
      <c r="A21" s="11">
        <v>44434</v>
      </c>
      <c r="B21" s="45" t="s">
        <v>19</v>
      </c>
      <c r="C21" s="6">
        <v>295</v>
      </c>
      <c r="D21" s="29">
        <v>20428646</v>
      </c>
      <c r="E21" s="6"/>
      <c r="F21" s="6"/>
      <c r="G21" s="4">
        <f t="shared" si="2"/>
        <v>0</v>
      </c>
      <c r="H21" s="4">
        <f t="shared" si="6"/>
        <v>153214.845</v>
      </c>
      <c r="I21" s="4">
        <f t="shared" si="3"/>
        <v>0</v>
      </c>
      <c r="J21" s="4">
        <f t="shared" si="7"/>
        <v>0</v>
      </c>
      <c r="K21" s="3">
        <f t="shared" ref="K21:L28" si="9">D21-H21</f>
        <v>20275431.155000001</v>
      </c>
      <c r="L21" s="4">
        <f t="shared" si="4"/>
        <v>0</v>
      </c>
      <c r="M21" s="4">
        <f t="shared" si="8"/>
        <v>0</v>
      </c>
      <c r="N21" s="48"/>
      <c r="O21" s="48">
        <f t="shared" si="0"/>
        <v>405508.62310000003</v>
      </c>
      <c r="P21" s="35">
        <f t="shared" si="1"/>
        <v>19869922.5319</v>
      </c>
      <c r="Q21" s="29">
        <v>4150000</v>
      </c>
      <c r="R21" s="55">
        <f t="shared" si="5"/>
        <v>4.7879331402168672</v>
      </c>
    </row>
    <row r="22" spans="1:18" ht="15" customHeight="1" x14ac:dyDescent="0.25">
      <c r="A22" s="11">
        <v>44434</v>
      </c>
      <c r="B22" s="45" t="s">
        <v>19</v>
      </c>
      <c r="C22" s="6">
        <v>241</v>
      </c>
      <c r="D22" s="29">
        <v>105496998</v>
      </c>
      <c r="E22" s="6"/>
      <c r="F22" s="6"/>
      <c r="G22" s="4">
        <f t="shared" si="2"/>
        <v>0</v>
      </c>
      <c r="H22" s="4">
        <f t="shared" si="6"/>
        <v>791227.48499999999</v>
      </c>
      <c r="I22" s="4">
        <f t="shared" si="3"/>
        <v>0</v>
      </c>
      <c r="J22" s="4">
        <f t="shared" si="7"/>
        <v>0</v>
      </c>
      <c r="K22" s="3">
        <f t="shared" si="9"/>
        <v>104705770.515</v>
      </c>
      <c r="L22" s="4">
        <f t="shared" si="9"/>
        <v>0</v>
      </c>
      <c r="M22" s="4">
        <f t="shared" si="8"/>
        <v>0</v>
      </c>
      <c r="N22" s="48"/>
      <c r="O22" s="48">
        <f t="shared" si="0"/>
        <v>2094115.4103000001</v>
      </c>
      <c r="P22" s="35">
        <f t="shared" si="1"/>
        <v>102611655.1047</v>
      </c>
      <c r="Q22" s="29">
        <v>4150000</v>
      </c>
      <c r="R22" s="55">
        <f t="shared" si="5"/>
        <v>24.725700025228914</v>
      </c>
    </row>
    <row r="23" spans="1:18" ht="15" customHeight="1" x14ac:dyDescent="0.25">
      <c r="A23" s="11">
        <v>44435</v>
      </c>
      <c r="B23" s="45" t="s">
        <v>19</v>
      </c>
      <c r="C23" s="6">
        <v>242</v>
      </c>
      <c r="D23" s="29">
        <v>305317472.69999999</v>
      </c>
      <c r="E23" s="6"/>
      <c r="F23" s="6"/>
      <c r="G23" s="4">
        <f t="shared" si="2"/>
        <v>0</v>
      </c>
      <c r="H23" s="4">
        <f t="shared" si="6"/>
        <v>2289881.04525</v>
      </c>
      <c r="I23" s="4">
        <f t="shared" si="3"/>
        <v>0</v>
      </c>
      <c r="J23" s="4">
        <f t="shared" si="7"/>
        <v>0</v>
      </c>
      <c r="K23" s="3">
        <f t="shared" si="9"/>
        <v>303027591.65474999</v>
      </c>
      <c r="L23" s="4">
        <f t="shared" si="9"/>
        <v>0</v>
      </c>
      <c r="M23" s="4">
        <f t="shared" si="8"/>
        <v>0</v>
      </c>
      <c r="N23" s="48"/>
      <c r="O23" s="48">
        <f t="shared" si="0"/>
        <v>6060551.8330950001</v>
      </c>
      <c r="P23" s="35">
        <f t="shared" si="1"/>
        <v>296967039.82165498</v>
      </c>
      <c r="Q23" s="29">
        <v>4150000</v>
      </c>
      <c r="R23" s="55">
        <f t="shared" si="5"/>
        <v>71.558322848591558</v>
      </c>
    </row>
    <row r="24" spans="1:18" ht="15" customHeight="1" x14ac:dyDescent="0.25">
      <c r="A24" s="11">
        <v>44435</v>
      </c>
      <c r="B24" s="45" t="s">
        <v>19</v>
      </c>
      <c r="C24" s="6">
        <v>296</v>
      </c>
      <c r="D24" s="29">
        <v>80222092.5</v>
      </c>
      <c r="E24" s="6"/>
      <c r="F24" s="6"/>
      <c r="G24" s="4">
        <f t="shared" si="2"/>
        <v>0</v>
      </c>
      <c r="H24" s="4">
        <f t="shared" si="6"/>
        <v>601665.69374999998</v>
      </c>
      <c r="I24" s="4">
        <f t="shared" si="3"/>
        <v>0</v>
      </c>
      <c r="J24" s="4">
        <f t="shared" si="7"/>
        <v>0</v>
      </c>
      <c r="K24" s="3">
        <f t="shared" si="9"/>
        <v>79620426.806250006</v>
      </c>
      <c r="L24" s="4">
        <f t="shared" si="9"/>
        <v>0</v>
      </c>
      <c r="M24" s="4">
        <f t="shared" si="8"/>
        <v>0</v>
      </c>
      <c r="N24" s="48"/>
      <c r="O24" s="48">
        <f t="shared" si="0"/>
        <v>1592408.5361250001</v>
      </c>
      <c r="P24" s="35">
        <f t="shared" si="1"/>
        <v>78028018.270125002</v>
      </c>
      <c r="Q24" s="29">
        <v>4150000</v>
      </c>
      <c r="R24" s="55">
        <f t="shared" si="5"/>
        <v>18.801932113283133</v>
      </c>
    </row>
    <row r="25" spans="1:18" ht="15" customHeight="1" x14ac:dyDescent="0.25">
      <c r="A25" s="11">
        <v>44436</v>
      </c>
      <c r="B25" s="45" t="s">
        <v>19</v>
      </c>
      <c r="C25" s="6">
        <v>243</v>
      </c>
      <c r="D25" s="29">
        <v>552250114.5</v>
      </c>
      <c r="E25" s="6"/>
      <c r="F25" s="29">
        <v>86097726</v>
      </c>
      <c r="G25" s="4">
        <f t="shared" si="2"/>
        <v>3711108.8793103453</v>
      </c>
      <c r="H25" s="4">
        <f t="shared" si="6"/>
        <v>4141875.8587499997</v>
      </c>
      <c r="I25" s="4">
        <f t="shared" si="3"/>
        <v>0</v>
      </c>
      <c r="J25" s="4">
        <f t="shared" si="7"/>
        <v>2152443.15</v>
      </c>
      <c r="K25" s="3">
        <f t="shared" si="9"/>
        <v>548108238.64125001</v>
      </c>
      <c r="L25" s="4">
        <f t="shared" si="9"/>
        <v>0</v>
      </c>
      <c r="M25" s="4">
        <f t="shared" si="8"/>
        <v>80234173.970689654</v>
      </c>
      <c r="N25" s="48">
        <f>K25+M25</f>
        <v>628342412.61193967</v>
      </c>
      <c r="O25" s="48">
        <f>+N25*2%</f>
        <v>12566848.252238793</v>
      </c>
      <c r="P25" s="35">
        <f>+K25-O25</f>
        <v>535541390.3890112</v>
      </c>
      <c r="Q25" s="29">
        <v>4150000</v>
      </c>
      <c r="R25" s="55">
        <f t="shared" si="5"/>
        <v>129.04611816602679</v>
      </c>
    </row>
    <row r="26" spans="1:18" ht="15" customHeight="1" x14ac:dyDescent="0.25">
      <c r="A26" s="11">
        <v>44436</v>
      </c>
      <c r="B26" s="45" t="s">
        <v>19</v>
      </c>
      <c r="C26" s="6">
        <v>297</v>
      </c>
      <c r="D26" s="29">
        <v>394630566</v>
      </c>
      <c r="E26" s="6"/>
      <c r="F26" s="6"/>
      <c r="G26" s="4">
        <f t="shared" si="2"/>
        <v>0</v>
      </c>
      <c r="H26" s="4">
        <f t="shared" si="6"/>
        <v>2959729.2450000001</v>
      </c>
      <c r="I26" s="4">
        <f t="shared" si="3"/>
        <v>0</v>
      </c>
      <c r="J26" s="4">
        <f t="shared" si="7"/>
        <v>0</v>
      </c>
      <c r="K26" s="3">
        <f t="shared" si="9"/>
        <v>391670836.755</v>
      </c>
      <c r="L26" s="4">
        <f t="shared" si="9"/>
        <v>0</v>
      </c>
      <c r="M26" s="4">
        <f t="shared" si="8"/>
        <v>0</v>
      </c>
      <c r="N26" s="48"/>
      <c r="O26" s="48">
        <f>+K26*2%</f>
        <v>7833416.7351000002</v>
      </c>
      <c r="P26" s="35">
        <f t="shared" si="1"/>
        <v>383837420.01990002</v>
      </c>
      <c r="Q26" s="29">
        <v>4150000</v>
      </c>
      <c r="R26" s="55">
        <f t="shared" si="5"/>
        <v>92.490944583108444</v>
      </c>
    </row>
    <row r="27" spans="1:18" ht="15" customHeight="1" x14ac:dyDescent="0.25">
      <c r="A27" s="11">
        <v>44437</v>
      </c>
      <c r="B27" s="45" t="s">
        <v>19</v>
      </c>
      <c r="C27" s="6">
        <v>298</v>
      </c>
      <c r="D27" s="29">
        <v>146315236</v>
      </c>
      <c r="E27" s="6"/>
      <c r="F27" s="6"/>
      <c r="G27" s="4">
        <f t="shared" si="2"/>
        <v>0</v>
      </c>
      <c r="H27" s="4">
        <f t="shared" si="6"/>
        <v>1097364.27</v>
      </c>
      <c r="I27" s="4">
        <f t="shared" si="3"/>
        <v>0</v>
      </c>
      <c r="J27" s="4">
        <f t="shared" si="7"/>
        <v>0</v>
      </c>
      <c r="K27" s="3">
        <f t="shared" si="9"/>
        <v>145217871.72999999</v>
      </c>
      <c r="L27" s="4">
        <f t="shared" si="9"/>
        <v>0</v>
      </c>
      <c r="M27" s="4">
        <f t="shared" si="8"/>
        <v>0</v>
      </c>
      <c r="N27" s="48"/>
      <c r="O27" s="48">
        <f>+K27*2%</f>
        <v>2904357.4345999998</v>
      </c>
      <c r="P27" s="35">
        <f t="shared" si="1"/>
        <v>142313514.29539999</v>
      </c>
      <c r="Q27" s="29">
        <v>4150000</v>
      </c>
      <c r="R27" s="55">
        <f t="shared" si="5"/>
        <v>34.292413083228915</v>
      </c>
    </row>
    <row r="28" spans="1:18" ht="15.75" x14ac:dyDescent="0.25">
      <c r="A28" s="11">
        <v>44437</v>
      </c>
      <c r="B28" s="45" t="s">
        <v>19</v>
      </c>
      <c r="C28" s="6">
        <v>244</v>
      </c>
      <c r="D28" s="29">
        <v>94763487.799999997</v>
      </c>
      <c r="E28" s="6"/>
      <c r="F28" s="6"/>
      <c r="G28" s="4">
        <f t="shared" si="2"/>
        <v>0</v>
      </c>
      <c r="H28" s="4">
        <f t="shared" si="6"/>
        <v>710726.1584999999</v>
      </c>
      <c r="I28" s="4">
        <f t="shared" si="3"/>
        <v>0</v>
      </c>
      <c r="J28" s="4">
        <f t="shared" si="7"/>
        <v>0</v>
      </c>
      <c r="K28" s="3">
        <f t="shared" si="9"/>
        <v>94052761.641499996</v>
      </c>
      <c r="L28" s="4">
        <f t="shared" si="9"/>
        <v>0</v>
      </c>
      <c r="M28" s="4">
        <f t="shared" si="8"/>
        <v>0</v>
      </c>
      <c r="N28" s="48"/>
      <c r="O28" s="48">
        <f>+K28*2%</f>
        <v>1881055.2328299999</v>
      </c>
      <c r="P28" s="35">
        <f t="shared" si="1"/>
        <v>92171706.408669993</v>
      </c>
      <c r="Q28" s="29">
        <v>4150000</v>
      </c>
      <c r="R28" s="55">
        <f t="shared" si="5"/>
        <v>22.210049737028914</v>
      </c>
    </row>
    <row r="29" spans="1:18" ht="15.75" x14ac:dyDescent="0.25">
      <c r="A29" s="6"/>
      <c r="B29" s="6"/>
      <c r="C29" s="6"/>
      <c r="D29" s="36">
        <f>SUM(D4:D28)</f>
        <v>2534135780.5500002</v>
      </c>
      <c r="E29" s="6"/>
      <c r="F29" s="6"/>
      <c r="G29" s="4">
        <f t="shared" si="2"/>
        <v>0</v>
      </c>
      <c r="H29" s="4">
        <f t="shared" si="6"/>
        <v>19006018.354125001</v>
      </c>
      <c r="I29" s="4">
        <f t="shared" si="3"/>
        <v>0</v>
      </c>
      <c r="J29" s="4">
        <f t="shared" si="7"/>
        <v>0</v>
      </c>
      <c r="K29" s="37">
        <f>D29-H29</f>
        <v>2515129762.1958752</v>
      </c>
      <c r="L29" s="6"/>
      <c r="M29" s="6"/>
      <c r="N29" s="49"/>
      <c r="O29" s="50"/>
      <c r="P29" s="44">
        <f>SUM(P4:P28)</f>
        <v>2463222483.4725437</v>
      </c>
      <c r="Q29" s="6"/>
      <c r="R29" s="59">
        <f>SUM(R4:R28)</f>
        <v>594.21053435220927</v>
      </c>
    </row>
    <row r="30" spans="1:18" hidden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2" spans="1:18" x14ac:dyDescent="0.25">
      <c r="J32" s="6"/>
    </row>
    <row r="33" spans="1:18" ht="1.5" customHeight="1" x14ac:dyDescent="0.25">
      <c r="I33" s="6" t="s">
        <v>24</v>
      </c>
      <c r="J33" s="44">
        <f>+P29</f>
        <v>2463222483.4725437</v>
      </c>
    </row>
    <row r="34" spans="1:18" hidden="1" x14ac:dyDescent="0.25"/>
    <row r="35" spans="1:18" hidden="1" x14ac:dyDescent="0.25"/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8" ht="15.75" x14ac:dyDescent="0.25">
      <c r="A37" s="82" t="s">
        <v>9</v>
      </c>
      <c r="B37" s="84" t="s">
        <v>11</v>
      </c>
      <c r="C37" s="86" t="s">
        <v>20</v>
      </c>
      <c r="D37" s="86"/>
      <c r="E37" s="86"/>
      <c r="F37" s="86"/>
      <c r="G37" s="86"/>
      <c r="H37" s="87" t="s">
        <v>21</v>
      </c>
      <c r="I37" s="88"/>
      <c r="J37" s="88"/>
      <c r="K37" s="88"/>
      <c r="L37" s="89"/>
    </row>
    <row r="38" spans="1:18" ht="31.5" x14ac:dyDescent="0.25">
      <c r="A38" s="83"/>
      <c r="B38" s="85"/>
      <c r="C38" s="13" t="s">
        <v>22</v>
      </c>
      <c r="D38" s="13" t="s">
        <v>12</v>
      </c>
      <c r="E38" s="14" t="s">
        <v>13</v>
      </c>
      <c r="F38" s="14" t="s">
        <v>14</v>
      </c>
      <c r="G38" s="14" t="s">
        <v>15</v>
      </c>
      <c r="H38" s="15" t="s">
        <v>16</v>
      </c>
      <c r="I38" s="15" t="s">
        <v>17</v>
      </c>
      <c r="J38" s="16" t="s">
        <v>13</v>
      </c>
      <c r="K38" s="17" t="s">
        <v>14</v>
      </c>
      <c r="L38" s="18" t="s">
        <v>15</v>
      </c>
      <c r="M38" s="7" t="s">
        <v>24</v>
      </c>
      <c r="N38" s="7"/>
      <c r="O38" s="54">
        <v>0.02</v>
      </c>
      <c r="P38" s="51" t="s">
        <v>25</v>
      </c>
      <c r="Q38" s="51" t="s">
        <v>26</v>
      </c>
      <c r="R38" s="8" t="s">
        <v>27</v>
      </c>
    </row>
    <row r="39" spans="1:18" x14ac:dyDescent="0.25">
      <c r="A39" s="26">
        <v>44425</v>
      </c>
      <c r="B39" s="46" t="s">
        <v>18</v>
      </c>
      <c r="C39" s="19"/>
      <c r="D39" s="27">
        <f>2180289.6</f>
        <v>2180289.6</v>
      </c>
      <c r="E39" s="20">
        <v>7.4999999999999997E-3</v>
      </c>
      <c r="F39" s="21">
        <f>+(C39+D39)*E39</f>
        <v>16352.172</v>
      </c>
      <c r="G39" s="21">
        <f>+(C39+D39)-F39</f>
        <v>2163937.4280000003</v>
      </c>
      <c r="H39" s="28">
        <f>13870194</f>
        <v>13870194</v>
      </c>
      <c r="I39" s="22"/>
      <c r="J39" s="23">
        <v>1.4999999999999999E-2</v>
      </c>
      <c r="K39" s="24">
        <f>+(H39+I39)*J39</f>
        <v>208052.91</v>
      </c>
      <c r="L39" s="24">
        <f>+(H39+I39)-K39</f>
        <v>13662141.09</v>
      </c>
      <c r="M39" s="32">
        <f>+G39+L39</f>
        <v>15826078.517999999</v>
      </c>
      <c r="N39" s="32"/>
      <c r="O39" s="29">
        <f>+M39*2%</f>
        <v>316521.57036000001</v>
      </c>
      <c r="P39" s="32">
        <f t="shared" ref="P39:P51" si="10">+M39-O39</f>
        <v>15509556.94764</v>
      </c>
      <c r="Q39" s="29">
        <v>4140000</v>
      </c>
      <c r="R39" s="55">
        <f>+P39/Q39</f>
        <v>3.7462697941159422</v>
      </c>
    </row>
    <row r="40" spans="1:18" x14ac:dyDescent="0.25">
      <c r="A40" s="26">
        <v>44426</v>
      </c>
      <c r="B40" s="46" t="s">
        <v>18</v>
      </c>
      <c r="C40" s="19"/>
      <c r="D40" s="27">
        <f>7495450+13076272.8</f>
        <v>20571722.800000001</v>
      </c>
      <c r="E40" s="20">
        <v>7.4999999999999997E-3</v>
      </c>
      <c r="F40" s="21">
        <f t="shared" ref="F40:F53" si="11">+(C40+D40)*E40</f>
        <v>154287.921</v>
      </c>
      <c r="G40" s="21">
        <f t="shared" ref="G40:G53" si="12">+(C40+D40)-F40</f>
        <v>20417434.879000001</v>
      </c>
      <c r="H40" s="28">
        <f>36536196.8</f>
        <v>36536196.799999997</v>
      </c>
      <c r="I40" s="22"/>
      <c r="J40" s="23">
        <v>1.4999999999999999E-2</v>
      </c>
      <c r="K40" s="24">
        <f t="shared" ref="K40:K53" si="13">+(H40+I40)*J40</f>
        <v>548042.95199999993</v>
      </c>
      <c r="L40" s="24">
        <f t="shared" ref="L40:L53" si="14">+(H40+I40)-K40</f>
        <v>35988153.847999997</v>
      </c>
      <c r="M40" s="32">
        <f>+G40+L40</f>
        <v>56405588.726999998</v>
      </c>
      <c r="N40" s="32"/>
      <c r="O40" s="29">
        <f>+M40*2%</f>
        <v>1128111.7745399999</v>
      </c>
      <c r="P40" s="32">
        <f t="shared" si="10"/>
        <v>55277476.952459998</v>
      </c>
      <c r="Q40" s="29">
        <v>4140000</v>
      </c>
      <c r="R40" s="55">
        <f>+P40/Q40</f>
        <v>13.352047573057972</v>
      </c>
    </row>
    <row r="41" spans="1:18" x14ac:dyDescent="0.25">
      <c r="A41" s="26">
        <v>44427</v>
      </c>
      <c r="B41" s="46" t="s">
        <v>18</v>
      </c>
      <c r="C41" s="19"/>
      <c r="D41" s="27">
        <f>13158300+40331450.4</f>
        <v>53489750.399999999</v>
      </c>
      <c r="E41" s="20">
        <v>7.4999999999999997E-3</v>
      </c>
      <c r="F41" s="21">
        <f t="shared" si="11"/>
        <v>401173.12799999997</v>
      </c>
      <c r="G41" s="21">
        <f t="shared" si="12"/>
        <v>53088577.272</v>
      </c>
      <c r="H41" s="28">
        <f>8467060</f>
        <v>8467060</v>
      </c>
      <c r="I41" s="22"/>
      <c r="J41" s="23">
        <v>1.4999999999999999E-2</v>
      </c>
      <c r="K41" s="24">
        <f t="shared" si="13"/>
        <v>127005.9</v>
      </c>
      <c r="L41" s="24">
        <f t="shared" si="14"/>
        <v>8340054.0999999996</v>
      </c>
      <c r="M41" s="32">
        <f t="shared" ref="M41:M51" si="15">+G41+L41</f>
        <v>61428631.372000001</v>
      </c>
      <c r="N41" s="32"/>
      <c r="O41" s="29">
        <f>+M41*2%</f>
        <v>1228572.62744</v>
      </c>
      <c r="P41" s="32">
        <f t="shared" si="10"/>
        <v>60200058.744560003</v>
      </c>
      <c r="Q41" s="29">
        <v>4140000</v>
      </c>
      <c r="R41" s="55">
        <f t="shared" ref="R41:R51" si="16">+P41/Q41</f>
        <v>14.541076991439615</v>
      </c>
    </row>
    <row r="42" spans="1:18" x14ac:dyDescent="0.25">
      <c r="A42" s="26">
        <v>44428</v>
      </c>
      <c r="B42" s="46" t="s">
        <v>18</v>
      </c>
      <c r="C42" s="19"/>
      <c r="D42" s="27">
        <f>7550000+665102.4</f>
        <v>8215102.4000000004</v>
      </c>
      <c r="E42" s="20">
        <v>7.4999999999999997E-3</v>
      </c>
      <c r="F42" s="21">
        <f t="shared" si="11"/>
        <v>61613.268000000004</v>
      </c>
      <c r="G42" s="21">
        <f t="shared" si="12"/>
        <v>8153489.1320000002</v>
      </c>
      <c r="H42" s="28">
        <f>16483303.2</f>
        <v>16483303.199999999</v>
      </c>
      <c r="I42" s="22"/>
      <c r="J42" s="23">
        <v>1.4999999999999999E-2</v>
      </c>
      <c r="K42" s="24">
        <f t="shared" si="13"/>
        <v>247249.54799999998</v>
      </c>
      <c r="L42" s="24">
        <f t="shared" si="14"/>
        <v>16236053.651999999</v>
      </c>
      <c r="M42" s="32">
        <f t="shared" si="15"/>
        <v>24389542.783999998</v>
      </c>
      <c r="N42" s="32"/>
      <c r="O42" s="29">
        <f t="shared" ref="O42:O51" si="17">+M42*2%</f>
        <v>487790.85567999998</v>
      </c>
      <c r="P42" s="32">
        <f t="shared" si="10"/>
        <v>23901751.928319998</v>
      </c>
      <c r="Q42" s="29">
        <v>4125000</v>
      </c>
      <c r="R42" s="55">
        <f t="shared" si="16"/>
        <v>5.794364103835151</v>
      </c>
    </row>
    <row r="43" spans="1:18" x14ac:dyDescent="0.25">
      <c r="A43" s="26">
        <v>44429</v>
      </c>
      <c r="B43" s="46" t="s">
        <v>18</v>
      </c>
      <c r="C43" s="19"/>
      <c r="D43" s="27">
        <f>85498132.5+4043325</f>
        <v>89541457.5</v>
      </c>
      <c r="E43" s="20">
        <v>7.4999999999999997E-3</v>
      </c>
      <c r="F43" s="21">
        <f t="shared" si="11"/>
        <v>671560.93125000002</v>
      </c>
      <c r="G43" s="21">
        <f t="shared" si="12"/>
        <v>88869896.568749994</v>
      </c>
      <c r="H43" s="28">
        <v>3980970</v>
      </c>
      <c r="I43" s="22"/>
      <c r="J43" s="23">
        <v>1.4999999999999999E-2</v>
      </c>
      <c r="K43" s="24">
        <f t="shared" si="13"/>
        <v>59714.549999999996</v>
      </c>
      <c r="L43" s="24">
        <f>+(H43+I43)-K43</f>
        <v>3921255.45</v>
      </c>
      <c r="M43" s="32">
        <f t="shared" si="15"/>
        <v>92791152.018749997</v>
      </c>
      <c r="N43" s="32"/>
      <c r="O43" s="29">
        <f t="shared" si="17"/>
        <v>1855823.0403749999</v>
      </c>
      <c r="P43" s="32">
        <f t="shared" si="10"/>
        <v>90935328.978375003</v>
      </c>
      <c r="Q43" s="29">
        <v>4125000</v>
      </c>
      <c r="R43" s="55">
        <f t="shared" si="16"/>
        <v>22.044928237181818</v>
      </c>
    </row>
    <row r="44" spans="1:18" x14ac:dyDescent="0.25">
      <c r="A44" s="26">
        <v>44430</v>
      </c>
      <c r="B44" s="46" t="s">
        <v>18</v>
      </c>
      <c r="C44" s="19"/>
      <c r="D44" s="19"/>
      <c r="E44" s="20">
        <v>7.4999999999999997E-3</v>
      </c>
      <c r="F44" s="21">
        <f t="shared" si="11"/>
        <v>0</v>
      </c>
      <c r="G44" s="21">
        <f>+(C44+D44)-F44</f>
        <v>0</v>
      </c>
      <c r="H44" s="28">
        <f>8000000</f>
        <v>8000000</v>
      </c>
      <c r="I44" s="22"/>
      <c r="J44" s="23">
        <v>1.4999999999999999E-2</v>
      </c>
      <c r="K44" s="24">
        <f t="shared" si="13"/>
        <v>120000</v>
      </c>
      <c r="L44" s="24">
        <f t="shared" si="14"/>
        <v>7880000</v>
      </c>
      <c r="M44" s="32">
        <f t="shared" si="15"/>
        <v>7880000</v>
      </c>
      <c r="N44" s="32"/>
      <c r="O44" s="29">
        <f t="shared" si="17"/>
        <v>157600</v>
      </c>
      <c r="P44" s="32">
        <f t="shared" si="10"/>
        <v>7722400</v>
      </c>
      <c r="Q44" s="29">
        <v>4125000</v>
      </c>
      <c r="R44" s="55">
        <f t="shared" si="16"/>
        <v>1.8720969696969696</v>
      </c>
    </row>
    <row r="45" spans="1:18" x14ac:dyDescent="0.25">
      <c r="A45" s="26">
        <v>44431</v>
      </c>
      <c r="B45" s="46" t="s">
        <v>18</v>
      </c>
      <c r="C45" s="19"/>
      <c r="D45" s="19"/>
      <c r="E45" s="20">
        <v>7.4999999999999997E-3</v>
      </c>
      <c r="F45" s="21">
        <f>+(C45+D45)*E45</f>
        <v>0</v>
      </c>
      <c r="G45" s="21">
        <f t="shared" si="12"/>
        <v>0</v>
      </c>
      <c r="H45" s="28">
        <v>10345350</v>
      </c>
      <c r="I45" s="22"/>
      <c r="J45" s="23">
        <v>1.4999999999999999E-2</v>
      </c>
      <c r="K45" s="24">
        <f t="shared" si="13"/>
        <v>155180.25</v>
      </c>
      <c r="L45" s="24">
        <f t="shared" si="14"/>
        <v>10190169.75</v>
      </c>
      <c r="M45" s="32">
        <f t="shared" si="15"/>
        <v>10190169.75</v>
      </c>
      <c r="N45" s="32"/>
      <c r="O45" s="29">
        <f t="shared" si="17"/>
        <v>203803.39500000002</v>
      </c>
      <c r="P45" s="32">
        <f t="shared" si="10"/>
        <v>9986366.3550000004</v>
      </c>
      <c r="Q45" s="29">
        <v>4125000</v>
      </c>
      <c r="R45" s="55">
        <f t="shared" si="16"/>
        <v>2.4209372981818182</v>
      </c>
    </row>
    <row r="46" spans="1:18" x14ac:dyDescent="0.25">
      <c r="A46" s="26">
        <v>44433</v>
      </c>
      <c r="B46" s="46" t="s">
        <v>18</v>
      </c>
      <c r="C46" s="19"/>
      <c r="D46" s="19"/>
      <c r="E46" s="20">
        <v>7.4999999999999997E-3</v>
      </c>
      <c r="F46" s="21">
        <f t="shared" si="11"/>
        <v>0</v>
      </c>
      <c r="G46" s="21">
        <f t="shared" si="12"/>
        <v>0</v>
      </c>
      <c r="H46" s="28">
        <f>29212000</f>
        <v>29212000</v>
      </c>
      <c r="I46" s="22"/>
      <c r="J46" s="23">
        <v>1.4999999999999999E-2</v>
      </c>
      <c r="K46" s="24">
        <f t="shared" si="13"/>
        <v>438180</v>
      </c>
      <c r="L46" s="24">
        <f>+(H46+I46)-K46</f>
        <v>28773820</v>
      </c>
      <c r="M46" s="32">
        <f t="shared" si="15"/>
        <v>28773820</v>
      </c>
      <c r="N46" s="32"/>
      <c r="O46" s="29">
        <f t="shared" si="17"/>
        <v>575476.4</v>
      </c>
      <c r="P46" s="32">
        <f t="shared" si="10"/>
        <v>28198343.600000001</v>
      </c>
      <c r="Q46" s="29">
        <v>4150000</v>
      </c>
      <c r="R46" s="55">
        <f t="shared" si="16"/>
        <v>6.7947815903614464</v>
      </c>
    </row>
    <row r="47" spans="1:18" ht="12.75" customHeight="1" x14ac:dyDescent="0.25">
      <c r="A47" s="26">
        <v>44433</v>
      </c>
      <c r="B47" s="19" t="s">
        <v>18</v>
      </c>
      <c r="C47" s="19"/>
      <c r="D47" s="30">
        <f>SUM(D39:D46)</f>
        <v>173998322.69999999</v>
      </c>
      <c r="E47" s="20">
        <v>7.4999999999999997E-3</v>
      </c>
      <c r="F47" s="21">
        <f t="shared" si="11"/>
        <v>1304987.42025</v>
      </c>
      <c r="G47" s="21">
        <f t="shared" si="12"/>
        <v>172693335.27974999</v>
      </c>
      <c r="H47" s="31">
        <f>SUM(H39:H46)</f>
        <v>126895074</v>
      </c>
      <c r="I47" s="22"/>
      <c r="J47" s="23">
        <v>1.4999999999999999E-2</v>
      </c>
      <c r="K47" s="24">
        <f t="shared" si="13"/>
        <v>1903426.1099999999</v>
      </c>
      <c r="L47" s="24">
        <f>+(H47+I47)-K47</f>
        <v>124991647.89</v>
      </c>
      <c r="M47" s="32">
        <f t="shared" si="15"/>
        <v>297684983.16974998</v>
      </c>
      <c r="N47" s="32"/>
      <c r="O47" s="29">
        <f t="shared" si="17"/>
        <v>5953699.6633949997</v>
      </c>
      <c r="P47" s="32">
        <f t="shared" si="10"/>
        <v>291731283.50635499</v>
      </c>
      <c r="Q47" s="29">
        <v>4150000</v>
      </c>
      <c r="R47" s="55">
        <f t="shared" si="16"/>
        <v>70.296694820808426</v>
      </c>
    </row>
    <row r="48" spans="1:18" ht="14.25" customHeight="1" x14ac:dyDescent="0.25">
      <c r="A48" s="26">
        <v>44434</v>
      </c>
      <c r="B48" s="19" t="s">
        <v>18</v>
      </c>
      <c r="C48" s="19"/>
      <c r="D48" s="27">
        <f>7976300+10519600</f>
        <v>18495900</v>
      </c>
      <c r="E48" s="20">
        <v>7.4999999999999997E-3</v>
      </c>
      <c r="F48" s="21">
        <f t="shared" si="11"/>
        <v>138719.25</v>
      </c>
      <c r="G48" s="21">
        <f t="shared" si="12"/>
        <v>18357180.75</v>
      </c>
      <c r="H48" s="28">
        <f>75642616</f>
        <v>75642616</v>
      </c>
      <c r="I48" s="22"/>
      <c r="J48" s="23">
        <v>1.4999999999999999E-2</v>
      </c>
      <c r="K48" s="24">
        <f t="shared" si="13"/>
        <v>1134639.24</v>
      </c>
      <c r="L48" s="24">
        <f t="shared" si="14"/>
        <v>74507976.760000005</v>
      </c>
      <c r="M48" s="32">
        <f t="shared" si="15"/>
        <v>92865157.510000005</v>
      </c>
      <c r="N48" s="32"/>
      <c r="O48" s="29">
        <f t="shared" si="17"/>
        <v>1857303.1502</v>
      </c>
      <c r="P48" s="32">
        <f t="shared" si="10"/>
        <v>91007854.359800011</v>
      </c>
      <c r="Q48" s="29">
        <v>4150000</v>
      </c>
      <c r="R48" s="55">
        <f t="shared" si="16"/>
        <v>21.929603460192773</v>
      </c>
    </row>
    <row r="49" spans="1:18" ht="15.75" customHeight="1" x14ac:dyDescent="0.25">
      <c r="A49" s="26">
        <v>44435</v>
      </c>
      <c r="B49" s="19" t="s">
        <v>18</v>
      </c>
      <c r="C49" s="19"/>
      <c r="D49" s="27">
        <f>26330588+7479692</f>
        <v>33810280</v>
      </c>
      <c r="E49" s="20">
        <v>7.4999999999999997E-3</v>
      </c>
      <c r="F49" s="21">
        <f t="shared" si="11"/>
        <v>253577.09999999998</v>
      </c>
      <c r="G49" s="21">
        <f t="shared" si="12"/>
        <v>33556702.899999999</v>
      </c>
      <c r="H49" s="28">
        <f>32071096</f>
        <v>32071096</v>
      </c>
      <c r="I49" s="22"/>
      <c r="J49" s="23">
        <v>1.4999999999999999E-2</v>
      </c>
      <c r="K49" s="24">
        <f t="shared" si="13"/>
        <v>481066.44</v>
      </c>
      <c r="L49" s="24">
        <f t="shared" si="14"/>
        <v>31590029.559999999</v>
      </c>
      <c r="M49" s="32">
        <f t="shared" si="15"/>
        <v>65146732.459999993</v>
      </c>
      <c r="N49" s="32"/>
      <c r="O49" s="29">
        <f t="shared" si="17"/>
        <v>1302934.6491999999</v>
      </c>
      <c r="P49" s="32">
        <f t="shared" si="10"/>
        <v>63843797.810799994</v>
      </c>
      <c r="Q49" s="29">
        <v>4150000</v>
      </c>
      <c r="R49" s="55">
        <f t="shared" si="16"/>
        <v>15.384047665253011</v>
      </c>
    </row>
    <row r="50" spans="1:18" ht="12.75" customHeight="1" x14ac:dyDescent="0.25">
      <c r="A50" s="26">
        <v>44436</v>
      </c>
      <c r="B50" s="19" t="s">
        <v>18</v>
      </c>
      <c r="C50" s="19"/>
      <c r="D50" s="27">
        <f>8536550+905500</f>
        <v>9442050</v>
      </c>
      <c r="E50" s="20">
        <v>7.4999999999999997E-3</v>
      </c>
      <c r="F50" s="21">
        <f t="shared" si="11"/>
        <v>70815.375</v>
      </c>
      <c r="G50" s="21">
        <f t="shared" si="12"/>
        <v>9371234.625</v>
      </c>
      <c r="H50" s="28">
        <v>48831028</v>
      </c>
      <c r="I50" s="22"/>
      <c r="J50" s="23">
        <v>1.4999999999999999E-2</v>
      </c>
      <c r="K50" s="24">
        <f t="shared" si="13"/>
        <v>732465.41999999993</v>
      </c>
      <c r="L50" s="24">
        <f t="shared" si="14"/>
        <v>48098562.579999998</v>
      </c>
      <c r="M50" s="32">
        <f t="shared" si="15"/>
        <v>57469797.204999998</v>
      </c>
      <c r="N50" s="32"/>
      <c r="O50" s="29">
        <f t="shared" si="17"/>
        <v>1149395.9441</v>
      </c>
      <c r="P50" s="32">
        <f t="shared" si="10"/>
        <v>56320401.260899998</v>
      </c>
      <c r="Q50" s="29">
        <v>4150000</v>
      </c>
      <c r="R50" s="55">
        <f t="shared" si="16"/>
        <v>13.571181026722892</v>
      </c>
    </row>
    <row r="51" spans="1:18" ht="13.5" customHeight="1" x14ac:dyDescent="0.25">
      <c r="A51" s="26">
        <v>44437</v>
      </c>
      <c r="B51" s="19" t="s">
        <v>18</v>
      </c>
      <c r="C51" s="19"/>
      <c r="D51" s="27">
        <f>8390968+697200</f>
        <v>9088168</v>
      </c>
      <c r="E51" s="20">
        <v>7.4999999999999997E-3</v>
      </c>
      <c r="F51" s="21">
        <f t="shared" si="11"/>
        <v>68161.259999999995</v>
      </c>
      <c r="G51" s="21">
        <f t="shared" si="12"/>
        <v>9020006.7400000002</v>
      </c>
      <c r="H51" s="28">
        <v>62759500</v>
      </c>
      <c r="I51" s="22"/>
      <c r="J51" s="23">
        <v>1.4999999999999999E-2</v>
      </c>
      <c r="K51" s="24">
        <f t="shared" si="13"/>
        <v>941392.5</v>
      </c>
      <c r="L51" s="24">
        <f>+(H51+I51)-K51</f>
        <v>61818107.5</v>
      </c>
      <c r="M51" s="32">
        <f t="shared" si="15"/>
        <v>70838114.239999995</v>
      </c>
      <c r="N51" s="32"/>
      <c r="O51" s="29">
        <f t="shared" si="17"/>
        <v>1416762.2848</v>
      </c>
      <c r="P51" s="32">
        <f t="shared" si="10"/>
        <v>69421351.955200002</v>
      </c>
      <c r="Q51" s="29">
        <v>4150000</v>
      </c>
      <c r="R51" s="55">
        <f t="shared" si="16"/>
        <v>16.728036615710845</v>
      </c>
    </row>
    <row r="52" spans="1:18" ht="13.5" customHeight="1" x14ac:dyDescent="0.25">
      <c r="A52" s="19"/>
      <c r="B52" s="19" t="s">
        <v>18</v>
      </c>
      <c r="C52" s="19"/>
      <c r="D52" s="19"/>
      <c r="E52" s="20">
        <v>7.4999999999999997E-3</v>
      </c>
      <c r="F52" s="21">
        <f t="shared" si="11"/>
        <v>0</v>
      </c>
      <c r="G52" s="21">
        <f t="shared" si="12"/>
        <v>0</v>
      </c>
      <c r="H52" s="22"/>
      <c r="I52" s="22"/>
      <c r="J52" s="23">
        <v>1.4999999999999999E-2</v>
      </c>
      <c r="K52" s="24">
        <f t="shared" si="13"/>
        <v>0</v>
      </c>
      <c r="L52" s="24">
        <f t="shared" si="14"/>
        <v>0</v>
      </c>
      <c r="M52" s="33">
        <f>SUM(M39:M51)</f>
        <v>881689767.75450003</v>
      </c>
      <c r="N52" s="32"/>
      <c r="O52" s="29"/>
      <c r="P52" s="36">
        <f>SUM(P39:P51)</f>
        <v>864055972.39940989</v>
      </c>
      <c r="Q52" s="6"/>
      <c r="R52" s="59">
        <f>SUM(R39:R51)</f>
        <v>208.47606614655865</v>
      </c>
    </row>
    <row r="53" spans="1:18" ht="0.75" customHeight="1" x14ac:dyDescent="0.25">
      <c r="A53" s="19"/>
      <c r="B53" s="19" t="s">
        <v>18</v>
      </c>
      <c r="C53" s="19"/>
      <c r="D53" s="19"/>
      <c r="E53" s="20">
        <v>7.4999999999999997E-3</v>
      </c>
      <c r="F53" s="25">
        <f t="shared" si="11"/>
        <v>0</v>
      </c>
      <c r="G53" s="25">
        <f t="shared" si="12"/>
        <v>0</v>
      </c>
      <c r="H53" s="22"/>
      <c r="I53" s="22"/>
      <c r="J53" s="23">
        <v>1.4999999999999999E-2</v>
      </c>
      <c r="K53" s="24">
        <f t="shared" si="13"/>
        <v>0</v>
      </c>
      <c r="L53" s="24">
        <f t="shared" si="14"/>
        <v>0</v>
      </c>
      <c r="M53" s="32"/>
      <c r="N53" s="32"/>
      <c r="O53" s="29"/>
      <c r="P53" s="32"/>
      <c r="Q53" s="6"/>
      <c r="R53" s="55"/>
    </row>
    <row r="54" spans="1:18" ht="7.5" customHeight="1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43"/>
      <c r="P54" s="52"/>
    </row>
    <row r="55" spans="1:18" ht="12.75" customHeight="1" x14ac:dyDescent="0.25">
      <c r="A55" s="38"/>
      <c r="B55" s="38"/>
      <c r="C55" s="38"/>
      <c r="D55" s="38"/>
      <c r="E55" s="39"/>
      <c r="F55" s="40"/>
      <c r="G55" s="40"/>
      <c r="H55" s="41"/>
      <c r="I55" s="41"/>
      <c r="J55" s="42"/>
      <c r="K55" s="43"/>
      <c r="L55" s="43"/>
    </row>
    <row r="56" spans="1:18" x14ac:dyDescent="0.25">
      <c r="H56" s="35">
        <f>J33</f>
        <v>2463222483.4725437</v>
      </c>
      <c r="L56" s="35">
        <f>P29</f>
        <v>2463222483.4725437</v>
      </c>
    </row>
    <row r="57" spans="1:18" x14ac:dyDescent="0.25">
      <c r="H57" s="32">
        <f>P52</f>
        <v>864055972.39940989</v>
      </c>
      <c r="K57" s="12"/>
      <c r="L57" s="32">
        <f>P52</f>
        <v>864055972.39940989</v>
      </c>
      <c r="N57" s="53"/>
      <c r="O57" s="53"/>
    </row>
    <row r="58" spans="1:18" x14ac:dyDescent="0.25">
      <c r="H58" s="32"/>
      <c r="K58" s="60" t="s">
        <v>24</v>
      </c>
      <c r="L58" s="44">
        <f>SUM(L56:L57)</f>
        <v>3327278455.8719535</v>
      </c>
    </row>
    <row r="59" spans="1:18" x14ac:dyDescent="0.25">
      <c r="G59" s="34" t="s">
        <v>24</v>
      </c>
      <c r="H59" s="33">
        <f>SUM(H55:H58)</f>
        <v>3327278455.8719535</v>
      </c>
      <c r="N59" s="53"/>
      <c r="O59" s="52"/>
    </row>
  </sheetData>
  <mergeCells count="4">
    <mergeCell ref="A37:A38"/>
    <mergeCell ref="B37:B38"/>
    <mergeCell ref="C37:G37"/>
    <mergeCell ref="H37:L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abSelected="1" topLeftCell="A106" workbookViewId="0">
      <selection activeCell="L182" sqref="L182"/>
    </sheetView>
  </sheetViews>
  <sheetFormatPr baseColWidth="10" defaultRowHeight="15" x14ac:dyDescent="0.25"/>
  <cols>
    <col min="3" max="3" width="0.28515625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11.42578125" hidden="1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6.5" thickBot="1" x14ac:dyDescent="0.3">
      <c r="B1" s="61" t="s">
        <v>29</v>
      </c>
      <c r="C1" s="61"/>
      <c r="D1" s="61"/>
      <c r="E1" s="61"/>
      <c r="F1" s="61"/>
      <c r="G1" s="61"/>
      <c r="H1" s="61"/>
      <c r="I1" s="62"/>
      <c r="J1" s="62"/>
      <c r="K1" s="62"/>
      <c r="L1" s="62"/>
      <c r="M1" s="62"/>
      <c r="N1" s="62"/>
      <c r="O1" s="62"/>
    </row>
    <row r="2" spans="1:18" ht="47.25" x14ac:dyDescent="0.25">
      <c r="A2" s="7" t="s">
        <v>9</v>
      </c>
      <c r="B2" s="8" t="s">
        <v>11</v>
      </c>
      <c r="C2" s="9" t="s">
        <v>23</v>
      </c>
      <c r="D2" s="10" t="s">
        <v>0</v>
      </c>
      <c r="E2" s="10" t="s">
        <v>1</v>
      </c>
      <c r="F2" s="10" t="s">
        <v>2</v>
      </c>
      <c r="G2" s="9" t="s">
        <v>3</v>
      </c>
      <c r="H2" s="9" t="s">
        <v>8</v>
      </c>
      <c r="I2" s="9" t="s">
        <v>10</v>
      </c>
      <c r="J2" s="9" t="s">
        <v>7</v>
      </c>
      <c r="K2" s="9" t="s">
        <v>4</v>
      </c>
      <c r="L2" s="9" t="s">
        <v>5</v>
      </c>
      <c r="M2" s="9" t="s">
        <v>6</v>
      </c>
      <c r="N2" s="56" t="s">
        <v>24</v>
      </c>
      <c r="O2" s="47">
        <v>0.02</v>
      </c>
      <c r="P2" s="51" t="s">
        <v>25</v>
      </c>
      <c r="Q2" s="8" t="s">
        <v>26</v>
      </c>
      <c r="R2" s="8" t="s">
        <v>27</v>
      </c>
    </row>
    <row r="3" spans="1:18" ht="15.75" x14ac:dyDescent="0.25">
      <c r="A3" s="11">
        <v>44440</v>
      </c>
      <c r="B3" s="45" t="s">
        <v>19</v>
      </c>
      <c r="C3" s="1"/>
      <c r="D3" s="2">
        <v>269782540.5</v>
      </c>
      <c r="E3" s="3"/>
      <c r="F3" s="3"/>
      <c r="G3" s="4">
        <f>F3/1.16*5%</f>
        <v>0</v>
      </c>
      <c r="H3" s="4">
        <f>D3*0.75%</f>
        <v>2023369.05375</v>
      </c>
      <c r="I3" s="4">
        <f>E3*0.53%</f>
        <v>0</v>
      </c>
      <c r="J3" s="4">
        <f>F3*2.5%</f>
        <v>0</v>
      </c>
      <c r="K3" s="4">
        <f>D3-H3</f>
        <v>267759171.44624999</v>
      </c>
      <c r="L3" s="4">
        <f>E3-I3</f>
        <v>0</v>
      </c>
      <c r="M3" s="4">
        <f>F3-G3-J3</f>
        <v>0</v>
      </c>
      <c r="N3" s="48"/>
      <c r="O3" s="48">
        <f t="shared" ref="O3:O23" si="0">+K3*2%</f>
        <v>5355183.4289250001</v>
      </c>
      <c r="P3" s="35">
        <f t="shared" ref="P3:P27" si="1">+K3-O3</f>
        <v>262403988.01732498</v>
      </c>
      <c r="Q3" s="29">
        <v>4140000</v>
      </c>
      <c r="R3" s="55">
        <f>+P3/Q3</f>
        <v>63.382605801286225</v>
      </c>
    </row>
    <row r="4" spans="1:18" ht="15.75" x14ac:dyDescent="0.25">
      <c r="A4" s="11">
        <v>44441</v>
      </c>
      <c r="B4" s="45" t="s">
        <v>19</v>
      </c>
      <c r="C4" s="1"/>
      <c r="D4" s="2">
        <v>309667764.86000001</v>
      </c>
      <c r="E4" s="3"/>
      <c r="F4" s="3"/>
      <c r="G4" s="4">
        <f t="shared" ref="G4:G28" si="2">F4/1.16*5%</f>
        <v>0</v>
      </c>
      <c r="H4" s="4">
        <f>D4*0.75%</f>
        <v>2322508.2364500002</v>
      </c>
      <c r="I4" s="4">
        <f t="shared" ref="I4:I28" si="3">E4*0.53%</f>
        <v>0</v>
      </c>
      <c r="J4" s="4">
        <f>F4*2.5%</f>
        <v>0</v>
      </c>
      <c r="K4" s="4">
        <f>D4-H4</f>
        <v>307345256.62355</v>
      </c>
      <c r="L4" s="4">
        <f t="shared" ref="K4:L20" si="4">E4-I4</f>
        <v>0</v>
      </c>
      <c r="M4" s="4">
        <f>F4-G4-J4</f>
        <v>0</v>
      </c>
      <c r="N4" s="48"/>
      <c r="O4" s="48">
        <f t="shared" si="0"/>
        <v>6146905.1324709998</v>
      </c>
      <c r="P4" s="35">
        <f t="shared" si="1"/>
        <v>301198351.49107897</v>
      </c>
      <c r="Q4" s="29">
        <v>4140000</v>
      </c>
      <c r="R4" s="55">
        <f t="shared" ref="R4:R27" si="5">+P4/Q4</f>
        <v>72.753224997845166</v>
      </c>
    </row>
    <row r="5" spans="1:18" ht="15.75" x14ac:dyDescent="0.25">
      <c r="A5" s="11">
        <v>44442</v>
      </c>
      <c r="B5" s="45" t="s">
        <v>19</v>
      </c>
      <c r="C5" s="1"/>
      <c r="D5" s="2">
        <v>708000585.08000004</v>
      </c>
      <c r="E5" s="3"/>
      <c r="F5" s="2"/>
      <c r="G5" s="4">
        <f t="shared" si="2"/>
        <v>0</v>
      </c>
      <c r="H5" s="4">
        <f t="shared" ref="H5:H28" si="6">D5*0.75%</f>
        <v>5310004.3881000001</v>
      </c>
      <c r="I5" s="4">
        <f t="shared" si="3"/>
        <v>0</v>
      </c>
      <c r="J5" s="4">
        <f t="shared" ref="J5:J28" si="7">F5*2.5%</f>
        <v>0</v>
      </c>
      <c r="K5" s="4">
        <f t="shared" si="4"/>
        <v>702690580.69190001</v>
      </c>
      <c r="L5" s="4">
        <f t="shared" si="4"/>
        <v>0</v>
      </c>
      <c r="M5" s="4">
        <f>F5-G5-J5</f>
        <v>0</v>
      </c>
      <c r="N5" s="48"/>
      <c r="O5" s="48">
        <f t="shared" si="0"/>
        <v>14053811.613838</v>
      </c>
      <c r="P5" s="35">
        <f t="shared" si="1"/>
        <v>688636769.07806206</v>
      </c>
      <c r="Q5" s="29">
        <v>4140000</v>
      </c>
      <c r="R5" s="55">
        <f t="shared" si="5"/>
        <v>166.33738383528069</v>
      </c>
    </row>
    <row r="6" spans="1:18" ht="15.75" x14ac:dyDescent="0.25">
      <c r="A6" s="11">
        <v>44443</v>
      </c>
      <c r="B6" s="45" t="s">
        <v>19</v>
      </c>
      <c r="C6" s="1"/>
      <c r="D6" s="2">
        <v>471692159.5</v>
      </c>
      <c r="E6" s="3"/>
      <c r="F6" s="2"/>
      <c r="G6" s="4">
        <f t="shared" si="2"/>
        <v>0</v>
      </c>
      <c r="H6" s="4">
        <f t="shared" si="6"/>
        <v>3537691.19625</v>
      </c>
      <c r="I6" s="4">
        <f t="shared" si="3"/>
        <v>0</v>
      </c>
      <c r="J6" s="4">
        <f t="shared" si="7"/>
        <v>0</v>
      </c>
      <c r="K6" s="4">
        <f>D6-H6</f>
        <v>468154468.30374998</v>
      </c>
      <c r="L6" s="4">
        <f t="shared" si="4"/>
        <v>0</v>
      </c>
      <c r="M6" s="4">
        <f t="shared" ref="M6:M27" si="8">F6-G6-J6</f>
        <v>0</v>
      </c>
      <c r="N6" s="48"/>
      <c r="O6" s="48">
        <f t="shared" si="0"/>
        <v>9363089.3660749998</v>
      </c>
      <c r="P6" s="35">
        <f t="shared" si="1"/>
        <v>458791378.937675</v>
      </c>
      <c r="Q6" s="29">
        <v>4140000</v>
      </c>
      <c r="R6" s="55">
        <f t="shared" si="5"/>
        <v>110.81917365644324</v>
      </c>
    </row>
    <row r="7" spans="1:18" ht="15.75" x14ac:dyDescent="0.25">
      <c r="A7" s="11"/>
      <c r="B7" s="45" t="s">
        <v>19</v>
      </c>
      <c r="C7" s="1"/>
      <c r="D7" s="2"/>
      <c r="E7" s="3"/>
      <c r="F7" s="2"/>
      <c r="G7" s="4">
        <f t="shared" si="2"/>
        <v>0</v>
      </c>
      <c r="H7" s="4">
        <f t="shared" si="6"/>
        <v>0</v>
      </c>
      <c r="I7" s="4">
        <f t="shared" si="3"/>
        <v>0</v>
      </c>
      <c r="J7" s="4">
        <f t="shared" si="7"/>
        <v>0</v>
      </c>
      <c r="K7" s="4">
        <f t="shared" si="4"/>
        <v>0</v>
      </c>
      <c r="L7" s="4">
        <f t="shared" si="4"/>
        <v>0</v>
      </c>
      <c r="M7" s="4">
        <f t="shared" si="8"/>
        <v>0</v>
      </c>
      <c r="N7" s="48"/>
      <c r="O7" s="48">
        <f t="shared" si="0"/>
        <v>0</v>
      </c>
      <c r="P7" s="35">
        <f t="shared" si="1"/>
        <v>0</v>
      </c>
      <c r="Q7" s="29">
        <v>4140000</v>
      </c>
      <c r="R7" s="55">
        <f t="shared" si="5"/>
        <v>0</v>
      </c>
    </row>
    <row r="8" spans="1:18" ht="15.75" hidden="1" x14ac:dyDescent="0.25">
      <c r="A8" s="11"/>
      <c r="B8" s="45" t="s">
        <v>19</v>
      </c>
      <c r="C8" s="1"/>
      <c r="D8" s="2"/>
      <c r="E8" s="3"/>
      <c r="F8" s="2"/>
      <c r="G8" s="4">
        <f t="shared" si="2"/>
        <v>0</v>
      </c>
      <c r="H8" s="4">
        <f t="shared" si="6"/>
        <v>0</v>
      </c>
      <c r="I8" s="4">
        <f t="shared" si="3"/>
        <v>0</v>
      </c>
      <c r="J8" s="4">
        <f t="shared" si="7"/>
        <v>0</v>
      </c>
      <c r="K8" s="4">
        <f t="shared" si="4"/>
        <v>0</v>
      </c>
      <c r="L8" s="4">
        <f t="shared" si="4"/>
        <v>0</v>
      </c>
      <c r="M8" s="4">
        <f t="shared" si="8"/>
        <v>0</v>
      </c>
      <c r="N8" s="48"/>
      <c r="O8" s="48">
        <f t="shared" si="0"/>
        <v>0</v>
      </c>
      <c r="P8" s="35">
        <f t="shared" si="1"/>
        <v>0</v>
      </c>
      <c r="Q8" s="29">
        <v>4140000</v>
      </c>
      <c r="R8" s="55">
        <f t="shared" si="5"/>
        <v>0</v>
      </c>
    </row>
    <row r="9" spans="1:18" ht="15.75" hidden="1" x14ac:dyDescent="0.25">
      <c r="A9" s="11"/>
      <c r="B9" s="45" t="s">
        <v>19</v>
      </c>
      <c r="C9" s="1"/>
      <c r="D9" s="2"/>
      <c r="E9" s="3"/>
      <c r="F9" s="2"/>
      <c r="G9" s="4">
        <f t="shared" si="2"/>
        <v>0</v>
      </c>
      <c r="H9" s="4">
        <f t="shared" si="6"/>
        <v>0</v>
      </c>
      <c r="I9" s="4">
        <f t="shared" si="3"/>
        <v>0</v>
      </c>
      <c r="J9" s="4">
        <f t="shared" si="7"/>
        <v>0</v>
      </c>
      <c r="K9" s="3">
        <f t="shared" si="4"/>
        <v>0</v>
      </c>
      <c r="L9" s="3">
        <f t="shared" si="4"/>
        <v>0</v>
      </c>
      <c r="M9" s="3">
        <f t="shared" si="8"/>
        <v>0</v>
      </c>
      <c r="N9" s="57"/>
      <c r="O9" s="48">
        <f t="shared" si="0"/>
        <v>0</v>
      </c>
      <c r="P9" s="35">
        <f t="shared" si="1"/>
        <v>0</v>
      </c>
      <c r="Q9" s="29">
        <v>4125000</v>
      </c>
      <c r="R9" s="55">
        <f t="shared" si="5"/>
        <v>0</v>
      </c>
    </row>
    <row r="10" spans="1:18" ht="15.75" hidden="1" x14ac:dyDescent="0.25">
      <c r="A10" s="11"/>
      <c r="B10" s="45" t="s">
        <v>19</v>
      </c>
      <c r="C10" s="1"/>
      <c r="D10" s="2"/>
      <c r="E10" s="3"/>
      <c r="F10" s="2"/>
      <c r="G10" s="4">
        <f t="shared" si="2"/>
        <v>0</v>
      </c>
      <c r="H10" s="4">
        <f t="shared" si="6"/>
        <v>0</v>
      </c>
      <c r="I10" s="4">
        <f t="shared" si="3"/>
        <v>0</v>
      </c>
      <c r="J10" s="4">
        <f t="shared" si="7"/>
        <v>0</v>
      </c>
      <c r="K10" s="3">
        <f>D10-H10</f>
        <v>0</v>
      </c>
      <c r="L10" s="4">
        <f t="shared" si="4"/>
        <v>0</v>
      </c>
      <c r="M10" s="5">
        <f t="shared" si="8"/>
        <v>0</v>
      </c>
      <c r="N10" s="58"/>
      <c r="O10" s="48">
        <f t="shared" si="0"/>
        <v>0</v>
      </c>
      <c r="P10" s="35">
        <f t="shared" si="1"/>
        <v>0</v>
      </c>
      <c r="Q10" s="29">
        <v>4125000</v>
      </c>
      <c r="R10" s="55">
        <f t="shared" si="5"/>
        <v>0</v>
      </c>
    </row>
    <row r="11" spans="1:18" ht="15.75" hidden="1" x14ac:dyDescent="0.25">
      <c r="A11" s="11"/>
      <c r="B11" s="45" t="s">
        <v>19</v>
      </c>
      <c r="C11" s="1"/>
      <c r="D11" s="2"/>
      <c r="E11" s="3"/>
      <c r="F11" s="2"/>
      <c r="G11" s="4">
        <f t="shared" si="2"/>
        <v>0</v>
      </c>
      <c r="H11" s="4">
        <f t="shared" si="6"/>
        <v>0</v>
      </c>
      <c r="I11" s="4">
        <f t="shared" si="3"/>
        <v>0</v>
      </c>
      <c r="J11" s="4">
        <f t="shared" si="7"/>
        <v>0</v>
      </c>
      <c r="K11" s="3">
        <f>D11-H11</f>
        <v>0</v>
      </c>
      <c r="L11" s="4">
        <f t="shared" si="4"/>
        <v>0</v>
      </c>
      <c r="M11" s="5">
        <f t="shared" si="8"/>
        <v>0</v>
      </c>
      <c r="N11" s="58"/>
      <c r="O11" s="48">
        <f t="shared" si="0"/>
        <v>0</v>
      </c>
      <c r="P11" s="35">
        <f t="shared" si="1"/>
        <v>0</v>
      </c>
      <c r="Q11" s="29">
        <v>4125000</v>
      </c>
      <c r="R11" s="55">
        <f t="shared" si="5"/>
        <v>0</v>
      </c>
    </row>
    <row r="12" spans="1:18" ht="15.75" hidden="1" x14ac:dyDescent="0.25">
      <c r="A12" s="11"/>
      <c r="B12" s="45" t="s">
        <v>19</v>
      </c>
      <c r="C12" s="1"/>
      <c r="D12" s="2"/>
      <c r="E12" s="3"/>
      <c r="F12" s="2"/>
      <c r="G12" s="4">
        <f t="shared" si="2"/>
        <v>0</v>
      </c>
      <c r="H12" s="4">
        <f t="shared" si="6"/>
        <v>0</v>
      </c>
      <c r="I12" s="4">
        <f t="shared" si="3"/>
        <v>0</v>
      </c>
      <c r="J12" s="4">
        <f t="shared" si="7"/>
        <v>0</v>
      </c>
      <c r="K12" s="3">
        <f t="shared" si="4"/>
        <v>0</v>
      </c>
      <c r="L12" s="4">
        <f t="shared" si="4"/>
        <v>0</v>
      </c>
      <c r="M12" s="4">
        <f t="shared" si="8"/>
        <v>0</v>
      </c>
      <c r="N12" s="48"/>
      <c r="O12" s="48">
        <f t="shared" si="0"/>
        <v>0</v>
      </c>
      <c r="P12" s="35">
        <f t="shared" si="1"/>
        <v>0</v>
      </c>
      <c r="Q12" s="29">
        <v>4125000</v>
      </c>
      <c r="R12" s="55">
        <f t="shared" si="5"/>
        <v>0</v>
      </c>
    </row>
    <row r="13" spans="1:18" ht="15.75" hidden="1" x14ac:dyDescent="0.25">
      <c r="A13" s="11"/>
      <c r="B13" s="45" t="s">
        <v>19</v>
      </c>
      <c r="C13" s="1"/>
      <c r="D13" s="3"/>
      <c r="E13" s="3"/>
      <c r="F13" s="3"/>
      <c r="G13" s="4">
        <f t="shared" si="2"/>
        <v>0</v>
      </c>
      <c r="H13" s="4">
        <f t="shared" si="6"/>
        <v>0</v>
      </c>
      <c r="I13" s="4">
        <f t="shared" si="3"/>
        <v>0</v>
      </c>
      <c r="J13" s="4">
        <f t="shared" si="7"/>
        <v>0</v>
      </c>
      <c r="K13" s="3">
        <f t="shared" si="4"/>
        <v>0</v>
      </c>
      <c r="L13" s="4">
        <f t="shared" si="4"/>
        <v>0</v>
      </c>
      <c r="M13" s="4">
        <f t="shared" si="8"/>
        <v>0</v>
      </c>
      <c r="N13" s="48"/>
      <c r="O13" s="48">
        <f t="shared" si="0"/>
        <v>0</v>
      </c>
      <c r="P13" s="35">
        <f t="shared" si="1"/>
        <v>0</v>
      </c>
      <c r="Q13" s="29">
        <v>4125000</v>
      </c>
      <c r="R13" s="55">
        <f t="shared" si="5"/>
        <v>0</v>
      </c>
    </row>
    <row r="14" spans="1:18" ht="15.75" hidden="1" x14ac:dyDescent="0.25">
      <c r="A14" s="11"/>
      <c r="B14" s="45" t="s">
        <v>19</v>
      </c>
      <c r="C14" s="1"/>
      <c r="D14" s="2"/>
      <c r="E14" s="3"/>
      <c r="F14" s="3"/>
      <c r="G14" s="4">
        <f t="shared" si="2"/>
        <v>0</v>
      </c>
      <c r="H14" s="4">
        <f t="shared" si="6"/>
        <v>0</v>
      </c>
      <c r="I14" s="4">
        <f t="shared" si="3"/>
        <v>0</v>
      </c>
      <c r="J14" s="4">
        <f t="shared" si="7"/>
        <v>0</v>
      </c>
      <c r="K14" s="3">
        <f t="shared" si="4"/>
        <v>0</v>
      </c>
      <c r="L14" s="4">
        <f t="shared" si="4"/>
        <v>0</v>
      </c>
      <c r="M14" s="4">
        <f t="shared" si="8"/>
        <v>0</v>
      </c>
      <c r="N14" s="48"/>
      <c r="O14" s="48">
        <f t="shared" si="0"/>
        <v>0</v>
      </c>
      <c r="P14" s="35">
        <f t="shared" si="1"/>
        <v>0</v>
      </c>
      <c r="Q14" s="29">
        <v>4125000</v>
      </c>
      <c r="R14" s="55">
        <f t="shared" si="5"/>
        <v>0</v>
      </c>
    </row>
    <row r="15" spans="1:18" ht="15.75" hidden="1" x14ac:dyDescent="0.25">
      <c r="A15" s="11"/>
      <c r="B15" s="45" t="s">
        <v>19</v>
      </c>
      <c r="C15" s="1"/>
      <c r="D15" s="3"/>
      <c r="E15" s="3"/>
      <c r="F15" s="3"/>
      <c r="G15" s="4">
        <f t="shared" si="2"/>
        <v>0</v>
      </c>
      <c r="H15" s="4">
        <f t="shared" si="6"/>
        <v>0</v>
      </c>
      <c r="I15" s="4">
        <f t="shared" si="3"/>
        <v>0</v>
      </c>
      <c r="J15" s="4">
        <f t="shared" si="7"/>
        <v>0</v>
      </c>
      <c r="K15" s="3">
        <f t="shared" si="4"/>
        <v>0</v>
      </c>
      <c r="L15" s="4">
        <f t="shared" si="4"/>
        <v>0</v>
      </c>
      <c r="M15" s="4">
        <f t="shared" si="8"/>
        <v>0</v>
      </c>
      <c r="N15" s="48"/>
      <c r="O15" s="48">
        <f t="shared" si="0"/>
        <v>0</v>
      </c>
      <c r="P15" s="35">
        <f t="shared" si="1"/>
        <v>0</v>
      </c>
      <c r="Q15" s="29">
        <v>4125000</v>
      </c>
      <c r="R15" s="55">
        <f t="shared" si="5"/>
        <v>0</v>
      </c>
    </row>
    <row r="16" spans="1:18" ht="15.75" hidden="1" x14ac:dyDescent="0.25">
      <c r="A16" s="11"/>
      <c r="B16" s="45" t="s">
        <v>19</v>
      </c>
      <c r="C16" s="6"/>
      <c r="D16" s="29"/>
      <c r="E16" s="6"/>
      <c r="F16" s="6"/>
      <c r="G16" s="4">
        <f t="shared" si="2"/>
        <v>0</v>
      </c>
      <c r="H16" s="4">
        <f t="shared" si="6"/>
        <v>0</v>
      </c>
      <c r="I16" s="4">
        <f t="shared" si="3"/>
        <v>0</v>
      </c>
      <c r="J16" s="4">
        <f t="shared" si="7"/>
        <v>0</v>
      </c>
      <c r="K16" s="3">
        <f t="shared" si="4"/>
        <v>0</v>
      </c>
      <c r="L16" s="4">
        <f t="shared" si="4"/>
        <v>0</v>
      </c>
      <c r="M16" s="4">
        <f t="shared" si="8"/>
        <v>0</v>
      </c>
      <c r="N16" s="48"/>
      <c r="O16" s="48">
        <f t="shared" si="0"/>
        <v>0</v>
      </c>
      <c r="P16" s="35">
        <f t="shared" si="1"/>
        <v>0</v>
      </c>
      <c r="Q16" s="29">
        <v>4150000</v>
      </c>
      <c r="R16" s="55">
        <f t="shared" si="5"/>
        <v>0</v>
      </c>
    </row>
    <row r="17" spans="1:18" ht="15.75" hidden="1" x14ac:dyDescent="0.25">
      <c r="A17" s="11"/>
      <c r="B17" s="45" t="s">
        <v>19</v>
      </c>
      <c r="C17" s="6"/>
      <c r="D17" s="29"/>
      <c r="E17" s="6"/>
      <c r="F17" s="6"/>
      <c r="G17" s="4">
        <f t="shared" si="2"/>
        <v>0</v>
      </c>
      <c r="H17" s="4">
        <f t="shared" si="6"/>
        <v>0</v>
      </c>
      <c r="I17" s="4">
        <f t="shared" si="3"/>
        <v>0</v>
      </c>
      <c r="J17" s="4">
        <f t="shared" si="7"/>
        <v>0</v>
      </c>
      <c r="K17" s="3">
        <f t="shared" si="4"/>
        <v>0</v>
      </c>
      <c r="L17" s="4">
        <f t="shared" si="4"/>
        <v>0</v>
      </c>
      <c r="M17" s="4">
        <f t="shared" si="8"/>
        <v>0</v>
      </c>
      <c r="N17" s="48"/>
      <c r="O17" s="48">
        <f t="shared" si="0"/>
        <v>0</v>
      </c>
      <c r="P17" s="35">
        <f t="shared" si="1"/>
        <v>0</v>
      </c>
      <c r="Q17" s="29">
        <v>4150000</v>
      </c>
      <c r="R17" s="55">
        <f t="shared" si="5"/>
        <v>0</v>
      </c>
    </row>
    <row r="18" spans="1:18" ht="15.75" hidden="1" x14ac:dyDescent="0.25">
      <c r="A18" s="11"/>
      <c r="B18" s="45" t="s">
        <v>19</v>
      </c>
      <c r="C18" s="6"/>
      <c r="D18" s="29"/>
      <c r="E18" s="6"/>
      <c r="F18" s="6"/>
      <c r="G18" s="4">
        <f t="shared" si="2"/>
        <v>0</v>
      </c>
      <c r="H18" s="4">
        <f t="shared" si="6"/>
        <v>0</v>
      </c>
      <c r="I18" s="4">
        <f t="shared" si="3"/>
        <v>0</v>
      </c>
      <c r="J18" s="4">
        <f t="shared" si="7"/>
        <v>0</v>
      </c>
      <c r="K18" s="3">
        <f t="shared" si="4"/>
        <v>0</v>
      </c>
      <c r="L18" s="4">
        <f t="shared" si="4"/>
        <v>0</v>
      </c>
      <c r="M18" s="4">
        <f t="shared" si="8"/>
        <v>0</v>
      </c>
      <c r="N18" s="48"/>
      <c r="O18" s="48">
        <f t="shared" si="0"/>
        <v>0</v>
      </c>
      <c r="P18" s="35">
        <f t="shared" si="1"/>
        <v>0</v>
      </c>
      <c r="Q18" s="29">
        <v>4150000</v>
      </c>
      <c r="R18" s="55">
        <f t="shared" si="5"/>
        <v>0</v>
      </c>
    </row>
    <row r="19" spans="1:18" ht="15.75" hidden="1" x14ac:dyDescent="0.25">
      <c r="A19" s="11"/>
      <c r="B19" s="45" t="s">
        <v>19</v>
      </c>
      <c r="C19" s="6"/>
      <c r="D19" s="29"/>
      <c r="E19" s="6"/>
      <c r="F19" s="6"/>
      <c r="G19" s="4">
        <f t="shared" si="2"/>
        <v>0</v>
      </c>
      <c r="H19" s="4">
        <f t="shared" si="6"/>
        <v>0</v>
      </c>
      <c r="I19" s="4">
        <f t="shared" si="3"/>
        <v>0</v>
      </c>
      <c r="J19" s="4">
        <f t="shared" si="7"/>
        <v>0</v>
      </c>
      <c r="K19" s="3">
        <f>D19-H19</f>
        <v>0</v>
      </c>
      <c r="L19" s="4">
        <f t="shared" si="4"/>
        <v>0</v>
      </c>
      <c r="M19" s="4">
        <f t="shared" si="8"/>
        <v>0</v>
      </c>
      <c r="N19" s="48"/>
      <c r="O19" s="48">
        <f t="shared" si="0"/>
        <v>0</v>
      </c>
      <c r="P19" s="35">
        <f t="shared" si="1"/>
        <v>0</v>
      </c>
      <c r="Q19" s="29">
        <v>4150000</v>
      </c>
      <c r="R19" s="55">
        <f t="shared" si="5"/>
        <v>0</v>
      </c>
    </row>
    <row r="20" spans="1:18" ht="15.75" hidden="1" x14ac:dyDescent="0.25">
      <c r="A20" s="11"/>
      <c r="B20" s="45" t="s">
        <v>19</v>
      </c>
      <c r="C20" s="6"/>
      <c r="D20" s="29"/>
      <c r="E20" s="6"/>
      <c r="F20" s="6"/>
      <c r="G20" s="4">
        <f t="shared" si="2"/>
        <v>0</v>
      </c>
      <c r="H20" s="4">
        <f t="shared" si="6"/>
        <v>0</v>
      </c>
      <c r="I20" s="4">
        <f t="shared" si="3"/>
        <v>0</v>
      </c>
      <c r="J20" s="4">
        <f t="shared" si="7"/>
        <v>0</v>
      </c>
      <c r="K20" s="3">
        <f t="shared" ref="K20:L27" si="9">D20-H20</f>
        <v>0</v>
      </c>
      <c r="L20" s="4">
        <f t="shared" si="4"/>
        <v>0</v>
      </c>
      <c r="M20" s="4">
        <f t="shared" si="8"/>
        <v>0</v>
      </c>
      <c r="N20" s="48"/>
      <c r="O20" s="48">
        <f t="shared" si="0"/>
        <v>0</v>
      </c>
      <c r="P20" s="35">
        <f t="shared" si="1"/>
        <v>0</v>
      </c>
      <c r="Q20" s="29">
        <v>4150000</v>
      </c>
      <c r="R20" s="55">
        <f t="shared" si="5"/>
        <v>0</v>
      </c>
    </row>
    <row r="21" spans="1:18" ht="15.75" hidden="1" x14ac:dyDescent="0.25">
      <c r="A21" s="11"/>
      <c r="B21" s="45" t="s">
        <v>19</v>
      </c>
      <c r="C21" s="6"/>
      <c r="D21" s="29"/>
      <c r="E21" s="6"/>
      <c r="F21" s="6"/>
      <c r="G21" s="4">
        <f t="shared" si="2"/>
        <v>0</v>
      </c>
      <c r="H21" s="4">
        <f t="shared" si="6"/>
        <v>0</v>
      </c>
      <c r="I21" s="4">
        <f t="shared" si="3"/>
        <v>0</v>
      </c>
      <c r="J21" s="4">
        <f t="shared" si="7"/>
        <v>0</v>
      </c>
      <c r="K21" s="3">
        <f t="shared" si="9"/>
        <v>0</v>
      </c>
      <c r="L21" s="4">
        <f t="shared" si="9"/>
        <v>0</v>
      </c>
      <c r="M21" s="4">
        <f t="shared" si="8"/>
        <v>0</v>
      </c>
      <c r="N21" s="48"/>
      <c r="O21" s="48">
        <f t="shared" si="0"/>
        <v>0</v>
      </c>
      <c r="P21" s="35">
        <f t="shared" si="1"/>
        <v>0</v>
      </c>
      <c r="Q21" s="29">
        <v>4150000</v>
      </c>
      <c r="R21" s="55">
        <f t="shared" si="5"/>
        <v>0</v>
      </c>
    </row>
    <row r="22" spans="1:18" ht="15.75" hidden="1" x14ac:dyDescent="0.25">
      <c r="A22" s="11"/>
      <c r="B22" s="45" t="s">
        <v>19</v>
      </c>
      <c r="C22" s="6"/>
      <c r="D22" s="29"/>
      <c r="E22" s="6"/>
      <c r="F22" s="6"/>
      <c r="G22" s="4">
        <f t="shared" si="2"/>
        <v>0</v>
      </c>
      <c r="H22" s="4">
        <f t="shared" si="6"/>
        <v>0</v>
      </c>
      <c r="I22" s="4">
        <f t="shared" si="3"/>
        <v>0</v>
      </c>
      <c r="J22" s="4">
        <f t="shared" si="7"/>
        <v>0</v>
      </c>
      <c r="K22" s="3">
        <f t="shared" si="9"/>
        <v>0</v>
      </c>
      <c r="L22" s="4">
        <f t="shared" si="9"/>
        <v>0</v>
      </c>
      <c r="M22" s="4">
        <f t="shared" si="8"/>
        <v>0</v>
      </c>
      <c r="N22" s="48"/>
      <c r="O22" s="48">
        <f t="shared" si="0"/>
        <v>0</v>
      </c>
      <c r="P22" s="35">
        <f t="shared" si="1"/>
        <v>0</v>
      </c>
      <c r="Q22" s="29">
        <v>4150000</v>
      </c>
      <c r="R22" s="55">
        <f t="shared" si="5"/>
        <v>0</v>
      </c>
    </row>
    <row r="23" spans="1:18" ht="15.75" hidden="1" x14ac:dyDescent="0.25">
      <c r="A23" s="11"/>
      <c r="B23" s="45" t="s">
        <v>19</v>
      </c>
      <c r="C23" s="6"/>
      <c r="D23" s="29"/>
      <c r="E23" s="6"/>
      <c r="F23" s="6"/>
      <c r="G23" s="4">
        <f t="shared" si="2"/>
        <v>0</v>
      </c>
      <c r="H23" s="4">
        <f t="shared" si="6"/>
        <v>0</v>
      </c>
      <c r="I23" s="4">
        <f t="shared" si="3"/>
        <v>0</v>
      </c>
      <c r="J23" s="4">
        <f t="shared" si="7"/>
        <v>0</v>
      </c>
      <c r="K23" s="3">
        <f t="shared" si="9"/>
        <v>0</v>
      </c>
      <c r="L23" s="4">
        <f t="shared" si="9"/>
        <v>0</v>
      </c>
      <c r="M23" s="4">
        <f t="shared" si="8"/>
        <v>0</v>
      </c>
      <c r="N23" s="48"/>
      <c r="O23" s="48">
        <f t="shared" si="0"/>
        <v>0</v>
      </c>
      <c r="P23" s="35">
        <f t="shared" si="1"/>
        <v>0</v>
      </c>
      <c r="Q23" s="29">
        <v>4150000</v>
      </c>
      <c r="R23" s="55">
        <f t="shared" si="5"/>
        <v>0</v>
      </c>
    </row>
    <row r="24" spans="1:18" ht="15.75" hidden="1" x14ac:dyDescent="0.25">
      <c r="A24" s="11"/>
      <c r="B24" s="45" t="s">
        <v>19</v>
      </c>
      <c r="C24" s="6"/>
      <c r="D24" s="29"/>
      <c r="E24" s="6"/>
      <c r="F24" s="29"/>
      <c r="G24" s="4">
        <f t="shared" si="2"/>
        <v>0</v>
      </c>
      <c r="H24" s="4">
        <f t="shared" si="6"/>
        <v>0</v>
      </c>
      <c r="I24" s="4">
        <f t="shared" si="3"/>
        <v>0</v>
      </c>
      <c r="J24" s="4">
        <f t="shared" si="7"/>
        <v>0</v>
      </c>
      <c r="K24" s="3">
        <f t="shared" si="9"/>
        <v>0</v>
      </c>
      <c r="L24" s="4">
        <f t="shared" si="9"/>
        <v>0</v>
      </c>
      <c r="M24" s="4">
        <f t="shared" si="8"/>
        <v>0</v>
      </c>
      <c r="N24" s="48">
        <f>K24+M24</f>
        <v>0</v>
      </c>
      <c r="O24" s="48">
        <f>+N24*2%</f>
        <v>0</v>
      </c>
      <c r="P24" s="35">
        <f>+K24-O24</f>
        <v>0</v>
      </c>
      <c r="Q24" s="29">
        <v>4150000</v>
      </c>
      <c r="R24" s="55">
        <f t="shared" si="5"/>
        <v>0</v>
      </c>
    </row>
    <row r="25" spans="1:18" ht="15.75" hidden="1" x14ac:dyDescent="0.25">
      <c r="A25" s="11"/>
      <c r="B25" s="45" t="s">
        <v>19</v>
      </c>
      <c r="C25" s="6"/>
      <c r="D25" s="29"/>
      <c r="E25" s="6"/>
      <c r="F25" s="6"/>
      <c r="G25" s="4">
        <f t="shared" si="2"/>
        <v>0</v>
      </c>
      <c r="H25" s="4">
        <f t="shared" si="6"/>
        <v>0</v>
      </c>
      <c r="I25" s="4">
        <f t="shared" si="3"/>
        <v>0</v>
      </c>
      <c r="J25" s="4">
        <f t="shared" si="7"/>
        <v>0</v>
      </c>
      <c r="K25" s="3">
        <f t="shared" si="9"/>
        <v>0</v>
      </c>
      <c r="L25" s="4">
        <f t="shared" si="9"/>
        <v>0</v>
      </c>
      <c r="M25" s="4">
        <f t="shared" si="8"/>
        <v>0</v>
      </c>
      <c r="N25" s="48"/>
      <c r="O25" s="48">
        <f>+K25*2%</f>
        <v>0</v>
      </c>
      <c r="P25" s="35">
        <f t="shared" si="1"/>
        <v>0</v>
      </c>
      <c r="Q25" s="29">
        <v>4150000</v>
      </c>
      <c r="R25" s="55">
        <f t="shared" si="5"/>
        <v>0</v>
      </c>
    </row>
    <row r="26" spans="1:18" ht="15.75" hidden="1" x14ac:dyDescent="0.25">
      <c r="A26" s="11"/>
      <c r="B26" s="45" t="s">
        <v>19</v>
      </c>
      <c r="C26" s="6"/>
      <c r="D26" s="29"/>
      <c r="E26" s="6"/>
      <c r="F26" s="6"/>
      <c r="G26" s="4">
        <f t="shared" si="2"/>
        <v>0</v>
      </c>
      <c r="H26" s="4">
        <f t="shared" si="6"/>
        <v>0</v>
      </c>
      <c r="I26" s="4">
        <f t="shared" si="3"/>
        <v>0</v>
      </c>
      <c r="J26" s="4">
        <f t="shared" si="7"/>
        <v>0</v>
      </c>
      <c r="K26" s="3">
        <f t="shared" si="9"/>
        <v>0</v>
      </c>
      <c r="L26" s="4">
        <f t="shared" si="9"/>
        <v>0</v>
      </c>
      <c r="M26" s="4">
        <f t="shared" si="8"/>
        <v>0</v>
      </c>
      <c r="N26" s="48"/>
      <c r="O26" s="48">
        <f>+K26*2%</f>
        <v>0</v>
      </c>
      <c r="P26" s="35">
        <f t="shared" si="1"/>
        <v>0</v>
      </c>
      <c r="Q26" s="29">
        <v>4150000</v>
      </c>
      <c r="R26" s="55">
        <f t="shared" si="5"/>
        <v>0</v>
      </c>
    </row>
    <row r="27" spans="1:18" ht="15.75" hidden="1" x14ac:dyDescent="0.25">
      <c r="A27" s="11"/>
      <c r="B27" s="45" t="s">
        <v>19</v>
      </c>
      <c r="C27" s="6"/>
      <c r="D27" s="29"/>
      <c r="E27" s="6"/>
      <c r="F27" s="6"/>
      <c r="G27" s="4">
        <f t="shared" si="2"/>
        <v>0</v>
      </c>
      <c r="H27" s="4">
        <f t="shared" si="6"/>
        <v>0</v>
      </c>
      <c r="I27" s="4">
        <f t="shared" si="3"/>
        <v>0</v>
      </c>
      <c r="J27" s="4">
        <f t="shared" si="7"/>
        <v>0</v>
      </c>
      <c r="K27" s="3">
        <f t="shared" si="9"/>
        <v>0</v>
      </c>
      <c r="L27" s="4">
        <f t="shared" si="9"/>
        <v>0</v>
      </c>
      <c r="M27" s="4">
        <f t="shared" si="8"/>
        <v>0</v>
      </c>
      <c r="N27" s="48"/>
      <c r="O27" s="48">
        <f>+K27*2%</f>
        <v>0</v>
      </c>
      <c r="P27" s="35">
        <f t="shared" si="1"/>
        <v>0</v>
      </c>
      <c r="Q27" s="29">
        <v>4150000</v>
      </c>
      <c r="R27" s="55">
        <f t="shared" si="5"/>
        <v>0</v>
      </c>
    </row>
    <row r="28" spans="1:18" ht="15.75" x14ac:dyDescent="0.25">
      <c r="A28" s="6"/>
      <c r="B28" s="6"/>
      <c r="C28" s="6"/>
      <c r="D28" s="36">
        <f>SUM(D3:D27)</f>
        <v>1759143049.9400001</v>
      </c>
      <c r="E28" s="6"/>
      <c r="F28" s="6"/>
      <c r="G28" s="4">
        <f t="shared" si="2"/>
        <v>0</v>
      </c>
      <c r="H28" s="4">
        <f t="shared" si="6"/>
        <v>13193572.87455</v>
      </c>
      <c r="I28" s="4">
        <f t="shared" si="3"/>
        <v>0</v>
      </c>
      <c r="J28" s="4">
        <f t="shared" si="7"/>
        <v>0</v>
      </c>
      <c r="K28" s="37">
        <f>D28-H28</f>
        <v>1745949477.06545</v>
      </c>
      <c r="L28" s="6"/>
      <c r="M28" s="6"/>
      <c r="N28" s="49"/>
      <c r="O28" s="50"/>
      <c r="P28" s="44">
        <f>SUM(P3:P27)</f>
        <v>1711030487.5241411</v>
      </c>
      <c r="Q28" s="6"/>
      <c r="R28" s="59">
        <f>SUM(R3:R27)</f>
        <v>413.29238829085534</v>
      </c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x14ac:dyDescent="0.25">
      <c r="J31" s="35">
        <f>K28</f>
        <v>1745949477.06545</v>
      </c>
    </row>
    <row r="32" spans="1:18" x14ac:dyDescent="0.25">
      <c r="I32" s="6" t="s">
        <v>24</v>
      </c>
      <c r="J32" s="44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8" ht="15.75" x14ac:dyDescent="0.25">
      <c r="A36" s="82" t="s">
        <v>9</v>
      </c>
      <c r="B36" s="84" t="s">
        <v>11</v>
      </c>
      <c r="C36" s="86" t="s">
        <v>20</v>
      </c>
      <c r="D36" s="86"/>
      <c r="E36" s="86"/>
      <c r="F36" s="86"/>
      <c r="G36" s="86"/>
      <c r="H36" s="87" t="s">
        <v>21</v>
      </c>
      <c r="I36" s="88"/>
      <c r="J36" s="88"/>
      <c r="K36" s="88"/>
      <c r="L36" s="89"/>
    </row>
    <row r="37" spans="1:18" ht="47.25" x14ac:dyDescent="0.25">
      <c r="A37" s="83"/>
      <c r="B37" s="85"/>
      <c r="C37" s="13" t="s">
        <v>22</v>
      </c>
      <c r="D37" s="13" t="s">
        <v>12</v>
      </c>
      <c r="E37" s="14" t="s">
        <v>13</v>
      </c>
      <c r="F37" s="14" t="s">
        <v>14</v>
      </c>
      <c r="G37" s="14" t="s">
        <v>15</v>
      </c>
      <c r="H37" s="15" t="s">
        <v>16</v>
      </c>
      <c r="I37" s="15" t="s">
        <v>17</v>
      </c>
      <c r="J37" s="16" t="s">
        <v>13</v>
      </c>
      <c r="K37" s="17" t="s">
        <v>14</v>
      </c>
      <c r="L37" s="18" t="s">
        <v>15</v>
      </c>
      <c r="M37" s="7" t="s">
        <v>24</v>
      </c>
      <c r="N37" s="7"/>
      <c r="O37" s="54">
        <v>0.02</v>
      </c>
      <c r="P37" s="51" t="s">
        <v>25</v>
      </c>
      <c r="Q37" s="51" t="s">
        <v>26</v>
      </c>
      <c r="R37" s="8" t="s">
        <v>27</v>
      </c>
    </row>
    <row r="38" spans="1:18" x14ac:dyDescent="0.25">
      <c r="A38" s="26">
        <v>44440</v>
      </c>
      <c r="B38" s="46" t="s">
        <v>18</v>
      </c>
      <c r="C38" s="19"/>
      <c r="D38" s="27">
        <v>12284000</v>
      </c>
      <c r="E38" s="20">
        <v>7.4999999999999997E-3</v>
      </c>
      <c r="F38" s="21">
        <f>+(C38+D38)*E38</f>
        <v>92130</v>
      </c>
      <c r="G38" s="21">
        <f>+(C38+D38)-F38</f>
        <v>12191870</v>
      </c>
      <c r="H38" s="28">
        <v>58808882</v>
      </c>
      <c r="I38" s="22"/>
      <c r="J38" s="23">
        <v>1.4999999999999999E-2</v>
      </c>
      <c r="K38" s="24">
        <f>+(H38+I38)*J38</f>
        <v>882133.23</v>
      </c>
      <c r="L38" s="24">
        <f>+(H38+I38)-K38</f>
        <v>57926748.770000003</v>
      </c>
      <c r="M38" s="32">
        <f>+G38+L38</f>
        <v>70118618.770000011</v>
      </c>
      <c r="N38" s="32"/>
      <c r="O38" s="29">
        <f>+M38*2%</f>
        <v>1402372.3754000003</v>
      </c>
      <c r="P38" s="32">
        <f t="shared" ref="P38:P50" si="10">+M38-O38</f>
        <v>68716246.394600004</v>
      </c>
      <c r="Q38" s="29">
        <v>4140000</v>
      </c>
      <c r="R38" s="55">
        <f>+P38/Q38</f>
        <v>16.598127148454108</v>
      </c>
    </row>
    <row r="39" spans="1:18" x14ac:dyDescent="0.25">
      <c r="A39" s="26">
        <v>44441</v>
      </c>
      <c r="B39" s="46" t="s">
        <v>18</v>
      </c>
      <c r="C39" s="19"/>
      <c r="D39" s="27">
        <v>4232840</v>
      </c>
      <c r="E39" s="20">
        <v>7.4999999999999997E-3</v>
      </c>
      <c r="F39" s="21">
        <f t="shared" ref="F39:F51" si="11">+(C39+D39)*E39</f>
        <v>31746.3</v>
      </c>
      <c r="G39" s="21">
        <f t="shared" ref="G39:G51" si="12">+(C39+D39)-F39</f>
        <v>4201093.7</v>
      </c>
      <c r="H39" s="28">
        <v>20998000</v>
      </c>
      <c r="I39" s="22"/>
      <c r="J39" s="23">
        <v>1.4999999999999999E-2</v>
      </c>
      <c r="K39" s="24">
        <f t="shared" ref="K39:K51" si="13">+(H39+I39)*J39</f>
        <v>314970</v>
      </c>
      <c r="L39" s="24">
        <f t="shared" ref="L39:L51" si="14">+(H39+I39)-K39</f>
        <v>20683030</v>
      </c>
      <c r="M39" s="32">
        <f>+G39+L39</f>
        <v>24884123.699999999</v>
      </c>
      <c r="N39" s="32"/>
      <c r="O39" s="29">
        <f>+M39*2%</f>
        <v>497682.47399999999</v>
      </c>
      <c r="P39" s="32">
        <f t="shared" si="10"/>
        <v>24386441.226</v>
      </c>
      <c r="Q39" s="29">
        <v>4140000</v>
      </c>
      <c r="R39" s="55">
        <f>+P39/Q39</f>
        <v>5.89044474057971</v>
      </c>
    </row>
    <row r="40" spans="1:18" x14ac:dyDescent="0.25">
      <c r="A40" s="26">
        <v>44442</v>
      </c>
      <c r="B40" s="46" t="s">
        <v>18</v>
      </c>
      <c r="C40" s="19"/>
      <c r="D40" s="27">
        <v>36774925</v>
      </c>
      <c r="E40" s="20">
        <v>7.4999999999999997E-3</v>
      </c>
      <c r="F40" s="21">
        <f t="shared" si="11"/>
        <v>275811.9375</v>
      </c>
      <c r="G40" s="21">
        <f t="shared" si="12"/>
        <v>36499113.0625</v>
      </c>
      <c r="H40" s="28">
        <v>42533753</v>
      </c>
      <c r="I40" s="22"/>
      <c r="J40" s="23">
        <v>1.4999999999999999E-2</v>
      </c>
      <c r="K40" s="24">
        <f t="shared" si="13"/>
        <v>638006.29499999993</v>
      </c>
      <c r="L40" s="24">
        <f t="shared" si="14"/>
        <v>41895746.704999998</v>
      </c>
      <c r="M40" s="32">
        <f t="shared" ref="M40:M50" si="15">+G40+L40</f>
        <v>78394859.767499998</v>
      </c>
      <c r="N40" s="32"/>
      <c r="O40" s="29">
        <f>+M40*2%</f>
        <v>1567897.1953499999</v>
      </c>
      <c r="P40" s="32">
        <f t="shared" si="10"/>
        <v>76826962.572149992</v>
      </c>
      <c r="Q40" s="29">
        <v>4140000</v>
      </c>
      <c r="R40" s="55">
        <f t="shared" ref="R40:R50" si="16">+P40/Q40</f>
        <v>18.557237336268113</v>
      </c>
    </row>
    <row r="41" spans="1:18" x14ac:dyDescent="0.25">
      <c r="A41" s="26">
        <v>44443</v>
      </c>
      <c r="B41" s="46" t="s">
        <v>18</v>
      </c>
      <c r="C41" s="19"/>
      <c r="D41" s="27">
        <v>20023995</v>
      </c>
      <c r="E41" s="20">
        <v>7.4999999999999997E-3</v>
      </c>
      <c r="F41" s="21">
        <f t="shared" si="11"/>
        <v>150179.96249999999</v>
      </c>
      <c r="G41" s="21">
        <f t="shared" si="12"/>
        <v>19873815.037500001</v>
      </c>
      <c r="H41" s="28">
        <v>28316400</v>
      </c>
      <c r="I41" s="22"/>
      <c r="J41" s="23">
        <v>1.4999999999999999E-2</v>
      </c>
      <c r="K41" s="24">
        <f t="shared" si="13"/>
        <v>424746</v>
      </c>
      <c r="L41" s="24">
        <f t="shared" si="14"/>
        <v>27891654</v>
      </c>
      <c r="M41" s="32">
        <f t="shared" si="15"/>
        <v>47765469.037500001</v>
      </c>
      <c r="N41" s="32"/>
      <c r="O41" s="29">
        <f t="shared" ref="O41:O50" si="17">+M41*2%</f>
        <v>955309.38075000001</v>
      </c>
      <c r="P41" s="32">
        <f t="shared" si="10"/>
        <v>46810159.656750001</v>
      </c>
      <c r="Q41" s="29">
        <v>4125000</v>
      </c>
      <c r="R41" s="55">
        <f t="shared" si="16"/>
        <v>11.347917492545454</v>
      </c>
    </row>
    <row r="42" spans="1:18" x14ac:dyDescent="0.25">
      <c r="A42" s="26"/>
      <c r="B42" s="46" t="s">
        <v>18</v>
      </c>
      <c r="C42" s="19"/>
      <c r="D42" s="27"/>
      <c r="E42" s="20">
        <v>7.4999999999999997E-3</v>
      </c>
      <c r="F42" s="21">
        <f t="shared" si="11"/>
        <v>0</v>
      </c>
      <c r="G42" s="21">
        <f t="shared" si="12"/>
        <v>0</v>
      </c>
      <c r="H42" s="28"/>
      <c r="I42" s="22"/>
      <c r="J42" s="23">
        <v>1.4999999999999999E-2</v>
      </c>
      <c r="K42" s="24">
        <f t="shared" si="13"/>
        <v>0</v>
      </c>
      <c r="L42" s="24">
        <f>+(H42+I42)-K42</f>
        <v>0</v>
      </c>
      <c r="M42" s="32">
        <f t="shared" si="15"/>
        <v>0</v>
      </c>
      <c r="N42" s="32"/>
      <c r="O42" s="29">
        <f t="shared" si="17"/>
        <v>0</v>
      </c>
      <c r="P42" s="32">
        <f t="shared" si="10"/>
        <v>0</v>
      </c>
      <c r="Q42" s="29">
        <v>4125000</v>
      </c>
      <c r="R42" s="55">
        <f t="shared" si="16"/>
        <v>0</v>
      </c>
    </row>
    <row r="43" spans="1:18" ht="2.25" hidden="1" customHeight="1" x14ac:dyDescent="0.25">
      <c r="A43" s="26"/>
      <c r="B43" s="46" t="s">
        <v>18</v>
      </c>
      <c r="C43" s="19"/>
      <c r="D43" s="19"/>
      <c r="E43" s="20">
        <v>7.4999999999999997E-3</v>
      </c>
      <c r="F43" s="21">
        <f t="shared" si="11"/>
        <v>0</v>
      </c>
      <c r="G43" s="21">
        <f>+(C43+D43)-F43</f>
        <v>0</v>
      </c>
      <c r="H43" s="28"/>
      <c r="I43" s="22"/>
      <c r="J43" s="23">
        <v>1.4999999999999999E-2</v>
      </c>
      <c r="K43" s="24">
        <f t="shared" si="13"/>
        <v>0</v>
      </c>
      <c r="L43" s="24">
        <f t="shared" si="14"/>
        <v>0</v>
      </c>
      <c r="M43" s="32">
        <f t="shared" si="15"/>
        <v>0</v>
      </c>
      <c r="N43" s="32"/>
      <c r="O43" s="29">
        <f t="shared" si="17"/>
        <v>0</v>
      </c>
      <c r="P43" s="32">
        <f t="shared" si="10"/>
        <v>0</v>
      </c>
      <c r="Q43" s="29">
        <v>4125000</v>
      </c>
      <c r="R43" s="55">
        <f t="shared" si="16"/>
        <v>0</v>
      </c>
    </row>
    <row r="44" spans="1:18" hidden="1" x14ac:dyDescent="0.25">
      <c r="A44" s="26"/>
      <c r="B44" s="46" t="s">
        <v>18</v>
      </c>
      <c r="C44" s="19"/>
      <c r="D44" s="19"/>
      <c r="E44" s="20">
        <v>7.4999999999999997E-3</v>
      </c>
      <c r="F44" s="21">
        <f>+(C44+D44)*E44</f>
        <v>0</v>
      </c>
      <c r="G44" s="21">
        <f t="shared" si="12"/>
        <v>0</v>
      </c>
      <c r="H44" s="28"/>
      <c r="I44" s="22"/>
      <c r="J44" s="23">
        <v>1.4999999999999999E-2</v>
      </c>
      <c r="K44" s="24">
        <f t="shared" si="13"/>
        <v>0</v>
      </c>
      <c r="L44" s="24">
        <f t="shared" si="14"/>
        <v>0</v>
      </c>
      <c r="M44" s="32">
        <f t="shared" si="15"/>
        <v>0</v>
      </c>
      <c r="N44" s="32"/>
      <c r="O44" s="29">
        <f t="shared" si="17"/>
        <v>0</v>
      </c>
      <c r="P44" s="32">
        <f t="shared" si="10"/>
        <v>0</v>
      </c>
      <c r="Q44" s="29">
        <v>4125000</v>
      </c>
      <c r="R44" s="55">
        <f t="shared" si="16"/>
        <v>0</v>
      </c>
    </row>
    <row r="45" spans="1:18" hidden="1" x14ac:dyDescent="0.25">
      <c r="A45" s="26"/>
      <c r="B45" s="46" t="s">
        <v>18</v>
      </c>
      <c r="C45" s="19"/>
      <c r="D45" s="19"/>
      <c r="E45" s="20">
        <v>7.4999999999999997E-3</v>
      </c>
      <c r="F45" s="21">
        <f t="shared" si="11"/>
        <v>0</v>
      </c>
      <c r="G45" s="21">
        <f t="shared" si="12"/>
        <v>0</v>
      </c>
      <c r="H45" s="28"/>
      <c r="I45" s="22"/>
      <c r="J45" s="23">
        <v>1.4999999999999999E-2</v>
      </c>
      <c r="K45" s="24">
        <f t="shared" si="13"/>
        <v>0</v>
      </c>
      <c r="L45" s="24">
        <f>+(H45+I45)-K45</f>
        <v>0</v>
      </c>
      <c r="M45" s="32">
        <f t="shared" si="15"/>
        <v>0</v>
      </c>
      <c r="N45" s="32"/>
      <c r="O45" s="29">
        <f t="shared" si="17"/>
        <v>0</v>
      </c>
      <c r="P45" s="32">
        <f t="shared" si="10"/>
        <v>0</v>
      </c>
      <c r="Q45" s="29">
        <v>4150000</v>
      </c>
      <c r="R45" s="55">
        <f t="shared" si="16"/>
        <v>0</v>
      </c>
    </row>
    <row r="46" spans="1:18" hidden="1" x14ac:dyDescent="0.25">
      <c r="A46" s="26"/>
      <c r="B46" s="19" t="s">
        <v>18</v>
      </c>
      <c r="C46" s="19"/>
      <c r="D46" s="30"/>
      <c r="E46" s="20">
        <v>7.4999999999999997E-3</v>
      </c>
      <c r="F46" s="21">
        <f t="shared" si="11"/>
        <v>0</v>
      </c>
      <c r="G46" s="21">
        <f t="shared" si="12"/>
        <v>0</v>
      </c>
      <c r="H46" s="31"/>
      <c r="I46" s="22"/>
      <c r="J46" s="23">
        <v>1.4999999999999999E-2</v>
      </c>
      <c r="K46" s="24">
        <f t="shared" si="13"/>
        <v>0</v>
      </c>
      <c r="L46" s="24">
        <f>+(H46+I46)-K46</f>
        <v>0</v>
      </c>
      <c r="M46" s="32">
        <f t="shared" si="15"/>
        <v>0</v>
      </c>
      <c r="N46" s="32"/>
      <c r="O46" s="29">
        <f t="shared" si="17"/>
        <v>0</v>
      </c>
      <c r="P46" s="32">
        <f t="shared" si="10"/>
        <v>0</v>
      </c>
      <c r="Q46" s="29">
        <v>4150000</v>
      </c>
      <c r="R46" s="55">
        <f t="shared" si="16"/>
        <v>0</v>
      </c>
    </row>
    <row r="47" spans="1:18" hidden="1" x14ac:dyDescent="0.25">
      <c r="A47" s="26"/>
      <c r="B47" s="19" t="s">
        <v>18</v>
      </c>
      <c r="C47" s="19"/>
      <c r="D47" s="27"/>
      <c r="E47" s="20">
        <v>7.4999999999999997E-3</v>
      </c>
      <c r="F47" s="21">
        <f t="shared" si="11"/>
        <v>0</v>
      </c>
      <c r="G47" s="21">
        <f t="shared" si="12"/>
        <v>0</v>
      </c>
      <c r="H47" s="28"/>
      <c r="I47" s="22"/>
      <c r="J47" s="23">
        <v>1.4999999999999999E-2</v>
      </c>
      <c r="K47" s="24">
        <f t="shared" si="13"/>
        <v>0</v>
      </c>
      <c r="L47" s="24">
        <f t="shared" si="14"/>
        <v>0</v>
      </c>
      <c r="M47" s="32">
        <f t="shared" si="15"/>
        <v>0</v>
      </c>
      <c r="N47" s="32"/>
      <c r="O47" s="29">
        <f t="shared" si="17"/>
        <v>0</v>
      </c>
      <c r="P47" s="32">
        <f t="shared" si="10"/>
        <v>0</v>
      </c>
      <c r="Q47" s="29">
        <v>4150000</v>
      </c>
      <c r="R47" s="55">
        <f t="shared" si="16"/>
        <v>0</v>
      </c>
    </row>
    <row r="48" spans="1:18" hidden="1" x14ac:dyDescent="0.25">
      <c r="A48" s="26"/>
      <c r="B48" s="19" t="s">
        <v>18</v>
      </c>
      <c r="C48" s="19"/>
      <c r="D48" s="27"/>
      <c r="E48" s="20">
        <v>7.4999999999999997E-3</v>
      </c>
      <c r="F48" s="21">
        <f t="shared" si="11"/>
        <v>0</v>
      </c>
      <c r="G48" s="21">
        <f t="shared" si="12"/>
        <v>0</v>
      </c>
      <c r="H48" s="28"/>
      <c r="I48" s="22"/>
      <c r="J48" s="23">
        <v>1.4999999999999999E-2</v>
      </c>
      <c r="K48" s="24">
        <f t="shared" si="13"/>
        <v>0</v>
      </c>
      <c r="L48" s="24">
        <f t="shared" si="14"/>
        <v>0</v>
      </c>
      <c r="M48" s="32">
        <f t="shared" si="15"/>
        <v>0</v>
      </c>
      <c r="N48" s="32"/>
      <c r="O48" s="29">
        <f t="shared" si="17"/>
        <v>0</v>
      </c>
      <c r="P48" s="32">
        <f t="shared" si="10"/>
        <v>0</v>
      </c>
      <c r="Q48" s="29">
        <v>4150000</v>
      </c>
      <c r="R48" s="55">
        <f t="shared" si="16"/>
        <v>0</v>
      </c>
    </row>
    <row r="49" spans="1:18" hidden="1" x14ac:dyDescent="0.25">
      <c r="A49" s="26"/>
      <c r="B49" s="19" t="s">
        <v>18</v>
      </c>
      <c r="C49" s="19"/>
      <c r="D49" s="27"/>
      <c r="E49" s="20">
        <v>7.4999999999999997E-3</v>
      </c>
      <c r="F49" s="21">
        <f t="shared" si="11"/>
        <v>0</v>
      </c>
      <c r="G49" s="21">
        <f t="shared" si="12"/>
        <v>0</v>
      </c>
      <c r="H49" s="28"/>
      <c r="I49" s="22"/>
      <c r="J49" s="23">
        <v>1.4999999999999999E-2</v>
      </c>
      <c r="K49" s="24">
        <f t="shared" si="13"/>
        <v>0</v>
      </c>
      <c r="L49" s="24">
        <f t="shared" si="14"/>
        <v>0</v>
      </c>
      <c r="M49" s="32">
        <f t="shared" si="15"/>
        <v>0</v>
      </c>
      <c r="N49" s="32"/>
      <c r="O49" s="29">
        <f t="shared" si="17"/>
        <v>0</v>
      </c>
      <c r="P49" s="32">
        <f t="shared" si="10"/>
        <v>0</v>
      </c>
      <c r="Q49" s="29">
        <v>4150000</v>
      </c>
      <c r="R49" s="55">
        <f t="shared" si="16"/>
        <v>0</v>
      </c>
    </row>
    <row r="50" spans="1:18" hidden="1" x14ac:dyDescent="0.25">
      <c r="A50" s="26"/>
      <c r="B50" s="19" t="s">
        <v>18</v>
      </c>
      <c r="C50" s="19"/>
      <c r="D50" s="27"/>
      <c r="E50" s="20">
        <v>7.4999999999999997E-3</v>
      </c>
      <c r="F50" s="21">
        <f t="shared" si="11"/>
        <v>0</v>
      </c>
      <c r="G50" s="21">
        <f t="shared" si="12"/>
        <v>0</v>
      </c>
      <c r="H50" s="28"/>
      <c r="I50" s="22"/>
      <c r="J50" s="23">
        <v>1.4999999999999999E-2</v>
      </c>
      <c r="K50" s="24">
        <f t="shared" si="13"/>
        <v>0</v>
      </c>
      <c r="L50" s="24">
        <f>+(H50+I50)-K50</f>
        <v>0</v>
      </c>
      <c r="M50" s="32">
        <f t="shared" si="15"/>
        <v>0</v>
      </c>
      <c r="N50" s="32"/>
      <c r="O50" s="29">
        <f t="shared" si="17"/>
        <v>0</v>
      </c>
      <c r="P50" s="32">
        <f t="shared" si="10"/>
        <v>0</v>
      </c>
      <c r="Q50" s="29">
        <v>4150000</v>
      </c>
      <c r="R50" s="55">
        <f t="shared" si="16"/>
        <v>0</v>
      </c>
    </row>
    <row r="51" spans="1:18" hidden="1" x14ac:dyDescent="0.25">
      <c r="A51" s="19"/>
      <c r="B51" s="19" t="s">
        <v>18</v>
      </c>
      <c r="C51" s="19"/>
      <c r="D51" s="19"/>
      <c r="E51" s="20">
        <v>7.4999999999999997E-3</v>
      </c>
      <c r="F51" s="21">
        <f t="shared" si="11"/>
        <v>0</v>
      </c>
      <c r="G51" s="21">
        <f t="shared" si="12"/>
        <v>0</v>
      </c>
      <c r="H51" s="22"/>
      <c r="I51" s="22"/>
      <c r="J51" s="23">
        <v>1.4999999999999999E-2</v>
      </c>
      <c r="K51" s="24">
        <f t="shared" si="13"/>
        <v>0</v>
      </c>
      <c r="L51" s="24">
        <f t="shared" si="14"/>
        <v>0</v>
      </c>
      <c r="M51" s="33">
        <f>SUM(M38:M50)</f>
        <v>221163071.27500001</v>
      </c>
      <c r="N51" s="32"/>
      <c r="O51" s="29"/>
      <c r="P51" s="36">
        <f>SUM(P38:P50)</f>
        <v>216739809.84949997</v>
      </c>
      <c r="Q51" s="6"/>
      <c r="R51" s="59">
        <f>SUM(R38:R50)</f>
        <v>52.393726717847386</v>
      </c>
    </row>
    <row r="52" spans="1:18" x14ac:dyDescent="0.25">
      <c r="A52" s="19"/>
      <c r="B52" s="19" t="s">
        <v>18</v>
      </c>
      <c r="C52" s="19"/>
      <c r="D52" s="19"/>
      <c r="E52" s="20">
        <v>7.4999999999999997E-3</v>
      </c>
      <c r="F52" s="25"/>
      <c r="G52" s="68">
        <f>SUM(G38:G41)</f>
        <v>72765891.800000012</v>
      </c>
      <c r="H52" s="22"/>
      <c r="I52" s="22"/>
      <c r="J52" s="23">
        <v>1.4999999999999999E-2</v>
      </c>
      <c r="K52" s="24"/>
      <c r="L52" s="69">
        <f>SUM(L38:L41)</f>
        <v>148397179.47500002</v>
      </c>
      <c r="M52" s="32"/>
      <c r="N52" s="32"/>
      <c r="O52" s="29"/>
      <c r="P52" s="32"/>
      <c r="Q52" s="6"/>
      <c r="R52" s="55"/>
    </row>
    <row r="53" spans="1:18" x14ac:dyDescent="0.25">
      <c r="A53" s="38"/>
      <c r="B53" s="38"/>
      <c r="C53" s="38"/>
      <c r="D53" s="38"/>
      <c r="E53" s="39"/>
      <c r="F53" s="40"/>
      <c r="G53" s="67"/>
      <c r="H53" s="41"/>
      <c r="I53" s="41"/>
      <c r="J53" s="42"/>
      <c r="K53" s="43"/>
      <c r="L53" s="43"/>
      <c r="P53" s="52"/>
    </row>
    <row r="54" spans="1:18" x14ac:dyDescent="0.25">
      <c r="A54" s="38"/>
      <c r="B54" s="38"/>
      <c r="C54" s="38"/>
      <c r="D54" s="38"/>
      <c r="E54" s="39"/>
      <c r="F54" s="40"/>
      <c r="G54" s="40"/>
      <c r="H54" s="41"/>
      <c r="I54" s="41"/>
      <c r="J54" s="42"/>
      <c r="K54" s="43"/>
      <c r="L54" s="66">
        <f>J31</f>
        <v>1745949477.06545</v>
      </c>
    </row>
    <row r="55" spans="1:18" x14ac:dyDescent="0.25">
      <c r="G55" s="63"/>
      <c r="H55" s="64"/>
      <c r="L55" s="35">
        <f>G52</f>
        <v>72765891.800000012</v>
      </c>
    </row>
    <row r="56" spans="1:18" x14ac:dyDescent="0.25">
      <c r="G56" s="63"/>
      <c r="H56" s="65"/>
      <c r="K56" s="12"/>
      <c r="L56" s="32">
        <f>L52</f>
        <v>148397179.47500002</v>
      </c>
      <c r="N56" s="53"/>
      <c r="O56" s="53"/>
    </row>
    <row r="57" spans="1:18" x14ac:dyDescent="0.25">
      <c r="G57" s="63"/>
      <c r="H57" s="65"/>
      <c r="K57" s="60" t="s">
        <v>24</v>
      </c>
      <c r="L57" s="44">
        <f>SUM(L54:L56)</f>
        <v>1967112548.3404498</v>
      </c>
    </row>
    <row r="58" spans="1:18" x14ac:dyDescent="0.25">
      <c r="G58" s="63"/>
      <c r="H58" s="65"/>
      <c r="N58" s="53"/>
      <c r="O58" s="52"/>
    </row>
    <row r="59" spans="1:18" ht="16.5" thickBot="1" x14ac:dyDescent="0.3">
      <c r="B59" s="61" t="s">
        <v>30</v>
      </c>
      <c r="C59" s="61"/>
      <c r="D59" s="61"/>
      <c r="E59" s="61"/>
      <c r="F59" s="61"/>
      <c r="G59" s="61"/>
      <c r="H59" s="61"/>
      <c r="I59" s="62"/>
      <c r="J59" s="62"/>
      <c r="K59" s="62"/>
      <c r="L59" s="62"/>
    </row>
    <row r="60" spans="1:18" ht="15.75" x14ac:dyDescent="0.25">
      <c r="A60" s="7" t="s">
        <v>9</v>
      </c>
      <c r="B60" s="8" t="s">
        <v>11</v>
      </c>
      <c r="C60" s="9" t="s">
        <v>23</v>
      </c>
      <c r="D60" s="10" t="s">
        <v>0</v>
      </c>
      <c r="E60" s="10" t="s">
        <v>1</v>
      </c>
      <c r="F60" s="10" t="s">
        <v>2</v>
      </c>
      <c r="G60" s="9" t="s">
        <v>3</v>
      </c>
      <c r="H60" s="9" t="s">
        <v>8</v>
      </c>
      <c r="I60" s="9" t="s">
        <v>10</v>
      </c>
      <c r="J60" s="9" t="s">
        <v>7</v>
      </c>
      <c r="K60" s="9" t="s">
        <v>4</v>
      </c>
      <c r="L60" s="9" t="s">
        <v>5</v>
      </c>
      <c r="M60" s="9" t="s">
        <v>6</v>
      </c>
    </row>
    <row r="61" spans="1:18" ht="15.75" x14ac:dyDescent="0.25">
      <c r="A61" s="11">
        <v>44444</v>
      </c>
      <c r="B61" s="45" t="s">
        <v>19</v>
      </c>
      <c r="C61" s="1"/>
      <c r="D61" s="2">
        <v>315378671.39999998</v>
      </c>
      <c r="E61" s="3"/>
      <c r="F61" s="3"/>
      <c r="G61" s="4">
        <f>F61/1.16*5%</f>
        <v>0</v>
      </c>
      <c r="H61" s="4">
        <f>D61*0.75%</f>
        <v>2365340.0354999998</v>
      </c>
      <c r="I61" s="4">
        <f>E61*0.53%</f>
        <v>0</v>
      </c>
      <c r="J61" s="4">
        <f>F61*2.5%</f>
        <v>0</v>
      </c>
      <c r="K61" s="4">
        <f>D61-H61</f>
        <v>313013331.36449999</v>
      </c>
      <c r="L61" s="4">
        <f>E61-I61</f>
        <v>0</v>
      </c>
      <c r="M61" s="4">
        <f>F61-G61-J61</f>
        <v>0</v>
      </c>
    </row>
    <row r="62" spans="1:18" ht="15.75" x14ac:dyDescent="0.25">
      <c r="A62" s="11">
        <v>44445</v>
      </c>
      <c r="B62" s="45" t="s">
        <v>19</v>
      </c>
      <c r="C62" s="1"/>
      <c r="D62" s="2">
        <v>295633542.44</v>
      </c>
      <c r="E62" s="3"/>
      <c r="F62" s="3"/>
      <c r="G62" s="4">
        <f t="shared" ref="G62:G86" si="18">F62/1.16*5%</f>
        <v>0</v>
      </c>
      <c r="H62" s="4">
        <f>D62*0.75%</f>
        <v>2217251.5682999999</v>
      </c>
      <c r="I62" s="4">
        <f t="shared" ref="I62:I86" si="19">E62*0.53%</f>
        <v>0</v>
      </c>
      <c r="J62" s="4">
        <f>F62*2.5%</f>
        <v>0</v>
      </c>
      <c r="K62" s="4">
        <f>D62-H62</f>
        <v>293416290.87169999</v>
      </c>
      <c r="L62" s="4">
        <f t="shared" ref="L62:L85" si="20">E62-I62</f>
        <v>0</v>
      </c>
      <c r="M62" s="4">
        <f>F62-G62-J62</f>
        <v>0</v>
      </c>
    </row>
    <row r="63" spans="1:18" ht="15.75" x14ac:dyDescent="0.25">
      <c r="A63" s="11">
        <v>44446</v>
      </c>
      <c r="B63" s="45" t="s">
        <v>19</v>
      </c>
      <c r="C63" s="1"/>
      <c r="D63" s="2">
        <v>177685627.19999999</v>
      </c>
      <c r="E63" s="3"/>
      <c r="F63" s="2"/>
      <c r="G63" s="4">
        <f t="shared" si="18"/>
        <v>0</v>
      </c>
      <c r="H63" s="4">
        <f t="shared" ref="H63:H86" si="21">D63*0.75%</f>
        <v>1332642.2039999999</v>
      </c>
      <c r="I63" s="4">
        <f t="shared" si="19"/>
        <v>0</v>
      </c>
      <c r="J63" s="4">
        <f t="shared" ref="J63:J86" si="22">F63*2.5%</f>
        <v>0</v>
      </c>
      <c r="K63" s="4">
        <f t="shared" ref="K63" si="23">D63-H63</f>
        <v>176352984.99599999</v>
      </c>
      <c r="L63" s="4">
        <f t="shared" si="20"/>
        <v>0</v>
      </c>
      <c r="M63" s="4">
        <f>F63-G63-J63</f>
        <v>0</v>
      </c>
    </row>
    <row r="64" spans="1:18" ht="15.75" x14ac:dyDescent="0.25">
      <c r="A64" s="11">
        <v>44447</v>
      </c>
      <c r="B64" s="45" t="s">
        <v>19</v>
      </c>
      <c r="C64" s="1"/>
      <c r="D64" s="2">
        <v>334606278.63999999</v>
      </c>
      <c r="E64" s="3"/>
      <c r="F64" s="2"/>
      <c r="G64" s="4">
        <f t="shared" si="18"/>
        <v>0</v>
      </c>
      <c r="H64" s="4">
        <f t="shared" si="21"/>
        <v>2509547.0897999997</v>
      </c>
      <c r="I64" s="4">
        <f t="shared" si="19"/>
        <v>0</v>
      </c>
      <c r="J64" s="4">
        <f t="shared" si="22"/>
        <v>0</v>
      </c>
      <c r="K64" s="4">
        <f>D64-H64</f>
        <v>332096731.55019999</v>
      </c>
      <c r="L64" s="4">
        <f t="shared" si="20"/>
        <v>0</v>
      </c>
      <c r="M64" s="4">
        <f t="shared" ref="M64:M85" si="24">F64-G64-J64</f>
        <v>0</v>
      </c>
    </row>
    <row r="65" spans="1:13" ht="15.75" x14ac:dyDescent="0.25">
      <c r="A65" s="11">
        <v>44448</v>
      </c>
      <c r="B65" s="45" t="s">
        <v>19</v>
      </c>
      <c r="C65" s="1"/>
      <c r="D65" s="2">
        <v>577518564.32000005</v>
      </c>
      <c r="E65" s="3"/>
      <c r="F65" s="2">
        <v>8144000</v>
      </c>
      <c r="G65" s="4">
        <f t="shared" si="18"/>
        <v>351034.48275862075</v>
      </c>
      <c r="H65" s="4">
        <f t="shared" si="21"/>
        <v>4331389.2324000001</v>
      </c>
      <c r="I65" s="4">
        <f t="shared" si="19"/>
        <v>0</v>
      </c>
      <c r="J65" s="4">
        <f t="shared" si="22"/>
        <v>203600</v>
      </c>
      <c r="K65" s="4">
        <f t="shared" ref="K65:K67" si="25">D65-H65</f>
        <v>573187175.08759999</v>
      </c>
      <c r="L65" s="4">
        <f t="shared" si="20"/>
        <v>0</v>
      </c>
      <c r="M65" s="4">
        <f t="shared" si="24"/>
        <v>7589365.5172413792</v>
      </c>
    </row>
    <row r="66" spans="1:13" ht="15.75" x14ac:dyDescent="0.25">
      <c r="A66" s="11">
        <v>44449</v>
      </c>
      <c r="B66" s="45" t="s">
        <v>19</v>
      </c>
      <c r="C66" s="1"/>
      <c r="D66" s="2">
        <v>858996681.49000001</v>
      </c>
      <c r="E66" s="3"/>
      <c r="F66" s="2"/>
      <c r="G66" s="4">
        <f t="shared" si="18"/>
        <v>0</v>
      </c>
      <c r="H66" s="4">
        <f t="shared" si="21"/>
        <v>6442475.1111749997</v>
      </c>
      <c r="I66" s="4">
        <f t="shared" si="19"/>
        <v>0</v>
      </c>
      <c r="J66" s="4">
        <f t="shared" si="22"/>
        <v>0</v>
      </c>
      <c r="K66" s="4">
        <f t="shared" si="25"/>
        <v>852554206.37882507</v>
      </c>
      <c r="L66" s="4">
        <f t="shared" si="20"/>
        <v>0</v>
      </c>
      <c r="M66" s="4">
        <f t="shared" si="24"/>
        <v>0</v>
      </c>
    </row>
    <row r="67" spans="1:13" ht="15.75" x14ac:dyDescent="0.25">
      <c r="A67" s="11">
        <v>44450</v>
      </c>
      <c r="B67" s="45" t="s">
        <v>19</v>
      </c>
      <c r="C67" s="1"/>
      <c r="D67" s="2">
        <v>991216326</v>
      </c>
      <c r="E67" s="3"/>
      <c r="F67" s="2"/>
      <c r="G67" s="4">
        <f t="shared" si="18"/>
        <v>0</v>
      </c>
      <c r="H67" s="4">
        <f t="shared" si="21"/>
        <v>7434122.4449999994</v>
      </c>
      <c r="I67" s="4">
        <f t="shared" si="19"/>
        <v>0</v>
      </c>
      <c r="J67" s="4">
        <f t="shared" si="22"/>
        <v>0</v>
      </c>
      <c r="K67" s="3">
        <f t="shared" si="25"/>
        <v>983782203.55499995</v>
      </c>
      <c r="L67" s="3">
        <f t="shared" si="20"/>
        <v>0</v>
      </c>
      <c r="M67" s="4">
        <f t="shared" si="24"/>
        <v>0</v>
      </c>
    </row>
    <row r="68" spans="1:13" ht="15.75" x14ac:dyDescent="0.25">
      <c r="A68" s="11">
        <v>44451</v>
      </c>
      <c r="B68" s="45" t="s">
        <v>19</v>
      </c>
      <c r="C68" s="1"/>
      <c r="D68" s="2">
        <v>296393373.44</v>
      </c>
      <c r="E68" s="3"/>
      <c r="F68" s="2"/>
      <c r="G68" s="4">
        <f t="shared" si="18"/>
        <v>0</v>
      </c>
      <c r="H68" s="4">
        <f t="shared" si="21"/>
        <v>2222950.3007999999</v>
      </c>
      <c r="I68" s="4">
        <f t="shared" si="19"/>
        <v>0</v>
      </c>
      <c r="J68" s="4">
        <f t="shared" si="22"/>
        <v>0</v>
      </c>
      <c r="K68" s="3">
        <f>D68-H68</f>
        <v>294170423.13919997</v>
      </c>
      <c r="L68" s="4">
        <f t="shared" si="20"/>
        <v>0</v>
      </c>
      <c r="M68" s="4">
        <f t="shared" si="24"/>
        <v>0</v>
      </c>
    </row>
    <row r="69" spans="1:13" ht="15.75" x14ac:dyDescent="0.25">
      <c r="A69" s="11">
        <v>44452</v>
      </c>
      <c r="B69" s="45" t="s">
        <v>19</v>
      </c>
      <c r="C69" s="1"/>
      <c r="D69" s="2">
        <f>154251085.2+130286514</f>
        <v>284537599.19999999</v>
      </c>
      <c r="E69" s="3"/>
      <c r="F69" s="2"/>
      <c r="G69" s="4">
        <f t="shared" si="18"/>
        <v>0</v>
      </c>
      <c r="H69" s="4">
        <f t="shared" si="21"/>
        <v>2134031.9939999999</v>
      </c>
      <c r="I69" s="4">
        <f t="shared" si="19"/>
        <v>0</v>
      </c>
      <c r="J69" s="4">
        <f t="shared" si="22"/>
        <v>0</v>
      </c>
      <c r="K69" s="3">
        <f>D69-H69</f>
        <v>282403567.20599997</v>
      </c>
      <c r="L69" s="4">
        <f t="shared" si="20"/>
        <v>0</v>
      </c>
      <c r="M69" s="4">
        <f t="shared" si="24"/>
        <v>0</v>
      </c>
    </row>
    <row r="70" spans="1:13" ht="15.75" x14ac:dyDescent="0.25">
      <c r="A70" s="11">
        <v>44453</v>
      </c>
      <c r="B70" s="45" t="s">
        <v>19</v>
      </c>
      <c r="C70" s="1"/>
      <c r="D70" s="2">
        <f>295595576+53570580</f>
        <v>349166156</v>
      </c>
      <c r="E70" s="3"/>
      <c r="F70" s="2"/>
      <c r="G70" s="4">
        <f t="shared" si="18"/>
        <v>0</v>
      </c>
      <c r="H70" s="4">
        <f t="shared" si="21"/>
        <v>2618746.17</v>
      </c>
      <c r="I70" s="4">
        <f t="shared" si="19"/>
        <v>0</v>
      </c>
      <c r="J70" s="4">
        <f t="shared" si="22"/>
        <v>0</v>
      </c>
      <c r="K70" s="3">
        <f t="shared" ref="K70:K76" si="26">D70-H70</f>
        <v>346547409.82999998</v>
      </c>
      <c r="L70" s="4">
        <f t="shared" si="20"/>
        <v>0</v>
      </c>
      <c r="M70" s="4">
        <f t="shared" si="24"/>
        <v>0</v>
      </c>
    </row>
    <row r="71" spans="1:13" ht="15.75" x14ac:dyDescent="0.25">
      <c r="A71" s="11">
        <v>44454</v>
      </c>
      <c r="B71" s="45" t="s">
        <v>19</v>
      </c>
      <c r="C71" s="1"/>
      <c r="D71" s="3">
        <f>132772127.6+144417640.8</f>
        <v>277189768.39999998</v>
      </c>
      <c r="E71" s="3"/>
      <c r="F71" s="3">
        <v>9720127.1999999993</v>
      </c>
      <c r="G71" s="4">
        <f t="shared" si="18"/>
        <v>418971</v>
      </c>
      <c r="H71" s="4">
        <f t="shared" si="21"/>
        <v>2078923.2629999998</v>
      </c>
      <c r="I71" s="4">
        <f t="shared" si="19"/>
        <v>0</v>
      </c>
      <c r="J71" s="4">
        <f t="shared" si="22"/>
        <v>243003.18</v>
      </c>
      <c r="K71" s="3">
        <f t="shared" si="26"/>
        <v>275110845.13699996</v>
      </c>
      <c r="L71" s="4">
        <f t="shared" si="20"/>
        <v>0</v>
      </c>
      <c r="M71" s="4">
        <f t="shared" si="24"/>
        <v>9058153.0199999996</v>
      </c>
    </row>
    <row r="72" spans="1:13" ht="15.75" x14ac:dyDescent="0.25">
      <c r="A72" s="11">
        <v>44455</v>
      </c>
      <c r="B72" s="45" t="s">
        <v>19</v>
      </c>
      <c r="C72" s="1"/>
      <c r="D72" s="2">
        <f>81728287.2+133078657.6</f>
        <v>214806944.80000001</v>
      </c>
      <c r="E72" s="3"/>
      <c r="F72" s="3">
        <v>13036660</v>
      </c>
      <c r="G72" s="4">
        <f t="shared" si="18"/>
        <v>561925</v>
      </c>
      <c r="H72" s="4">
        <f t="shared" si="21"/>
        <v>1611052.0860000001</v>
      </c>
      <c r="I72" s="4">
        <f t="shared" si="19"/>
        <v>0</v>
      </c>
      <c r="J72" s="4">
        <f t="shared" si="22"/>
        <v>325916.5</v>
      </c>
      <c r="K72" s="3">
        <f t="shared" si="26"/>
        <v>213195892.71400002</v>
      </c>
      <c r="L72" s="4">
        <f t="shared" si="20"/>
        <v>0</v>
      </c>
      <c r="M72" s="4">
        <f t="shared" si="24"/>
        <v>12148818.5</v>
      </c>
    </row>
    <row r="73" spans="1:13" ht="15.75" x14ac:dyDescent="0.25">
      <c r="A73" s="11"/>
      <c r="B73" s="45" t="s">
        <v>19</v>
      </c>
      <c r="C73" s="1"/>
      <c r="D73" s="3"/>
      <c r="E73" s="3"/>
      <c r="F73" s="3"/>
      <c r="G73" s="4">
        <f t="shared" si="18"/>
        <v>0</v>
      </c>
      <c r="H73" s="4">
        <f t="shared" si="21"/>
        <v>0</v>
      </c>
      <c r="I73" s="4">
        <f t="shared" si="19"/>
        <v>0</v>
      </c>
      <c r="J73" s="4">
        <f t="shared" si="22"/>
        <v>0</v>
      </c>
      <c r="K73" s="3">
        <f t="shared" si="26"/>
        <v>0</v>
      </c>
      <c r="L73" s="4">
        <f t="shared" si="20"/>
        <v>0</v>
      </c>
      <c r="M73" s="4">
        <f t="shared" si="24"/>
        <v>0</v>
      </c>
    </row>
    <row r="74" spans="1:13" ht="15.75" hidden="1" x14ac:dyDescent="0.25">
      <c r="A74" s="11"/>
      <c r="B74" s="45" t="s">
        <v>19</v>
      </c>
      <c r="C74" s="6"/>
      <c r="D74" s="29"/>
      <c r="E74" s="6"/>
      <c r="F74" s="6"/>
      <c r="G74" s="4">
        <f t="shared" si="18"/>
        <v>0</v>
      </c>
      <c r="H74" s="4">
        <f t="shared" si="21"/>
        <v>0</v>
      </c>
      <c r="I74" s="4">
        <f t="shared" si="19"/>
        <v>0</v>
      </c>
      <c r="J74" s="4">
        <f t="shared" si="22"/>
        <v>0</v>
      </c>
      <c r="K74" s="3">
        <f t="shared" si="26"/>
        <v>0</v>
      </c>
      <c r="L74" s="4">
        <f t="shared" si="20"/>
        <v>0</v>
      </c>
      <c r="M74" s="4">
        <f t="shared" si="24"/>
        <v>0</v>
      </c>
    </row>
    <row r="75" spans="1:13" ht="15.75" hidden="1" x14ac:dyDescent="0.25">
      <c r="A75" s="11"/>
      <c r="B75" s="45" t="s">
        <v>19</v>
      </c>
      <c r="C75" s="6"/>
      <c r="D75" s="29"/>
      <c r="E75" s="6"/>
      <c r="F75" s="6"/>
      <c r="G75" s="4">
        <f t="shared" si="18"/>
        <v>0</v>
      </c>
      <c r="H75" s="4">
        <f t="shared" si="21"/>
        <v>0</v>
      </c>
      <c r="I75" s="4">
        <f t="shared" si="19"/>
        <v>0</v>
      </c>
      <c r="J75" s="4">
        <f t="shared" si="22"/>
        <v>0</v>
      </c>
      <c r="K75" s="3">
        <f t="shared" si="26"/>
        <v>0</v>
      </c>
      <c r="L75" s="4">
        <f t="shared" si="20"/>
        <v>0</v>
      </c>
      <c r="M75" s="4">
        <f t="shared" si="24"/>
        <v>0</v>
      </c>
    </row>
    <row r="76" spans="1:13" ht="15.75" hidden="1" x14ac:dyDescent="0.25">
      <c r="A76" s="11"/>
      <c r="B76" s="45" t="s">
        <v>19</v>
      </c>
      <c r="C76" s="6"/>
      <c r="D76" s="29"/>
      <c r="E76" s="6"/>
      <c r="F76" s="6"/>
      <c r="G76" s="4">
        <f t="shared" si="18"/>
        <v>0</v>
      </c>
      <c r="H76" s="4">
        <f t="shared" si="21"/>
        <v>0</v>
      </c>
      <c r="I76" s="4">
        <f t="shared" si="19"/>
        <v>0</v>
      </c>
      <c r="J76" s="4">
        <f t="shared" si="22"/>
        <v>0</v>
      </c>
      <c r="K76" s="3">
        <f t="shared" si="26"/>
        <v>0</v>
      </c>
      <c r="L76" s="4">
        <f t="shared" si="20"/>
        <v>0</v>
      </c>
      <c r="M76" s="4">
        <f t="shared" si="24"/>
        <v>0</v>
      </c>
    </row>
    <row r="77" spans="1:13" ht="15.75" hidden="1" x14ac:dyDescent="0.25">
      <c r="A77" s="11"/>
      <c r="B77" s="45" t="s">
        <v>19</v>
      </c>
      <c r="C77" s="6"/>
      <c r="D77" s="29"/>
      <c r="E77" s="6"/>
      <c r="F77" s="6"/>
      <c r="G77" s="4">
        <f t="shared" si="18"/>
        <v>0</v>
      </c>
      <c r="H77" s="4">
        <f t="shared" si="21"/>
        <v>0</v>
      </c>
      <c r="I77" s="4">
        <f t="shared" si="19"/>
        <v>0</v>
      </c>
      <c r="J77" s="4">
        <f t="shared" si="22"/>
        <v>0</v>
      </c>
      <c r="K77" s="3">
        <f>D77-H77</f>
        <v>0</v>
      </c>
      <c r="L77" s="4">
        <f t="shared" si="20"/>
        <v>0</v>
      </c>
      <c r="M77" s="4">
        <f t="shared" si="24"/>
        <v>0</v>
      </c>
    </row>
    <row r="78" spans="1:13" ht="15.75" hidden="1" x14ac:dyDescent="0.25">
      <c r="A78" s="11"/>
      <c r="B78" s="45" t="s">
        <v>19</v>
      </c>
      <c r="C78" s="6"/>
      <c r="D78" s="29"/>
      <c r="E78" s="6"/>
      <c r="F78" s="6"/>
      <c r="G78" s="4">
        <f t="shared" si="18"/>
        <v>0</v>
      </c>
      <c r="H78" s="4">
        <f t="shared" si="21"/>
        <v>0</v>
      </c>
      <c r="I78" s="4">
        <f t="shared" si="19"/>
        <v>0</v>
      </c>
      <c r="J78" s="4">
        <f t="shared" si="22"/>
        <v>0</v>
      </c>
      <c r="K78" s="3">
        <f t="shared" ref="K78:K85" si="27">D78-H78</f>
        <v>0</v>
      </c>
      <c r="L78" s="4">
        <f t="shared" si="20"/>
        <v>0</v>
      </c>
      <c r="M78" s="4">
        <f t="shared" si="24"/>
        <v>0</v>
      </c>
    </row>
    <row r="79" spans="1:13" ht="15.75" hidden="1" x14ac:dyDescent="0.25">
      <c r="A79" s="11"/>
      <c r="B79" s="45" t="s">
        <v>19</v>
      </c>
      <c r="C79" s="6"/>
      <c r="D79" s="29"/>
      <c r="E79" s="6"/>
      <c r="F79" s="6"/>
      <c r="G79" s="4">
        <f t="shared" si="18"/>
        <v>0</v>
      </c>
      <c r="H79" s="4">
        <f t="shared" si="21"/>
        <v>0</v>
      </c>
      <c r="I79" s="4">
        <f t="shared" si="19"/>
        <v>0</v>
      </c>
      <c r="J79" s="4">
        <f t="shared" si="22"/>
        <v>0</v>
      </c>
      <c r="K79" s="3">
        <f t="shared" si="27"/>
        <v>0</v>
      </c>
      <c r="L79" s="4">
        <f t="shared" si="20"/>
        <v>0</v>
      </c>
      <c r="M79" s="4">
        <f t="shared" si="24"/>
        <v>0</v>
      </c>
    </row>
    <row r="80" spans="1:13" ht="15.75" hidden="1" x14ac:dyDescent="0.25">
      <c r="A80" s="11"/>
      <c r="B80" s="45" t="s">
        <v>19</v>
      </c>
      <c r="C80" s="6"/>
      <c r="D80" s="29"/>
      <c r="E80" s="6"/>
      <c r="F80" s="6"/>
      <c r="G80" s="4">
        <f t="shared" si="18"/>
        <v>0</v>
      </c>
      <c r="H80" s="4">
        <f t="shared" si="21"/>
        <v>0</v>
      </c>
      <c r="I80" s="4">
        <f t="shared" si="19"/>
        <v>0</v>
      </c>
      <c r="J80" s="4">
        <f t="shared" si="22"/>
        <v>0</v>
      </c>
      <c r="K80" s="3">
        <f t="shared" si="27"/>
        <v>0</v>
      </c>
      <c r="L80" s="4">
        <f t="shared" si="20"/>
        <v>0</v>
      </c>
      <c r="M80" s="4">
        <f t="shared" si="24"/>
        <v>0</v>
      </c>
    </row>
    <row r="81" spans="1:13" ht="15.75" hidden="1" x14ac:dyDescent="0.25">
      <c r="A81" s="11"/>
      <c r="B81" s="45" t="s">
        <v>19</v>
      </c>
      <c r="C81" s="6"/>
      <c r="D81" s="29"/>
      <c r="E81" s="6"/>
      <c r="F81" s="6"/>
      <c r="G81" s="4">
        <f t="shared" si="18"/>
        <v>0</v>
      </c>
      <c r="H81" s="4">
        <f t="shared" si="21"/>
        <v>0</v>
      </c>
      <c r="I81" s="4">
        <f t="shared" si="19"/>
        <v>0</v>
      </c>
      <c r="J81" s="4">
        <f t="shared" si="22"/>
        <v>0</v>
      </c>
      <c r="K81" s="3">
        <f t="shared" si="27"/>
        <v>0</v>
      </c>
      <c r="L81" s="4">
        <f t="shared" si="20"/>
        <v>0</v>
      </c>
      <c r="M81" s="4">
        <f t="shared" si="24"/>
        <v>0</v>
      </c>
    </row>
    <row r="82" spans="1:13" ht="15.75" hidden="1" x14ac:dyDescent="0.25">
      <c r="A82" s="11"/>
      <c r="B82" s="45" t="s">
        <v>19</v>
      </c>
      <c r="C82" s="6"/>
      <c r="D82" s="29"/>
      <c r="E82" s="6"/>
      <c r="F82" s="29"/>
      <c r="G82" s="4">
        <f t="shared" si="18"/>
        <v>0</v>
      </c>
      <c r="H82" s="4">
        <f t="shared" si="21"/>
        <v>0</v>
      </c>
      <c r="I82" s="4">
        <f t="shared" si="19"/>
        <v>0</v>
      </c>
      <c r="J82" s="4">
        <f t="shared" si="22"/>
        <v>0</v>
      </c>
      <c r="K82" s="3">
        <f t="shared" si="27"/>
        <v>0</v>
      </c>
      <c r="L82" s="4">
        <f t="shared" si="20"/>
        <v>0</v>
      </c>
      <c r="M82" s="4">
        <f t="shared" si="24"/>
        <v>0</v>
      </c>
    </row>
    <row r="83" spans="1:13" ht="15.75" hidden="1" x14ac:dyDescent="0.25">
      <c r="A83" s="11"/>
      <c r="B83" s="45" t="s">
        <v>19</v>
      </c>
      <c r="C83" s="6"/>
      <c r="D83" s="29"/>
      <c r="E83" s="6"/>
      <c r="F83" s="6"/>
      <c r="G83" s="4">
        <f t="shared" si="18"/>
        <v>0</v>
      </c>
      <c r="H83" s="4">
        <f t="shared" si="21"/>
        <v>0</v>
      </c>
      <c r="I83" s="4">
        <f t="shared" si="19"/>
        <v>0</v>
      </c>
      <c r="J83" s="4">
        <f t="shared" si="22"/>
        <v>0</v>
      </c>
      <c r="K83" s="3">
        <f t="shared" si="27"/>
        <v>0</v>
      </c>
      <c r="L83" s="4">
        <f t="shared" si="20"/>
        <v>0</v>
      </c>
      <c r="M83" s="4">
        <f t="shared" si="24"/>
        <v>0</v>
      </c>
    </row>
    <row r="84" spans="1:13" ht="15.75" hidden="1" x14ac:dyDescent="0.25">
      <c r="A84" s="11"/>
      <c r="B84" s="45" t="s">
        <v>19</v>
      </c>
      <c r="C84" s="6"/>
      <c r="D84" s="29"/>
      <c r="E84" s="6"/>
      <c r="F84" s="6"/>
      <c r="G84" s="4">
        <f t="shared" si="18"/>
        <v>0</v>
      </c>
      <c r="H84" s="4">
        <f t="shared" si="21"/>
        <v>0</v>
      </c>
      <c r="I84" s="4">
        <f t="shared" si="19"/>
        <v>0</v>
      </c>
      <c r="J84" s="4">
        <f t="shared" si="22"/>
        <v>0</v>
      </c>
      <c r="K84" s="3">
        <f t="shared" si="27"/>
        <v>0</v>
      </c>
      <c r="L84" s="4">
        <f t="shared" si="20"/>
        <v>0</v>
      </c>
      <c r="M84" s="4">
        <f t="shared" si="24"/>
        <v>0</v>
      </c>
    </row>
    <row r="85" spans="1:13" ht="15.75" hidden="1" x14ac:dyDescent="0.25">
      <c r="A85" s="11"/>
      <c r="B85" s="45" t="s">
        <v>19</v>
      </c>
      <c r="C85" s="6"/>
      <c r="D85" s="29"/>
      <c r="E85" s="6"/>
      <c r="F85" s="6"/>
      <c r="G85" s="4">
        <f t="shared" si="18"/>
        <v>0</v>
      </c>
      <c r="H85" s="4">
        <f t="shared" si="21"/>
        <v>0</v>
      </c>
      <c r="I85" s="4">
        <f t="shared" si="19"/>
        <v>0</v>
      </c>
      <c r="J85" s="4">
        <f t="shared" si="22"/>
        <v>0</v>
      </c>
      <c r="K85" s="3">
        <f t="shared" si="27"/>
        <v>0</v>
      </c>
      <c r="L85" s="4">
        <f t="shared" si="20"/>
        <v>0</v>
      </c>
      <c r="M85" s="4">
        <f t="shared" si="24"/>
        <v>0</v>
      </c>
    </row>
    <row r="86" spans="1:13" ht="15.75" x14ac:dyDescent="0.25">
      <c r="A86" s="6"/>
      <c r="B86" s="6"/>
      <c r="C86" s="6"/>
      <c r="D86" s="36">
        <f>SUM(D61:D85)</f>
        <v>4973129533.329999</v>
      </c>
      <c r="E86" s="6"/>
      <c r="F86" s="6"/>
      <c r="G86" s="4">
        <f t="shared" si="18"/>
        <v>0</v>
      </c>
      <c r="H86" s="4">
        <f t="shared" si="21"/>
        <v>37298471.499974988</v>
      </c>
      <c r="I86" s="4">
        <f t="shared" si="19"/>
        <v>0</v>
      </c>
      <c r="J86" s="4">
        <f t="shared" si="22"/>
        <v>0</v>
      </c>
      <c r="K86" s="37">
        <f>D86-H86</f>
        <v>4935831061.8300238</v>
      </c>
      <c r="L86" s="6"/>
      <c r="M86" s="37">
        <f>M61+M62+M63+M64+M65+M66+M67+M68+M69+M70+M71+M72+M73+M74+M75+M76+M77+M78+M79+M80+M81+M82+M83+M84+M85</f>
        <v>28796337.037241377</v>
      </c>
    </row>
    <row r="87" spans="1:1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J89" s="35">
        <f>K86</f>
        <v>4935831061.8300238</v>
      </c>
    </row>
    <row r="90" spans="1:13" x14ac:dyDescent="0.25">
      <c r="J90" s="35">
        <f>M86</f>
        <v>28796337.037241377</v>
      </c>
    </row>
    <row r="91" spans="1:13" x14ac:dyDescent="0.25">
      <c r="I91" s="6" t="s">
        <v>24</v>
      </c>
      <c r="J91" s="44">
        <f>J89+J90</f>
        <v>4964627398.8672647</v>
      </c>
    </row>
    <row r="94" spans="1:13" ht="15.75" x14ac:dyDescent="0.25">
      <c r="A94" s="12"/>
      <c r="B94" s="61" t="s">
        <v>30</v>
      </c>
      <c r="C94" s="61"/>
      <c r="D94" s="61"/>
      <c r="E94" s="61"/>
      <c r="F94" s="61"/>
      <c r="G94" s="61"/>
      <c r="H94" s="61"/>
      <c r="I94" s="62"/>
      <c r="J94" s="62"/>
      <c r="K94" s="12"/>
      <c r="L94" s="12"/>
    </row>
    <row r="95" spans="1:13" ht="15.75" x14ac:dyDescent="0.25">
      <c r="A95" s="82" t="s">
        <v>9</v>
      </c>
      <c r="B95" s="84" t="s">
        <v>11</v>
      </c>
      <c r="C95" s="86" t="s">
        <v>20</v>
      </c>
      <c r="D95" s="86"/>
      <c r="E95" s="86"/>
      <c r="F95" s="86"/>
      <c r="G95" s="86"/>
      <c r="H95" s="87" t="s">
        <v>21</v>
      </c>
      <c r="I95" s="88"/>
      <c r="J95" s="88"/>
      <c r="K95" s="88"/>
      <c r="L95" s="89"/>
    </row>
    <row r="96" spans="1:13" ht="15.75" x14ac:dyDescent="0.25">
      <c r="A96" s="83"/>
      <c r="B96" s="85"/>
      <c r="C96" s="13" t="s">
        <v>22</v>
      </c>
      <c r="D96" s="13" t="s">
        <v>12</v>
      </c>
      <c r="E96" s="14" t="s">
        <v>13</v>
      </c>
      <c r="F96" s="14" t="s">
        <v>14</v>
      </c>
      <c r="G96" s="14" t="s">
        <v>15</v>
      </c>
      <c r="H96" s="15" t="s">
        <v>16</v>
      </c>
      <c r="I96" s="15" t="s">
        <v>17</v>
      </c>
      <c r="J96" s="16" t="s">
        <v>13</v>
      </c>
      <c r="K96" s="17" t="s">
        <v>14</v>
      </c>
      <c r="L96" s="18" t="s">
        <v>15</v>
      </c>
    </row>
    <row r="97" spans="1:12" x14ac:dyDescent="0.25">
      <c r="A97" s="26">
        <v>44444</v>
      </c>
      <c r="B97" s="46" t="s">
        <v>18</v>
      </c>
      <c r="C97" s="19"/>
      <c r="D97" s="27">
        <v>8577424</v>
      </c>
      <c r="E97" s="20">
        <v>7.4999999999999997E-3</v>
      </c>
      <c r="F97" s="21">
        <f>+(C97+D97)*E97</f>
        <v>64330.68</v>
      </c>
      <c r="G97" s="21">
        <f>+(C97+D97)-F97</f>
        <v>8513093.3200000003</v>
      </c>
      <c r="H97" s="28">
        <v>21342796</v>
      </c>
      <c r="I97" s="22"/>
      <c r="J97" s="23">
        <v>1.4999999999999999E-2</v>
      </c>
      <c r="K97" s="24">
        <f>+(H97+I97)*J97</f>
        <v>320141.94</v>
      </c>
      <c r="L97" s="24">
        <f>+(H97+I97)-K97</f>
        <v>21022654.059999999</v>
      </c>
    </row>
    <row r="98" spans="1:12" x14ac:dyDescent="0.25">
      <c r="A98" s="26">
        <v>44445</v>
      </c>
      <c r="B98" s="46" t="s">
        <v>18</v>
      </c>
      <c r="C98" s="19"/>
      <c r="D98" s="27">
        <v>36295443</v>
      </c>
      <c r="E98" s="20">
        <v>7.4999999999999997E-3</v>
      </c>
      <c r="F98" s="21">
        <f t="shared" ref="F98:F102" si="28">+(C98+D98)*E98</f>
        <v>272215.82250000001</v>
      </c>
      <c r="G98" s="21">
        <f t="shared" ref="G98:G101" si="29">+(C98+D98)-F98</f>
        <v>36023227.177500002</v>
      </c>
      <c r="H98" s="28">
        <v>25902373.600000001</v>
      </c>
      <c r="I98" s="22"/>
      <c r="J98" s="23">
        <v>1.4999999999999999E-2</v>
      </c>
      <c r="K98" s="24">
        <f t="shared" ref="K98:K110" si="30">+(H98+I98)*J98</f>
        <v>388535.60399999999</v>
      </c>
      <c r="L98" s="24">
        <f t="shared" ref="L98:L100" si="31">+(H98+I98)-K98</f>
        <v>25513837.996000003</v>
      </c>
    </row>
    <row r="99" spans="1:12" x14ac:dyDescent="0.25">
      <c r="A99" s="26">
        <v>44446</v>
      </c>
      <c r="B99" s="46" t="s">
        <v>18</v>
      </c>
      <c r="C99" s="19"/>
      <c r="D99" s="27">
        <v>461540.8</v>
      </c>
      <c r="E99" s="20">
        <v>7.4999999999999997E-3</v>
      </c>
      <c r="F99" s="21">
        <f t="shared" si="28"/>
        <v>3461.5559999999996</v>
      </c>
      <c r="G99" s="21">
        <f t="shared" si="29"/>
        <v>458079.24400000001</v>
      </c>
      <c r="H99" s="28">
        <v>70818380.400000006</v>
      </c>
      <c r="I99" s="22"/>
      <c r="J99" s="23">
        <v>1.4999999999999999E-2</v>
      </c>
      <c r="K99" s="24">
        <f t="shared" si="30"/>
        <v>1062275.706</v>
      </c>
      <c r="L99" s="24">
        <f t="shared" si="31"/>
        <v>69756104.694000006</v>
      </c>
    </row>
    <row r="100" spans="1:12" x14ac:dyDescent="0.25">
      <c r="A100" s="26">
        <v>44447</v>
      </c>
      <c r="B100" s="46" t="s">
        <v>18</v>
      </c>
      <c r="C100" s="19"/>
      <c r="D100" s="27">
        <v>8029960.7999999998</v>
      </c>
      <c r="E100" s="20">
        <v>7.4999999999999997E-3</v>
      </c>
      <c r="F100" s="21">
        <f t="shared" si="28"/>
        <v>60224.705999999998</v>
      </c>
      <c r="G100" s="21">
        <f t="shared" si="29"/>
        <v>7969736.0939999996</v>
      </c>
      <c r="H100" s="28">
        <v>189088646.80000001</v>
      </c>
      <c r="I100" s="22"/>
      <c r="J100" s="23">
        <v>1.4999999999999999E-2</v>
      </c>
      <c r="K100" s="24">
        <f t="shared" si="30"/>
        <v>2836329.702</v>
      </c>
      <c r="L100" s="24">
        <f t="shared" si="31"/>
        <v>186252317.09800002</v>
      </c>
    </row>
    <row r="101" spans="1:12" x14ac:dyDescent="0.25">
      <c r="A101" s="26">
        <v>44448</v>
      </c>
      <c r="B101" s="46" t="s">
        <v>18</v>
      </c>
      <c r="C101" s="19"/>
      <c r="D101" s="27">
        <v>8144000</v>
      </c>
      <c r="E101" s="20">
        <v>7.4999999999999997E-3</v>
      </c>
      <c r="F101" s="21">
        <f t="shared" si="28"/>
        <v>61080</v>
      </c>
      <c r="G101" s="21">
        <f t="shared" si="29"/>
        <v>8082920</v>
      </c>
      <c r="H101" s="28">
        <v>192979802.09999999</v>
      </c>
      <c r="I101" s="22"/>
      <c r="J101" s="23">
        <v>1.4999999999999999E-2</v>
      </c>
      <c r="K101" s="24">
        <f t="shared" si="30"/>
        <v>2894697.0314999996</v>
      </c>
      <c r="L101" s="24">
        <f>+(H101+I101)-K101</f>
        <v>190085105.06849998</v>
      </c>
    </row>
    <row r="102" spans="1:12" x14ac:dyDescent="0.25">
      <c r="A102" s="26">
        <v>44449</v>
      </c>
      <c r="B102" s="46" t="s">
        <v>18</v>
      </c>
      <c r="C102" s="19"/>
      <c r="D102" s="19">
        <v>31715976</v>
      </c>
      <c r="E102" s="20">
        <v>7.4999999999999997E-3</v>
      </c>
      <c r="F102" s="21">
        <f t="shared" si="28"/>
        <v>237869.81999999998</v>
      </c>
      <c r="G102" s="21">
        <f>+(C102+D102)-F102</f>
        <v>31478106.18</v>
      </c>
      <c r="H102" s="28">
        <v>172580275.90000001</v>
      </c>
      <c r="I102" s="22"/>
      <c r="J102" s="23">
        <v>1.4999999999999999E-2</v>
      </c>
      <c r="K102" s="24">
        <f t="shared" si="30"/>
        <v>2588704.1384999999</v>
      </c>
      <c r="L102" s="24">
        <f t="shared" ref="L102:L103" si="32">+(H102+I102)-K102</f>
        <v>169991571.7615</v>
      </c>
    </row>
    <row r="103" spans="1:12" x14ac:dyDescent="0.25">
      <c r="A103" s="26">
        <v>44450</v>
      </c>
      <c r="B103" s="46" t="s">
        <v>18</v>
      </c>
      <c r="C103" s="19"/>
      <c r="D103" s="19">
        <v>67844776</v>
      </c>
      <c r="E103" s="20">
        <v>7.4999999999999997E-3</v>
      </c>
      <c r="F103" s="21">
        <f>+(C103+D103)*E103</f>
        <v>508835.82</v>
      </c>
      <c r="G103" s="21">
        <f t="shared" ref="G103:G110" si="33">+(C103+D103)-F103</f>
        <v>67335940.180000007</v>
      </c>
      <c r="H103" s="28">
        <v>167377351.09999999</v>
      </c>
      <c r="I103" s="22"/>
      <c r="J103" s="23">
        <v>1.4999999999999999E-2</v>
      </c>
      <c r="K103" s="24">
        <f t="shared" si="30"/>
        <v>2510660.2664999999</v>
      </c>
      <c r="L103" s="24">
        <f t="shared" si="32"/>
        <v>164866690.8335</v>
      </c>
    </row>
    <row r="104" spans="1:12" x14ac:dyDescent="0.25">
      <c r="A104" s="26">
        <v>44451</v>
      </c>
      <c r="B104" s="46" t="s">
        <v>18</v>
      </c>
      <c r="C104" s="19"/>
      <c r="D104" s="19">
        <v>4604300.0999999996</v>
      </c>
      <c r="E104" s="20">
        <v>7.4999999999999997E-3</v>
      </c>
      <c r="F104" s="21">
        <f t="shared" ref="F104:F110" si="34">+(C104+D104)*E104</f>
        <v>34532.250749999999</v>
      </c>
      <c r="G104" s="21">
        <f t="shared" si="33"/>
        <v>4569767.84925</v>
      </c>
      <c r="H104" s="28">
        <v>41973772.32</v>
      </c>
      <c r="I104" s="22"/>
      <c r="J104" s="23">
        <v>1.4999999999999999E-2</v>
      </c>
      <c r="K104" s="24">
        <f t="shared" si="30"/>
        <v>629606.58479999995</v>
      </c>
      <c r="L104" s="24">
        <f>+(H104+I104)-K104</f>
        <v>41344165.735200003</v>
      </c>
    </row>
    <row r="105" spans="1:12" x14ac:dyDescent="0.25">
      <c r="A105" s="26">
        <v>44452</v>
      </c>
      <c r="B105" s="19" t="s">
        <v>18</v>
      </c>
      <c r="C105" s="19"/>
      <c r="D105" s="30"/>
      <c r="E105" s="20">
        <v>7.4999999999999997E-3</v>
      </c>
      <c r="F105" s="21">
        <f t="shared" si="34"/>
        <v>0</v>
      </c>
      <c r="G105" s="21">
        <f t="shared" si="33"/>
        <v>0</v>
      </c>
      <c r="H105" s="31">
        <v>66358080</v>
      </c>
      <c r="I105" s="22"/>
      <c r="J105" s="23">
        <v>1.4999999999999999E-2</v>
      </c>
      <c r="K105" s="24">
        <f t="shared" si="30"/>
        <v>995371.2</v>
      </c>
      <c r="L105" s="24">
        <f>+(H105+I105)-K105</f>
        <v>65362708.799999997</v>
      </c>
    </row>
    <row r="106" spans="1:12" x14ac:dyDescent="0.25">
      <c r="A106" s="26">
        <v>44453</v>
      </c>
      <c r="B106" s="19" t="s">
        <v>18</v>
      </c>
      <c r="C106" s="19"/>
      <c r="D106" s="27"/>
      <c r="E106" s="20">
        <v>7.4999999999999997E-3</v>
      </c>
      <c r="F106" s="21">
        <f t="shared" si="34"/>
        <v>0</v>
      </c>
      <c r="G106" s="21">
        <f t="shared" si="33"/>
        <v>0</v>
      </c>
      <c r="H106" s="28">
        <v>203406000</v>
      </c>
      <c r="I106" s="22"/>
      <c r="J106" s="23">
        <v>1.4999999999999999E-2</v>
      </c>
      <c r="K106" s="24">
        <f t="shared" si="30"/>
        <v>3051090</v>
      </c>
      <c r="L106" s="24">
        <f t="shared" ref="L106:L108" si="35">+(H106+I106)-K106</f>
        <v>200354910</v>
      </c>
    </row>
    <row r="107" spans="1:12" x14ac:dyDescent="0.25">
      <c r="A107" s="26">
        <v>44454</v>
      </c>
      <c r="B107" s="19" t="s">
        <v>18</v>
      </c>
      <c r="C107" s="19"/>
      <c r="D107" s="27">
        <f>70556960+48761391</f>
        <v>119318351</v>
      </c>
      <c r="E107" s="20">
        <v>7.4999999999999997E-3</v>
      </c>
      <c r="F107" s="21">
        <f t="shared" si="34"/>
        <v>894887.63249999995</v>
      </c>
      <c r="G107" s="21">
        <f t="shared" si="33"/>
        <v>118423463.36750001</v>
      </c>
      <c r="H107" s="28">
        <v>67998155.599999994</v>
      </c>
      <c r="I107" s="22"/>
      <c r="J107" s="23">
        <v>1.4999999999999999E-2</v>
      </c>
      <c r="K107" s="24">
        <f t="shared" si="30"/>
        <v>1019972.3339999999</v>
      </c>
      <c r="L107" s="24">
        <f t="shared" si="35"/>
        <v>66978183.265999995</v>
      </c>
    </row>
    <row r="108" spans="1:12" x14ac:dyDescent="0.25">
      <c r="A108" s="26">
        <v>44455</v>
      </c>
      <c r="B108" s="19" t="s">
        <v>18</v>
      </c>
      <c r="C108" s="19"/>
      <c r="D108" s="27">
        <f>24189480</f>
        <v>24189480</v>
      </c>
      <c r="E108" s="20">
        <v>7.4999999999999997E-3</v>
      </c>
      <c r="F108" s="21">
        <f t="shared" si="34"/>
        <v>181421.1</v>
      </c>
      <c r="G108" s="21">
        <f t="shared" si="33"/>
        <v>24008058.899999999</v>
      </c>
      <c r="H108" s="28">
        <f>15135680</f>
        <v>15135680</v>
      </c>
      <c r="I108" s="22"/>
      <c r="J108" s="23">
        <v>1.4999999999999999E-2</v>
      </c>
      <c r="K108" s="24">
        <f t="shared" si="30"/>
        <v>227035.19999999998</v>
      </c>
      <c r="L108" s="24">
        <f t="shared" si="35"/>
        <v>14908644.800000001</v>
      </c>
    </row>
    <row r="109" spans="1:12" x14ac:dyDescent="0.25">
      <c r="A109" s="26"/>
      <c r="B109" s="19" t="s">
        <v>18</v>
      </c>
      <c r="C109" s="19"/>
      <c r="D109" s="27"/>
      <c r="E109" s="20">
        <v>7.4999999999999997E-3</v>
      </c>
      <c r="F109" s="21">
        <f t="shared" si="34"/>
        <v>0</v>
      </c>
      <c r="G109" s="21">
        <f t="shared" si="33"/>
        <v>0</v>
      </c>
      <c r="H109" s="28"/>
      <c r="I109" s="22"/>
      <c r="J109" s="23">
        <v>1.4999999999999999E-2</v>
      </c>
      <c r="K109" s="24">
        <f t="shared" si="30"/>
        <v>0</v>
      </c>
      <c r="L109" s="24">
        <f>+(H109+I109)-K109</f>
        <v>0</v>
      </c>
    </row>
    <row r="110" spans="1:12" x14ac:dyDescent="0.25">
      <c r="A110" s="19"/>
      <c r="B110" s="19" t="s">
        <v>18</v>
      </c>
      <c r="C110" s="19"/>
      <c r="D110" s="19"/>
      <c r="E110" s="20">
        <v>7.4999999999999997E-3</v>
      </c>
      <c r="F110" s="21">
        <f t="shared" si="34"/>
        <v>0</v>
      </c>
      <c r="G110" s="21">
        <f t="shared" si="33"/>
        <v>0</v>
      </c>
      <c r="H110" s="22"/>
      <c r="I110" s="22"/>
      <c r="J110" s="23">
        <v>1.4999999999999999E-2</v>
      </c>
      <c r="K110" s="24">
        <f t="shared" si="30"/>
        <v>0</v>
      </c>
      <c r="L110" s="24">
        <f t="shared" ref="L110" si="36">+(H110+I110)-K110</f>
        <v>0</v>
      </c>
    </row>
    <row r="111" spans="1:12" x14ac:dyDescent="0.25">
      <c r="A111" s="19"/>
      <c r="B111" s="19" t="s">
        <v>18</v>
      </c>
      <c r="C111" s="19"/>
      <c r="D111" s="19"/>
      <c r="E111" s="20">
        <v>7.4999999999999997E-3</v>
      </c>
      <c r="F111" s="25"/>
      <c r="G111" s="68">
        <f>SUM(G97:G110)</f>
        <v>306862392.31225002</v>
      </c>
      <c r="H111" s="22"/>
      <c r="I111" s="22"/>
      <c r="J111" s="23">
        <v>1.4999999999999999E-2</v>
      </c>
      <c r="K111" s="24"/>
      <c r="L111" s="69">
        <f>SUM(L97:L110)</f>
        <v>1216436894.1127</v>
      </c>
    </row>
    <row r="112" spans="1:12" x14ac:dyDescent="0.25">
      <c r="A112" s="38"/>
      <c r="B112" s="38"/>
      <c r="C112" s="38"/>
      <c r="D112" s="38"/>
      <c r="E112" s="39"/>
      <c r="F112" s="40"/>
      <c r="G112" s="67"/>
      <c r="H112" s="41"/>
      <c r="I112" s="41"/>
      <c r="J112" s="42"/>
      <c r="K112" s="43"/>
      <c r="L112" s="43"/>
    </row>
    <row r="113" spans="1:12" x14ac:dyDescent="0.25">
      <c r="A113" s="38"/>
      <c r="B113" s="38"/>
      <c r="C113" s="38"/>
      <c r="D113" s="38"/>
      <c r="E113" s="39"/>
      <c r="F113" s="40"/>
      <c r="G113" s="40"/>
      <c r="H113" s="41"/>
      <c r="I113" s="41"/>
      <c r="J113" s="42"/>
      <c r="K113" s="43"/>
      <c r="L113" s="66">
        <f>J91</f>
        <v>4964627398.8672647</v>
      </c>
    </row>
    <row r="114" spans="1:12" x14ac:dyDescent="0.25">
      <c r="G114" s="63"/>
      <c r="H114" s="64"/>
      <c r="L114" s="35">
        <f>G111</f>
        <v>306862392.31225002</v>
      </c>
    </row>
    <row r="115" spans="1:12" x14ac:dyDescent="0.25">
      <c r="G115" s="63"/>
      <c r="H115" s="65"/>
      <c r="K115" s="12"/>
      <c r="L115" s="32">
        <f>L111</f>
        <v>1216436894.1127</v>
      </c>
    </row>
    <row r="116" spans="1:12" x14ac:dyDescent="0.25">
      <c r="G116" s="63"/>
      <c r="H116" s="65"/>
      <c r="K116" s="60" t="s">
        <v>24</v>
      </c>
      <c r="L116" s="44">
        <f>SUM(L113:L115)</f>
        <v>6487926685.2922153</v>
      </c>
    </row>
    <row r="117" spans="1:12" ht="12.75" customHeight="1" x14ac:dyDescent="0.25"/>
    <row r="118" spans="1:12" ht="0.75" hidden="1" customHeight="1" x14ac:dyDescent="0.25">
      <c r="B118" s="61" t="s">
        <v>31</v>
      </c>
      <c r="C118" s="61"/>
      <c r="D118" s="61"/>
      <c r="E118" s="61"/>
      <c r="F118" s="61"/>
      <c r="G118" s="61"/>
      <c r="H118" s="61"/>
      <c r="I118" s="62"/>
      <c r="J118" s="62"/>
      <c r="K118" s="62"/>
      <c r="L118" s="62"/>
    </row>
    <row r="119" spans="1:12" ht="15.75" hidden="1" x14ac:dyDescent="0.25">
      <c r="A119" s="7" t="s">
        <v>9</v>
      </c>
      <c r="B119" s="8" t="s">
        <v>11</v>
      </c>
      <c r="C119" s="9" t="s">
        <v>23</v>
      </c>
      <c r="D119" s="10" t="s">
        <v>0</v>
      </c>
      <c r="E119" s="10" t="s">
        <v>1</v>
      </c>
      <c r="F119" s="10" t="s">
        <v>2</v>
      </c>
      <c r="G119" s="9" t="s">
        <v>3</v>
      </c>
      <c r="H119" s="9" t="s">
        <v>8</v>
      </c>
      <c r="I119" s="9" t="s">
        <v>10</v>
      </c>
      <c r="J119" s="9" t="s">
        <v>7</v>
      </c>
      <c r="K119" s="9" t="s">
        <v>4</v>
      </c>
      <c r="L119" s="9" t="s">
        <v>5</v>
      </c>
    </row>
    <row r="120" spans="1:12" ht="15.75" hidden="1" x14ac:dyDescent="0.25">
      <c r="A120" s="11">
        <v>44456</v>
      </c>
      <c r="B120" s="45" t="s">
        <v>19</v>
      </c>
      <c r="C120" s="1"/>
      <c r="D120" s="2">
        <v>239422743.59999999</v>
      </c>
      <c r="E120" s="3"/>
      <c r="F120" s="3"/>
      <c r="G120" s="4">
        <f>F120/1.16*5%</f>
        <v>0</v>
      </c>
      <c r="H120" s="4">
        <f>D120*0.75%</f>
        <v>1795670.5769999998</v>
      </c>
      <c r="I120" s="4">
        <f>E120*0.53%</f>
        <v>0</v>
      </c>
      <c r="J120" s="4">
        <f>F120*2.5%</f>
        <v>0</v>
      </c>
      <c r="K120" s="4">
        <f>D120-H120</f>
        <v>237627073.023</v>
      </c>
      <c r="L120" s="4">
        <f>E120-I120</f>
        <v>0</v>
      </c>
    </row>
    <row r="121" spans="1:12" ht="15.75" hidden="1" x14ac:dyDescent="0.25">
      <c r="A121" s="11">
        <v>44457</v>
      </c>
      <c r="B121" s="45" t="s">
        <v>19</v>
      </c>
      <c r="C121" s="1"/>
      <c r="D121" s="2">
        <v>600954661.24000001</v>
      </c>
      <c r="E121" s="3"/>
      <c r="F121" s="3"/>
      <c r="G121" s="4">
        <f t="shared" ref="G121:G145" si="37">F121/1.16*5%</f>
        <v>0</v>
      </c>
      <c r="H121" s="4">
        <f>D121*0.75%</f>
        <v>4507159.9593000002</v>
      </c>
      <c r="I121" s="4">
        <f t="shared" ref="I121:I145" si="38">E121*0.53%</f>
        <v>0</v>
      </c>
      <c r="J121" s="4">
        <f>F121*2.5%</f>
        <v>0</v>
      </c>
      <c r="K121" s="4">
        <f>D121-H121</f>
        <v>596447501.28069997</v>
      </c>
      <c r="L121" s="4">
        <f t="shared" ref="L121:L144" si="39">E121-I121</f>
        <v>0</v>
      </c>
    </row>
    <row r="122" spans="1:12" ht="15.75" hidden="1" x14ac:dyDescent="0.25">
      <c r="A122" s="11">
        <v>44458</v>
      </c>
      <c r="B122" s="45" t="s">
        <v>19</v>
      </c>
      <c r="C122" s="1"/>
      <c r="D122" s="2">
        <v>300716426.19999999</v>
      </c>
      <c r="E122" s="3"/>
      <c r="F122" s="2"/>
      <c r="G122" s="4">
        <f t="shared" si="37"/>
        <v>0</v>
      </c>
      <c r="H122" s="4">
        <f t="shared" ref="H122:H145" si="40">D122*0.75%</f>
        <v>2255373.1964999996</v>
      </c>
      <c r="I122" s="4">
        <f t="shared" si="38"/>
        <v>0</v>
      </c>
      <c r="J122" s="4">
        <f t="shared" ref="J122:J145" si="41">F122*2.5%</f>
        <v>0</v>
      </c>
      <c r="K122" s="4">
        <f t="shared" ref="K122" si="42">D122-H122</f>
        <v>298461053.00349998</v>
      </c>
      <c r="L122" s="4">
        <f t="shared" si="39"/>
        <v>0</v>
      </c>
    </row>
    <row r="123" spans="1:12" ht="15.75" hidden="1" x14ac:dyDescent="0.25">
      <c r="A123" s="11">
        <v>44459</v>
      </c>
      <c r="B123" s="45" t="s">
        <v>19</v>
      </c>
      <c r="C123" s="1"/>
      <c r="D123" s="2">
        <v>320860511.39999998</v>
      </c>
      <c r="E123" s="3"/>
      <c r="F123" s="2"/>
      <c r="G123" s="4">
        <f t="shared" si="37"/>
        <v>0</v>
      </c>
      <c r="H123" s="4">
        <f t="shared" si="40"/>
        <v>2406453.8354999996</v>
      </c>
      <c r="I123" s="4">
        <f t="shared" si="38"/>
        <v>0</v>
      </c>
      <c r="J123" s="4">
        <f t="shared" si="41"/>
        <v>0</v>
      </c>
      <c r="K123" s="4">
        <f>D123-H123</f>
        <v>318454057.56449997</v>
      </c>
      <c r="L123" s="4">
        <f t="shared" si="39"/>
        <v>0</v>
      </c>
    </row>
    <row r="124" spans="1:12" ht="15.75" hidden="1" x14ac:dyDescent="0.25">
      <c r="A124" s="11">
        <v>44460</v>
      </c>
      <c r="B124" s="45" t="s">
        <v>19</v>
      </c>
      <c r="C124" s="1"/>
      <c r="D124" s="2">
        <v>397227992.19999999</v>
      </c>
      <c r="E124" s="3"/>
      <c r="F124" s="2"/>
      <c r="G124" s="4">
        <f t="shared" si="37"/>
        <v>0</v>
      </c>
      <c r="H124" s="4">
        <f t="shared" si="40"/>
        <v>2979209.9414999997</v>
      </c>
      <c r="I124" s="4">
        <f t="shared" si="38"/>
        <v>0</v>
      </c>
      <c r="J124" s="4">
        <f t="shared" si="41"/>
        <v>0</v>
      </c>
      <c r="K124" s="4">
        <f t="shared" ref="K124:K126" si="43">D124-H124</f>
        <v>394248782.25849998</v>
      </c>
      <c r="L124" s="4">
        <f t="shared" si="39"/>
        <v>0</v>
      </c>
    </row>
    <row r="125" spans="1:12" ht="15.75" hidden="1" x14ac:dyDescent="0.25">
      <c r="A125" s="11">
        <v>44461</v>
      </c>
      <c r="B125" s="45" t="s">
        <v>19</v>
      </c>
      <c r="C125" s="1"/>
      <c r="D125" s="2">
        <v>296961402.19999999</v>
      </c>
      <c r="E125" s="3"/>
      <c r="F125" s="2"/>
      <c r="G125" s="4">
        <f t="shared" si="37"/>
        <v>0</v>
      </c>
      <c r="H125" s="4">
        <f t="shared" si="40"/>
        <v>2227210.5164999999</v>
      </c>
      <c r="I125" s="4">
        <f t="shared" si="38"/>
        <v>0</v>
      </c>
      <c r="J125" s="4">
        <f t="shared" si="41"/>
        <v>0</v>
      </c>
      <c r="K125" s="4">
        <f t="shared" si="43"/>
        <v>294734191.68349999</v>
      </c>
      <c r="L125" s="4">
        <f t="shared" si="39"/>
        <v>0</v>
      </c>
    </row>
    <row r="126" spans="1:12" ht="15.75" hidden="1" x14ac:dyDescent="0.25">
      <c r="A126" s="11">
        <v>44462</v>
      </c>
      <c r="B126" s="45" t="s">
        <v>19</v>
      </c>
      <c r="C126" s="1"/>
      <c r="D126" s="2">
        <f>296653560+260534011.8</f>
        <v>557187571.79999995</v>
      </c>
      <c r="E126" s="3"/>
      <c r="F126" s="2"/>
      <c r="G126" s="4">
        <f t="shared" si="37"/>
        <v>0</v>
      </c>
      <c r="H126" s="4">
        <f t="shared" si="40"/>
        <v>4178906.7884999993</v>
      </c>
      <c r="I126" s="4">
        <f t="shared" si="38"/>
        <v>0</v>
      </c>
      <c r="J126" s="4">
        <f t="shared" si="41"/>
        <v>0</v>
      </c>
      <c r="K126" s="3">
        <f t="shared" si="43"/>
        <v>553008665.0115</v>
      </c>
      <c r="L126" s="3">
        <f t="shared" si="39"/>
        <v>0</v>
      </c>
    </row>
    <row r="127" spans="1:12" ht="15.75" hidden="1" x14ac:dyDescent="0.25">
      <c r="A127" s="11"/>
      <c r="B127" s="45" t="s">
        <v>19</v>
      </c>
      <c r="C127" s="1"/>
      <c r="D127" s="2"/>
      <c r="E127" s="3"/>
      <c r="F127" s="2"/>
      <c r="G127" s="4">
        <f t="shared" si="37"/>
        <v>0</v>
      </c>
      <c r="H127" s="4">
        <f t="shared" si="40"/>
        <v>0</v>
      </c>
      <c r="I127" s="4">
        <f t="shared" si="38"/>
        <v>0</v>
      </c>
      <c r="J127" s="4">
        <f t="shared" si="41"/>
        <v>0</v>
      </c>
      <c r="K127" s="3">
        <f>D127-H127</f>
        <v>0</v>
      </c>
      <c r="L127" s="4">
        <f t="shared" si="39"/>
        <v>0</v>
      </c>
    </row>
    <row r="128" spans="1:12" ht="15.75" hidden="1" x14ac:dyDescent="0.25">
      <c r="A128" s="11"/>
      <c r="B128" s="45" t="s">
        <v>19</v>
      </c>
      <c r="C128" s="1"/>
      <c r="D128" s="2"/>
      <c r="E128" s="3"/>
      <c r="F128" s="2"/>
      <c r="G128" s="4">
        <f t="shared" si="37"/>
        <v>0</v>
      </c>
      <c r="H128" s="4">
        <f t="shared" si="40"/>
        <v>0</v>
      </c>
      <c r="I128" s="4">
        <f t="shared" si="38"/>
        <v>0</v>
      </c>
      <c r="J128" s="4">
        <f t="shared" si="41"/>
        <v>0</v>
      </c>
      <c r="K128" s="3">
        <f>D128-H128</f>
        <v>0</v>
      </c>
      <c r="L128" s="4">
        <f t="shared" si="39"/>
        <v>0</v>
      </c>
    </row>
    <row r="129" spans="1:12" ht="15.75" hidden="1" x14ac:dyDescent="0.25">
      <c r="A129" s="11"/>
      <c r="B129" s="45" t="s">
        <v>19</v>
      </c>
      <c r="C129" s="1"/>
      <c r="D129" s="2"/>
      <c r="E129" s="3"/>
      <c r="F129" s="2"/>
      <c r="G129" s="4">
        <f t="shared" si="37"/>
        <v>0</v>
      </c>
      <c r="H129" s="4">
        <f t="shared" si="40"/>
        <v>0</v>
      </c>
      <c r="I129" s="4">
        <f t="shared" si="38"/>
        <v>0</v>
      </c>
      <c r="J129" s="4">
        <f t="shared" si="41"/>
        <v>0</v>
      </c>
      <c r="K129" s="3">
        <f t="shared" ref="K129:K135" si="44">D129-H129</f>
        <v>0</v>
      </c>
      <c r="L129" s="4">
        <f t="shared" si="39"/>
        <v>0</v>
      </c>
    </row>
    <row r="130" spans="1:12" ht="15.75" hidden="1" x14ac:dyDescent="0.25">
      <c r="A130" s="11"/>
      <c r="B130" s="45" t="s">
        <v>19</v>
      </c>
      <c r="C130" s="1"/>
      <c r="D130" s="3"/>
      <c r="E130" s="3"/>
      <c r="F130" s="3"/>
      <c r="G130" s="4">
        <f t="shared" si="37"/>
        <v>0</v>
      </c>
      <c r="H130" s="4">
        <f t="shared" si="40"/>
        <v>0</v>
      </c>
      <c r="I130" s="4">
        <f t="shared" si="38"/>
        <v>0</v>
      </c>
      <c r="J130" s="4">
        <f t="shared" si="41"/>
        <v>0</v>
      </c>
      <c r="K130" s="3">
        <f t="shared" si="44"/>
        <v>0</v>
      </c>
      <c r="L130" s="4">
        <f t="shared" si="39"/>
        <v>0</v>
      </c>
    </row>
    <row r="131" spans="1:12" ht="15.75" hidden="1" x14ac:dyDescent="0.25">
      <c r="A131" s="11"/>
      <c r="B131" s="45" t="s">
        <v>19</v>
      </c>
      <c r="C131" s="1"/>
      <c r="D131" s="2"/>
      <c r="E131" s="3"/>
      <c r="F131" s="3"/>
      <c r="G131" s="4">
        <f t="shared" si="37"/>
        <v>0</v>
      </c>
      <c r="H131" s="4">
        <f t="shared" si="40"/>
        <v>0</v>
      </c>
      <c r="I131" s="4">
        <f t="shared" si="38"/>
        <v>0</v>
      </c>
      <c r="J131" s="4">
        <f t="shared" si="41"/>
        <v>0</v>
      </c>
      <c r="K131" s="3">
        <f t="shared" si="44"/>
        <v>0</v>
      </c>
      <c r="L131" s="4">
        <f t="shared" si="39"/>
        <v>0</v>
      </c>
    </row>
    <row r="132" spans="1:12" ht="15.75" hidden="1" x14ac:dyDescent="0.25">
      <c r="A132" s="11"/>
      <c r="B132" s="45" t="s">
        <v>19</v>
      </c>
      <c r="C132" s="1"/>
      <c r="D132" s="3"/>
      <c r="E132" s="3"/>
      <c r="F132" s="3"/>
      <c r="G132" s="4">
        <f t="shared" si="37"/>
        <v>0</v>
      </c>
      <c r="H132" s="4">
        <f t="shared" si="40"/>
        <v>0</v>
      </c>
      <c r="I132" s="4">
        <f t="shared" si="38"/>
        <v>0</v>
      </c>
      <c r="J132" s="4">
        <f t="shared" si="41"/>
        <v>0</v>
      </c>
      <c r="K132" s="3">
        <f t="shared" si="44"/>
        <v>0</v>
      </c>
      <c r="L132" s="4">
        <f t="shared" si="39"/>
        <v>0</v>
      </c>
    </row>
    <row r="133" spans="1:12" ht="15.75" hidden="1" x14ac:dyDescent="0.25">
      <c r="A133" s="11"/>
      <c r="B133" s="45" t="s">
        <v>19</v>
      </c>
      <c r="C133" s="6"/>
      <c r="D133" s="29"/>
      <c r="E133" s="6"/>
      <c r="F133" s="6"/>
      <c r="G133" s="4">
        <f t="shared" si="37"/>
        <v>0</v>
      </c>
      <c r="H133" s="4">
        <f t="shared" si="40"/>
        <v>0</v>
      </c>
      <c r="I133" s="4">
        <f t="shared" si="38"/>
        <v>0</v>
      </c>
      <c r="J133" s="4">
        <f t="shared" si="41"/>
        <v>0</v>
      </c>
      <c r="K133" s="3">
        <f t="shared" si="44"/>
        <v>0</v>
      </c>
      <c r="L133" s="4">
        <f t="shared" si="39"/>
        <v>0</v>
      </c>
    </row>
    <row r="134" spans="1:12" ht="15.75" hidden="1" x14ac:dyDescent="0.25">
      <c r="A134" s="11"/>
      <c r="B134" s="45" t="s">
        <v>19</v>
      </c>
      <c r="C134" s="6"/>
      <c r="D134" s="29"/>
      <c r="E134" s="6"/>
      <c r="F134" s="6"/>
      <c r="G134" s="4">
        <f t="shared" si="37"/>
        <v>0</v>
      </c>
      <c r="H134" s="4">
        <f t="shared" si="40"/>
        <v>0</v>
      </c>
      <c r="I134" s="4">
        <f t="shared" si="38"/>
        <v>0</v>
      </c>
      <c r="J134" s="4">
        <f t="shared" si="41"/>
        <v>0</v>
      </c>
      <c r="K134" s="3">
        <f t="shared" si="44"/>
        <v>0</v>
      </c>
      <c r="L134" s="4">
        <f t="shared" si="39"/>
        <v>0</v>
      </c>
    </row>
    <row r="135" spans="1:12" ht="15.75" hidden="1" x14ac:dyDescent="0.25">
      <c r="A135" s="11"/>
      <c r="B135" s="45" t="s">
        <v>19</v>
      </c>
      <c r="C135" s="6"/>
      <c r="D135" s="29"/>
      <c r="E135" s="6"/>
      <c r="F135" s="6"/>
      <c r="G135" s="4">
        <f t="shared" si="37"/>
        <v>0</v>
      </c>
      <c r="H135" s="4">
        <f t="shared" si="40"/>
        <v>0</v>
      </c>
      <c r="I135" s="4">
        <f t="shared" si="38"/>
        <v>0</v>
      </c>
      <c r="J135" s="4">
        <f t="shared" si="41"/>
        <v>0</v>
      </c>
      <c r="K135" s="3">
        <f t="shared" si="44"/>
        <v>0</v>
      </c>
      <c r="L135" s="4">
        <f t="shared" si="39"/>
        <v>0</v>
      </c>
    </row>
    <row r="136" spans="1:12" ht="15.75" hidden="1" x14ac:dyDescent="0.25">
      <c r="A136" s="11"/>
      <c r="B136" s="45" t="s">
        <v>19</v>
      </c>
      <c r="C136" s="6"/>
      <c r="D136" s="29"/>
      <c r="E136" s="6"/>
      <c r="F136" s="6"/>
      <c r="G136" s="4">
        <f t="shared" si="37"/>
        <v>0</v>
      </c>
      <c r="H136" s="4">
        <f t="shared" si="40"/>
        <v>0</v>
      </c>
      <c r="I136" s="4">
        <f t="shared" si="38"/>
        <v>0</v>
      </c>
      <c r="J136" s="4">
        <f t="shared" si="41"/>
        <v>0</v>
      </c>
      <c r="K136" s="3">
        <f>D136-H136</f>
        <v>0</v>
      </c>
      <c r="L136" s="4">
        <f t="shared" si="39"/>
        <v>0</v>
      </c>
    </row>
    <row r="137" spans="1:12" ht="15.75" hidden="1" x14ac:dyDescent="0.25">
      <c r="A137" s="11"/>
      <c r="B137" s="45" t="s">
        <v>19</v>
      </c>
      <c r="C137" s="6"/>
      <c r="D137" s="29"/>
      <c r="E137" s="6"/>
      <c r="F137" s="6"/>
      <c r="G137" s="4">
        <f t="shared" si="37"/>
        <v>0</v>
      </c>
      <c r="H137" s="4">
        <f t="shared" si="40"/>
        <v>0</v>
      </c>
      <c r="I137" s="4">
        <f t="shared" si="38"/>
        <v>0</v>
      </c>
      <c r="J137" s="4">
        <f t="shared" si="41"/>
        <v>0</v>
      </c>
      <c r="K137" s="3">
        <f t="shared" ref="K137:K144" si="45">D137-H137</f>
        <v>0</v>
      </c>
      <c r="L137" s="4">
        <f t="shared" si="39"/>
        <v>0</v>
      </c>
    </row>
    <row r="138" spans="1:12" ht="15.75" hidden="1" x14ac:dyDescent="0.25">
      <c r="A138" s="11"/>
      <c r="B138" s="45" t="s">
        <v>19</v>
      </c>
      <c r="C138" s="6"/>
      <c r="D138" s="29"/>
      <c r="E138" s="6"/>
      <c r="F138" s="6"/>
      <c r="G138" s="4">
        <f t="shared" si="37"/>
        <v>0</v>
      </c>
      <c r="H138" s="4">
        <f t="shared" si="40"/>
        <v>0</v>
      </c>
      <c r="I138" s="4">
        <f t="shared" si="38"/>
        <v>0</v>
      </c>
      <c r="J138" s="4">
        <f t="shared" si="41"/>
        <v>0</v>
      </c>
      <c r="K138" s="3">
        <f t="shared" si="45"/>
        <v>0</v>
      </c>
      <c r="L138" s="4">
        <f t="shared" si="39"/>
        <v>0</v>
      </c>
    </row>
    <row r="139" spans="1:12" ht="15.75" hidden="1" x14ac:dyDescent="0.25">
      <c r="A139" s="11"/>
      <c r="B139" s="45" t="s">
        <v>19</v>
      </c>
      <c r="C139" s="6"/>
      <c r="D139" s="29"/>
      <c r="E139" s="6"/>
      <c r="F139" s="6"/>
      <c r="G139" s="4">
        <f t="shared" si="37"/>
        <v>0</v>
      </c>
      <c r="H139" s="4">
        <f t="shared" si="40"/>
        <v>0</v>
      </c>
      <c r="I139" s="4">
        <f t="shared" si="38"/>
        <v>0</v>
      </c>
      <c r="J139" s="4">
        <f t="shared" si="41"/>
        <v>0</v>
      </c>
      <c r="K139" s="3">
        <f t="shared" si="45"/>
        <v>0</v>
      </c>
      <c r="L139" s="4">
        <f t="shared" si="39"/>
        <v>0</v>
      </c>
    </row>
    <row r="140" spans="1:12" ht="15.75" hidden="1" x14ac:dyDescent="0.25">
      <c r="A140" s="11"/>
      <c r="B140" s="45" t="s">
        <v>19</v>
      </c>
      <c r="C140" s="6"/>
      <c r="D140" s="29"/>
      <c r="E140" s="6"/>
      <c r="F140" s="6"/>
      <c r="G140" s="4">
        <f t="shared" si="37"/>
        <v>0</v>
      </c>
      <c r="H140" s="4">
        <f t="shared" si="40"/>
        <v>0</v>
      </c>
      <c r="I140" s="4">
        <f t="shared" si="38"/>
        <v>0</v>
      </c>
      <c r="J140" s="4">
        <f t="shared" si="41"/>
        <v>0</v>
      </c>
      <c r="K140" s="3">
        <f t="shared" si="45"/>
        <v>0</v>
      </c>
      <c r="L140" s="4">
        <f t="shared" si="39"/>
        <v>0</v>
      </c>
    </row>
    <row r="141" spans="1:12" ht="15.75" hidden="1" x14ac:dyDescent="0.25">
      <c r="A141" s="11"/>
      <c r="B141" s="45" t="s">
        <v>19</v>
      </c>
      <c r="C141" s="6"/>
      <c r="D141" s="29"/>
      <c r="E141" s="6"/>
      <c r="F141" s="29"/>
      <c r="G141" s="4">
        <f t="shared" si="37"/>
        <v>0</v>
      </c>
      <c r="H141" s="4">
        <f t="shared" si="40"/>
        <v>0</v>
      </c>
      <c r="I141" s="4">
        <f t="shared" si="38"/>
        <v>0</v>
      </c>
      <c r="J141" s="4">
        <f t="shared" si="41"/>
        <v>0</v>
      </c>
      <c r="K141" s="3">
        <f t="shared" si="45"/>
        <v>0</v>
      </c>
      <c r="L141" s="4">
        <f t="shared" si="39"/>
        <v>0</v>
      </c>
    </row>
    <row r="142" spans="1:12" ht="15.75" hidden="1" x14ac:dyDescent="0.25">
      <c r="A142" s="11"/>
      <c r="B142" s="45" t="s">
        <v>19</v>
      </c>
      <c r="C142" s="6"/>
      <c r="D142" s="29"/>
      <c r="E142" s="6"/>
      <c r="F142" s="6"/>
      <c r="G142" s="4">
        <f t="shared" si="37"/>
        <v>0</v>
      </c>
      <c r="H142" s="4">
        <f t="shared" si="40"/>
        <v>0</v>
      </c>
      <c r="I142" s="4">
        <f t="shared" si="38"/>
        <v>0</v>
      </c>
      <c r="J142" s="4">
        <f t="shared" si="41"/>
        <v>0</v>
      </c>
      <c r="K142" s="3">
        <f t="shared" si="45"/>
        <v>0</v>
      </c>
      <c r="L142" s="4">
        <f t="shared" si="39"/>
        <v>0</v>
      </c>
    </row>
    <row r="143" spans="1:12" ht="15.75" hidden="1" x14ac:dyDescent="0.25">
      <c r="A143" s="11"/>
      <c r="B143" s="45" t="s">
        <v>19</v>
      </c>
      <c r="C143" s="6"/>
      <c r="D143" s="29"/>
      <c r="E143" s="6"/>
      <c r="F143" s="6"/>
      <c r="G143" s="4">
        <f t="shared" si="37"/>
        <v>0</v>
      </c>
      <c r="H143" s="4">
        <f t="shared" si="40"/>
        <v>0</v>
      </c>
      <c r="I143" s="4">
        <f t="shared" si="38"/>
        <v>0</v>
      </c>
      <c r="J143" s="4">
        <f t="shared" si="41"/>
        <v>0</v>
      </c>
      <c r="K143" s="3">
        <f t="shared" si="45"/>
        <v>0</v>
      </c>
      <c r="L143" s="4">
        <f t="shared" si="39"/>
        <v>0</v>
      </c>
    </row>
    <row r="144" spans="1:12" ht="15.75" hidden="1" x14ac:dyDescent="0.25">
      <c r="A144" s="11"/>
      <c r="B144" s="45" t="s">
        <v>19</v>
      </c>
      <c r="C144" s="6"/>
      <c r="D144" s="29"/>
      <c r="E144" s="6"/>
      <c r="F144" s="6"/>
      <c r="G144" s="4">
        <f t="shared" si="37"/>
        <v>0</v>
      </c>
      <c r="H144" s="4">
        <f t="shared" si="40"/>
        <v>0</v>
      </c>
      <c r="I144" s="4">
        <f t="shared" si="38"/>
        <v>0</v>
      </c>
      <c r="J144" s="4">
        <f t="shared" si="41"/>
        <v>0</v>
      </c>
      <c r="K144" s="3">
        <f t="shared" si="45"/>
        <v>0</v>
      </c>
      <c r="L144" s="4">
        <f t="shared" si="39"/>
        <v>0</v>
      </c>
    </row>
    <row r="145" spans="1:12" ht="15.75" hidden="1" x14ac:dyDescent="0.25">
      <c r="A145" s="6"/>
      <c r="B145" s="6"/>
      <c r="C145" s="6"/>
      <c r="D145" s="36">
        <f>SUM(D120:D144)</f>
        <v>2713331308.6400003</v>
      </c>
      <c r="E145" s="6"/>
      <c r="F145" s="6"/>
      <c r="G145" s="4">
        <f t="shared" si="37"/>
        <v>0</v>
      </c>
      <c r="H145" s="4">
        <f t="shared" si="40"/>
        <v>20349984.814800002</v>
      </c>
      <c r="I145" s="4">
        <f t="shared" si="38"/>
        <v>0</v>
      </c>
      <c r="J145" s="4">
        <f t="shared" si="41"/>
        <v>0</v>
      </c>
      <c r="K145" s="37">
        <f>D145-H145</f>
        <v>2692981323.8252006</v>
      </c>
      <c r="L145" s="6"/>
    </row>
    <row r="146" spans="1:12" hidden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idden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idden="1" x14ac:dyDescent="0.25">
      <c r="J148" s="35">
        <f>K145</f>
        <v>2692981323.8252006</v>
      </c>
    </row>
    <row r="149" spans="1:12" hidden="1" x14ac:dyDescent="0.25">
      <c r="J149" s="35">
        <f>M145</f>
        <v>0</v>
      </c>
    </row>
    <row r="150" spans="1:12" hidden="1" x14ac:dyDescent="0.25">
      <c r="I150" s="6" t="s">
        <v>24</v>
      </c>
      <c r="J150" s="44">
        <f>J148+J149</f>
        <v>2692981323.8252006</v>
      </c>
    </row>
    <row r="151" spans="1:12" hidden="1" x14ac:dyDescent="0.25"/>
    <row r="152" spans="1:12" hidden="1" x14ac:dyDescent="0.25"/>
    <row r="153" spans="1:12" ht="15.75" hidden="1" x14ac:dyDescent="0.25">
      <c r="A153" s="12"/>
      <c r="B153" s="61" t="s">
        <v>31</v>
      </c>
      <c r="C153" s="61"/>
      <c r="D153" s="61"/>
      <c r="E153" s="61"/>
      <c r="F153" s="61"/>
      <c r="G153" s="61"/>
      <c r="H153" s="61"/>
      <c r="I153" s="62"/>
      <c r="J153" s="62"/>
      <c r="K153" s="12"/>
      <c r="L153" s="12"/>
    </row>
    <row r="154" spans="1:12" ht="15.75" hidden="1" x14ac:dyDescent="0.25">
      <c r="A154" s="82" t="s">
        <v>9</v>
      </c>
      <c r="B154" s="84" t="s">
        <v>11</v>
      </c>
      <c r="C154" s="86" t="s">
        <v>20</v>
      </c>
      <c r="D154" s="86"/>
      <c r="E154" s="86"/>
      <c r="F154" s="86"/>
      <c r="G154" s="86"/>
      <c r="H154" s="87" t="s">
        <v>21</v>
      </c>
      <c r="I154" s="88"/>
      <c r="J154" s="88"/>
      <c r="K154" s="88"/>
      <c r="L154" s="89"/>
    </row>
    <row r="155" spans="1:12" ht="15.75" hidden="1" x14ac:dyDescent="0.25">
      <c r="A155" s="83"/>
      <c r="B155" s="85"/>
      <c r="C155" s="13" t="s">
        <v>22</v>
      </c>
      <c r="D155" s="13" t="s">
        <v>12</v>
      </c>
      <c r="E155" s="14" t="s">
        <v>13</v>
      </c>
      <c r="F155" s="14" t="s">
        <v>14</v>
      </c>
      <c r="G155" s="14" t="s">
        <v>15</v>
      </c>
      <c r="H155" s="15" t="s">
        <v>16</v>
      </c>
      <c r="I155" s="15" t="s">
        <v>17</v>
      </c>
      <c r="J155" s="16" t="s">
        <v>13</v>
      </c>
      <c r="K155" s="17" t="s">
        <v>14</v>
      </c>
      <c r="L155" s="18" t="s">
        <v>15</v>
      </c>
    </row>
    <row r="156" spans="1:12" hidden="1" x14ac:dyDescent="0.25">
      <c r="A156" s="26">
        <v>44456</v>
      </c>
      <c r="B156" s="46" t="s">
        <v>18</v>
      </c>
      <c r="C156" s="19"/>
      <c r="D156" s="27"/>
      <c r="E156" s="20">
        <v>7.4999999999999997E-3</v>
      </c>
      <c r="F156" s="21">
        <f>+(C156+D156)*E156</f>
        <v>0</v>
      </c>
      <c r="G156" s="21">
        <f>+(C156+D156)-F156</f>
        <v>0</v>
      </c>
      <c r="H156" s="28">
        <v>10251500</v>
      </c>
      <c r="I156" s="22"/>
      <c r="J156" s="23">
        <v>1.4999999999999999E-2</v>
      </c>
      <c r="K156" s="24">
        <f>+(H156+I156)*J156</f>
        <v>153772.5</v>
      </c>
      <c r="L156" s="24">
        <f>+(H156+I156)-K156</f>
        <v>10097727.5</v>
      </c>
    </row>
    <row r="157" spans="1:12" hidden="1" x14ac:dyDescent="0.25">
      <c r="A157" s="26">
        <v>44457</v>
      </c>
      <c r="B157" s="46" t="s">
        <v>18</v>
      </c>
      <c r="C157" s="19"/>
      <c r="D157" s="27">
        <v>461540.8</v>
      </c>
      <c r="E157" s="20">
        <v>7.4999999999999997E-3</v>
      </c>
      <c r="F157" s="21">
        <f t="shared" ref="F157:F161" si="46">+(C157+D157)*E157</f>
        <v>3461.5559999999996</v>
      </c>
      <c r="G157" s="21">
        <f t="shared" ref="G157:G160" si="47">+(C157+D157)-F157</f>
        <v>458079.24400000001</v>
      </c>
      <c r="H157" s="28">
        <v>34099400</v>
      </c>
      <c r="I157" s="22"/>
      <c r="J157" s="23">
        <v>1.4999999999999999E-2</v>
      </c>
      <c r="K157" s="24">
        <f t="shared" ref="K157:K169" si="48">+(H157+I157)*J157</f>
        <v>511491</v>
      </c>
      <c r="L157" s="24">
        <f t="shared" ref="L157:L159" si="49">+(H157+I157)-K157</f>
        <v>33587909</v>
      </c>
    </row>
    <row r="158" spans="1:12" hidden="1" x14ac:dyDescent="0.25">
      <c r="A158" s="26">
        <v>44458</v>
      </c>
      <c r="B158" s="46" t="s">
        <v>18</v>
      </c>
      <c r="C158" s="19"/>
      <c r="D158" s="27">
        <v>1719004</v>
      </c>
      <c r="E158" s="20">
        <v>7.4999999999999997E-3</v>
      </c>
      <c r="F158" s="21">
        <f t="shared" si="46"/>
        <v>12892.529999999999</v>
      </c>
      <c r="G158" s="21">
        <f t="shared" si="47"/>
        <v>1706111.47</v>
      </c>
      <c r="H158" s="28">
        <v>72281516.400000006</v>
      </c>
      <c r="I158" s="22"/>
      <c r="J158" s="23">
        <v>1.4999999999999999E-2</v>
      </c>
      <c r="K158" s="24">
        <f t="shared" si="48"/>
        <v>1084222.746</v>
      </c>
      <c r="L158" s="24">
        <f t="shared" si="49"/>
        <v>71197293.653999999</v>
      </c>
    </row>
    <row r="159" spans="1:12" hidden="1" x14ac:dyDescent="0.25">
      <c r="A159" s="26">
        <v>44459</v>
      </c>
      <c r="B159" s="46" t="s">
        <v>18</v>
      </c>
      <c r="C159" s="19"/>
      <c r="D159" s="27">
        <v>23535333.600000001</v>
      </c>
      <c r="E159" s="20">
        <v>7.4999999999999997E-3</v>
      </c>
      <c r="F159" s="21">
        <f t="shared" si="46"/>
        <v>176515.00200000001</v>
      </c>
      <c r="G159" s="21">
        <f t="shared" si="47"/>
        <v>23358818.598000001</v>
      </c>
      <c r="H159" s="28">
        <v>29860000</v>
      </c>
      <c r="I159" s="22"/>
      <c r="J159" s="23">
        <v>1.4999999999999999E-2</v>
      </c>
      <c r="K159" s="24">
        <f t="shared" si="48"/>
        <v>447900</v>
      </c>
      <c r="L159" s="24">
        <f t="shared" si="49"/>
        <v>29412100</v>
      </c>
    </row>
    <row r="160" spans="1:12" hidden="1" x14ac:dyDescent="0.25">
      <c r="A160" s="26">
        <v>44460</v>
      </c>
      <c r="B160" s="46" t="s">
        <v>18</v>
      </c>
      <c r="C160" s="19"/>
      <c r="D160" s="27">
        <v>28315036.600000001</v>
      </c>
      <c r="E160" s="20">
        <v>7.4999999999999997E-3</v>
      </c>
      <c r="F160" s="21">
        <f t="shared" si="46"/>
        <v>212362.7745</v>
      </c>
      <c r="G160" s="21">
        <f t="shared" si="47"/>
        <v>28102673.8255</v>
      </c>
      <c r="H160" s="28">
        <v>50795776</v>
      </c>
      <c r="I160" s="22"/>
      <c r="J160" s="23">
        <v>1.4999999999999999E-2</v>
      </c>
      <c r="K160" s="24">
        <f t="shared" si="48"/>
        <v>761936.64</v>
      </c>
      <c r="L160" s="24">
        <f>+(H160+I160)-K160</f>
        <v>50033839.359999999</v>
      </c>
    </row>
    <row r="161" spans="1:12" hidden="1" x14ac:dyDescent="0.25">
      <c r="A161" s="26">
        <v>44461</v>
      </c>
      <c r="B161" s="46" t="s">
        <v>18</v>
      </c>
      <c r="C161" s="19"/>
      <c r="D161" s="27">
        <v>27126484</v>
      </c>
      <c r="E161" s="20">
        <v>7.4999999999999997E-3</v>
      </c>
      <c r="F161" s="21">
        <f t="shared" si="46"/>
        <v>203448.63</v>
      </c>
      <c r="G161" s="21">
        <f>+(C161+D161)-F161</f>
        <v>26923035.370000001</v>
      </c>
      <c r="H161" s="28">
        <v>68635209.599999994</v>
      </c>
      <c r="I161" s="22"/>
      <c r="J161" s="23">
        <v>1.4999999999999999E-2</v>
      </c>
      <c r="K161" s="24">
        <f t="shared" si="48"/>
        <v>1029528.1439999999</v>
      </c>
      <c r="L161" s="24">
        <f t="shared" ref="L161:L162" si="50">+(H161+I161)-K161</f>
        <v>67605681.456</v>
      </c>
    </row>
    <row r="162" spans="1:12" hidden="1" x14ac:dyDescent="0.25">
      <c r="A162" s="26">
        <v>44462</v>
      </c>
      <c r="B162" s="46" t="s">
        <v>18</v>
      </c>
      <c r="C162" s="19"/>
      <c r="D162" s="27">
        <f>64085616+9810732.8</f>
        <v>73896348.799999997</v>
      </c>
      <c r="E162" s="20">
        <v>7.4999999999999997E-3</v>
      </c>
      <c r="F162" s="21">
        <f>+(C162+D162)*E162</f>
        <v>554222.61599999992</v>
      </c>
      <c r="G162" s="21">
        <f t="shared" ref="G162:G169" si="51">+(C162+D162)-F162</f>
        <v>73342126.184</v>
      </c>
      <c r="H162" s="28">
        <f>204122492</f>
        <v>204122492</v>
      </c>
      <c r="I162" s="22"/>
      <c r="J162" s="23">
        <v>1.4999999999999999E-2</v>
      </c>
      <c r="K162" s="24">
        <f t="shared" si="48"/>
        <v>3061837.38</v>
      </c>
      <c r="L162" s="24">
        <f t="shared" si="50"/>
        <v>201060654.62</v>
      </c>
    </row>
    <row r="163" spans="1:12" ht="14.25" hidden="1" customHeight="1" x14ac:dyDescent="0.25">
      <c r="A163" s="26"/>
      <c r="B163" s="46" t="s">
        <v>18</v>
      </c>
      <c r="C163" s="19"/>
      <c r="D163" s="19"/>
      <c r="E163" s="20">
        <v>7.4999999999999997E-3</v>
      </c>
      <c r="F163" s="21">
        <f t="shared" ref="F163:F169" si="52">+(C163+D163)*E163</f>
        <v>0</v>
      </c>
      <c r="G163" s="21">
        <f t="shared" si="51"/>
        <v>0</v>
      </c>
      <c r="H163" s="28"/>
      <c r="I163" s="22"/>
      <c r="J163" s="23">
        <v>1.4999999999999999E-2</v>
      </c>
      <c r="K163" s="24">
        <f t="shared" si="48"/>
        <v>0</v>
      </c>
      <c r="L163" s="24">
        <f>+(H163+I163)-K163</f>
        <v>0</v>
      </c>
    </row>
    <row r="164" spans="1:12" hidden="1" x14ac:dyDescent="0.25">
      <c r="A164" s="26"/>
      <c r="B164" s="19" t="s">
        <v>18</v>
      </c>
      <c r="C164" s="19"/>
      <c r="D164" s="30"/>
      <c r="E164" s="20">
        <v>7.4999999999999997E-3</v>
      </c>
      <c r="F164" s="21">
        <f t="shared" si="52"/>
        <v>0</v>
      </c>
      <c r="G164" s="21">
        <f t="shared" si="51"/>
        <v>0</v>
      </c>
      <c r="H164" s="31"/>
      <c r="I164" s="22"/>
      <c r="J164" s="23">
        <v>1.4999999999999999E-2</v>
      </c>
      <c r="K164" s="24">
        <f t="shared" si="48"/>
        <v>0</v>
      </c>
      <c r="L164" s="24">
        <f>+(H164+I164)-K164</f>
        <v>0</v>
      </c>
    </row>
    <row r="165" spans="1:12" hidden="1" x14ac:dyDescent="0.25">
      <c r="A165" s="26"/>
      <c r="B165" s="19" t="s">
        <v>18</v>
      </c>
      <c r="C165" s="19"/>
      <c r="D165" s="27"/>
      <c r="E165" s="20">
        <v>7.4999999999999997E-3</v>
      </c>
      <c r="F165" s="21">
        <f t="shared" si="52"/>
        <v>0</v>
      </c>
      <c r="G165" s="21">
        <f t="shared" si="51"/>
        <v>0</v>
      </c>
      <c r="H165" s="28"/>
      <c r="I165" s="22"/>
      <c r="J165" s="23">
        <v>1.4999999999999999E-2</v>
      </c>
      <c r="K165" s="24">
        <f t="shared" si="48"/>
        <v>0</v>
      </c>
      <c r="L165" s="24">
        <f t="shared" ref="L165:L167" si="53">+(H165+I165)-K165</f>
        <v>0</v>
      </c>
    </row>
    <row r="166" spans="1:12" hidden="1" x14ac:dyDescent="0.25">
      <c r="A166" s="26"/>
      <c r="B166" s="19" t="s">
        <v>18</v>
      </c>
      <c r="C166" s="19"/>
      <c r="D166" s="27"/>
      <c r="E166" s="20">
        <v>7.4999999999999997E-3</v>
      </c>
      <c r="F166" s="21">
        <f t="shared" si="52"/>
        <v>0</v>
      </c>
      <c r="G166" s="21">
        <f t="shared" si="51"/>
        <v>0</v>
      </c>
      <c r="H166" s="28"/>
      <c r="I166" s="22"/>
      <c r="J166" s="23">
        <v>1.4999999999999999E-2</v>
      </c>
      <c r="K166" s="24">
        <f t="shared" si="48"/>
        <v>0</v>
      </c>
      <c r="L166" s="24">
        <f t="shared" si="53"/>
        <v>0</v>
      </c>
    </row>
    <row r="167" spans="1:12" hidden="1" x14ac:dyDescent="0.25">
      <c r="A167" s="26"/>
      <c r="B167" s="19" t="s">
        <v>18</v>
      </c>
      <c r="C167" s="19"/>
      <c r="D167" s="27"/>
      <c r="E167" s="20">
        <v>7.4999999999999997E-3</v>
      </c>
      <c r="F167" s="21">
        <f t="shared" si="52"/>
        <v>0</v>
      </c>
      <c r="G167" s="21">
        <f t="shared" si="51"/>
        <v>0</v>
      </c>
      <c r="H167" s="28"/>
      <c r="I167" s="22"/>
      <c r="J167" s="23">
        <v>1.4999999999999999E-2</v>
      </c>
      <c r="K167" s="24">
        <f t="shared" si="48"/>
        <v>0</v>
      </c>
      <c r="L167" s="24">
        <f t="shared" si="53"/>
        <v>0</v>
      </c>
    </row>
    <row r="168" spans="1:12" hidden="1" x14ac:dyDescent="0.25">
      <c r="A168" s="26"/>
      <c r="B168" s="19" t="s">
        <v>18</v>
      </c>
      <c r="C168" s="19"/>
      <c r="D168" s="27"/>
      <c r="E168" s="20">
        <v>7.4999999999999997E-3</v>
      </c>
      <c r="F168" s="21">
        <f t="shared" si="52"/>
        <v>0</v>
      </c>
      <c r="G168" s="21">
        <f t="shared" si="51"/>
        <v>0</v>
      </c>
      <c r="H168" s="28"/>
      <c r="I168" s="22"/>
      <c r="J168" s="23">
        <v>1.4999999999999999E-2</v>
      </c>
      <c r="K168" s="24">
        <f t="shared" si="48"/>
        <v>0</v>
      </c>
      <c r="L168" s="24">
        <f>+(H168+I168)-K168</f>
        <v>0</v>
      </c>
    </row>
    <row r="169" spans="1:12" hidden="1" x14ac:dyDescent="0.25">
      <c r="A169" s="19"/>
      <c r="B169" s="19" t="s">
        <v>18</v>
      </c>
      <c r="C169" s="19"/>
      <c r="D169" s="19"/>
      <c r="E169" s="20">
        <v>7.4999999999999997E-3</v>
      </c>
      <c r="F169" s="21">
        <f t="shared" si="52"/>
        <v>0</v>
      </c>
      <c r="G169" s="21">
        <f t="shared" si="51"/>
        <v>0</v>
      </c>
      <c r="H169" s="22"/>
      <c r="I169" s="22"/>
      <c r="J169" s="23">
        <v>1.4999999999999999E-2</v>
      </c>
      <c r="K169" s="24">
        <f t="shared" si="48"/>
        <v>0</v>
      </c>
      <c r="L169" s="24">
        <f t="shared" ref="L169" si="54">+(H169+I169)-K169</f>
        <v>0</v>
      </c>
    </row>
    <row r="170" spans="1:12" hidden="1" x14ac:dyDescent="0.25">
      <c r="A170" s="19"/>
      <c r="B170" s="19" t="s">
        <v>18</v>
      </c>
      <c r="C170" s="19"/>
      <c r="D170" s="19"/>
      <c r="E170" s="20">
        <v>7.4999999999999997E-3</v>
      </c>
      <c r="F170" s="25"/>
      <c r="G170" s="68">
        <f>SUM(G156:G169)</f>
        <v>153890844.69150001</v>
      </c>
      <c r="H170" s="22"/>
      <c r="I170" s="22"/>
      <c r="J170" s="23">
        <v>1.4999999999999999E-2</v>
      </c>
      <c r="K170" s="24"/>
      <c r="L170" s="69">
        <f>SUM(L156:L169)</f>
        <v>462995205.59000003</v>
      </c>
    </row>
    <row r="171" spans="1:12" hidden="1" x14ac:dyDescent="0.25">
      <c r="A171" s="38"/>
      <c r="B171" s="38"/>
      <c r="C171" s="38"/>
      <c r="D171" s="38"/>
      <c r="E171" s="39"/>
      <c r="F171" s="40"/>
      <c r="G171" s="67"/>
      <c r="H171" s="41"/>
      <c r="I171" s="41"/>
      <c r="J171" s="42"/>
      <c r="K171" s="43"/>
      <c r="L171" s="43"/>
    </row>
    <row r="172" spans="1:12" hidden="1" x14ac:dyDescent="0.25">
      <c r="A172" s="38"/>
      <c r="B172" s="38"/>
      <c r="C172" s="38"/>
      <c r="D172" s="38"/>
      <c r="E172" s="39"/>
      <c r="F172" s="40"/>
      <c r="G172" s="40"/>
      <c r="H172" s="41"/>
      <c r="I172" s="41"/>
      <c r="J172" s="42"/>
      <c r="K172" s="43"/>
      <c r="L172" s="66">
        <f>J150</f>
        <v>2692981323.8252006</v>
      </c>
    </row>
    <row r="173" spans="1:12" hidden="1" x14ac:dyDescent="0.25">
      <c r="G173" s="63"/>
      <c r="H173" s="64"/>
      <c r="L173" s="35">
        <f>G170</f>
        <v>153890844.69150001</v>
      </c>
    </row>
    <row r="174" spans="1:12" hidden="1" x14ac:dyDescent="0.25">
      <c r="G174" s="63"/>
      <c r="H174" s="65"/>
      <c r="K174" s="12"/>
      <c r="L174" s="32">
        <f>L170</f>
        <v>462995205.59000003</v>
      </c>
    </row>
    <row r="175" spans="1:12" hidden="1" x14ac:dyDescent="0.25">
      <c r="G175" s="63"/>
      <c r="H175" s="65"/>
      <c r="K175" s="60" t="s">
        <v>24</v>
      </c>
      <c r="L175" s="44">
        <f>SUM(L172:L174)</f>
        <v>3309867374.1067009</v>
      </c>
    </row>
    <row r="176" spans="1:12" ht="15.75" x14ac:dyDescent="0.25">
      <c r="A176" s="61" t="s">
        <v>35</v>
      </c>
      <c r="B176" s="61"/>
      <c r="C176" s="61"/>
      <c r="D176" s="61"/>
      <c r="E176" s="61"/>
      <c r="F176" s="61"/>
      <c r="G176" s="61"/>
      <c r="H176" s="62"/>
      <c r="I176" s="62"/>
    </row>
    <row r="177" spans="1:11" ht="15.75" x14ac:dyDescent="0.25">
      <c r="A177" s="70" t="s">
        <v>9</v>
      </c>
      <c r="B177" s="73" t="s">
        <v>11</v>
      </c>
      <c r="C177" s="6"/>
      <c r="D177" s="6"/>
      <c r="E177" s="6"/>
      <c r="G177" s="70" t="s">
        <v>9</v>
      </c>
      <c r="H177" s="73" t="s">
        <v>11</v>
      </c>
      <c r="J177" s="6"/>
      <c r="K177" s="6"/>
    </row>
    <row r="178" spans="1:11" ht="15" customHeight="1" x14ac:dyDescent="0.25">
      <c r="A178" s="71"/>
      <c r="B178" s="74"/>
      <c r="C178" s="75"/>
      <c r="D178" s="76" t="s">
        <v>32</v>
      </c>
      <c r="E178" s="76" t="s">
        <v>21</v>
      </c>
      <c r="G178" s="71"/>
      <c r="H178" s="74"/>
      <c r="J178" s="76" t="s">
        <v>33</v>
      </c>
      <c r="K178" s="76" t="s">
        <v>34</v>
      </c>
    </row>
    <row r="179" spans="1:11" ht="15" customHeight="1" x14ac:dyDescent="0.25">
      <c r="A179" s="26">
        <v>44456</v>
      </c>
      <c r="B179" s="46" t="s">
        <v>18</v>
      </c>
      <c r="C179" s="6"/>
      <c r="D179" s="29">
        <v>0</v>
      </c>
      <c r="E179" s="29">
        <v>10097727.5</v>
      </c>
      <c r="G179" s="26">
        <v>44456</v>
      </c>
      <c r="H179" s="46" t="s">
        <v>19</v>
      </c>
      <c r="I179" s="53">
        <v>0</v>
      </c>
      <c r="J179" s="29">
        <v>237627073.023</v>
      </c>
      <c r="K179" s="6"/>
    </row>
    <row r="180" spans="1:11" ht="15" customHeight="1" x14ac:dyDescent="0.25">
      <c r="A180" s="26">
        <v>44457</v>
      </c>
      <c r="B180" s="46" t="s">
        <v>18</v>
      </c>
      <c r="C180" s="6"/>
      <c r="D180" s="29">
        <v>458079.24400000001</v>
      </c>
      <c r="E180" s="29">
        <v>33587909</v>
      </c>
      <c r="G180" s="26">
        <v>44457</v>
      </c>
      <c r="H180" s="46" t="s">
        <v>19</v>
      </c>
      <c r="I180" s="53">
        <v>0</v>
      </c>
      <c r="J180" s="29">
        <v>596447501.28069997</v>
      </c>
      <c r="K180" s="6"/>
    </row>
    <row r="181" spans="1:11" x14ac:dyDescent="0.25">
      <c r="A181" s="26">
        <v>44458</v>
      </c>
      <c r="B181" s="46" t="s">
        <v>18</v>
      </c>
      <c r="C181" s="6"/>
      <c r="D181" s="29">
        <v>1706111.47</v>
      </c>
      <c r="E181" s="29">
        <v>71197293.653999999</v>
      </c>
      <c r="G181" s="26">
        <v>44458</v>
      </c>
      <c r="H181" s="46" t="s">
        <v>19</v>
      </c>
      <c r="I181" s="53">
        <v>0</v>
      </c>
      <c r="J181" s="29">
        <v>298461053.00350004</v>
      </c>
      <c r="K181" s="6"/>
    </row>
    <row r="182" spans="1:11" x14ac:dyDescent="0.25">
      <c r="A182" s="26">
        <v>44459</v>
      </c>
      <c r="B182" s="46" t="s">
        <v>18</v>
      </c>
      <c r="C182" s="6"/>
      <c r="D182" s="29">
        <v>23358818.598000001</v>
      </c>
      <c r="E182" s="29">
        <v>29412100</v>
      </c>
      <c r="G182" s="26">
        <v>44459</v>
      </c>
      <c r="H182" s="46" t="s">
        <v>19</v>
      </c>
      <c r="I182" s="53">
        <v>0</v>
      </c>
      <c r="J182" s="29">
        <v>318454057.56</v>
      </c>
      <c r="K182" s="6"/>
    </row>
    <row r="183" spans="1:11" x14ac:dyDescent="0.25">
      <c r="A183" s="26">
        <v>44460</v>
      </c>
      <c r="B183" s="72" t="s">
        <v>18</v>
      </c>
      <c r="C183" s="6"/>
      <c r="D183" s="29">
        <v>28102673.8255</v>
      </c>
      <c r="E183" s="29">
        <v>50033839.359999999</v>
      </c>
      <c r="G183" s="26">
        <v>44460</v>
      </c>
      <c r="H183" s="46" t="s">
        <v>19</v>
      </c>
      <c r="I183" s="53">
        <v>0</v>
      </c>
      <c r="J183" s="29">
        <v>394248782.25849998</v>
      </c>
      <c r="K183" s="6"/>
    </row>
    <row r="184" spans="1:11" x14ac:dyDescent="0.25">
      <c r="A184" s="26">
        <v>44461</v>
      </c>
      <c r="B184" s="72" t="s">
        <v>18</v>
      </c>
      <c r="C184" s="6"/>
      <c r="D184" s="29">
        <v>26923035.370000001</v>
      </c>
      <c r="E184" s="29">
        <v>67605681.456</v>
      </c>
      <c r="G184" s="26">
        <v>44461</v>
      </c>
      <c r="H184" s="46" t="s">
        <v>19</v>
      </c>
      <c r="I184" s="53">
        <v>0</v>
      </c>
      <c r="J184" s="29">
        <v>294734191.68349999</v>
      </c>
      <c r="K184" s="6"/>
    </row>
    <row r="185" spans="1:11" x14ac:dyDescent="0.25">
      <c r="A185" s="26">
        <v>44462</v>
      </c>
      <c r="B185" s="72" t="s">
        <v>18</v>
      </c>
      <c r="C185" s="6"/>
      <c r="D185" s="29">
        <v>73342126.184</v>
      </c>
      <c r="E185" s="29">
        <v>201060654.62</v>
      </c>
      <c r="G185" s="26">
        <v>44462</v>
      </c>
      <c r="H185" s="46" t="s">
        <v>19</v>
      </c>
      <c r="I185" s="53">
        <v>0</v>
      </c>
      <c r="J185" s="29">
        <v>553008665.00999999</v>
      </c>
      <c r="K185" s="6"/>
    </row>
    <row r="186" spans="1:11" x14ac:dyDescent="0.25">
      <c r="A186" s="26">
        <v>44463</v>
      </c>
      <c r="B186" s="72" t="s">
        <v>18</v>
      </c>
      <c r="C186" s="6"/>
      <c r="D186" s="29">
        <v>77334359.375</v>
      </c>
      <c r="E186" s="29">
        <v>105373233.47</v>
      </c>
      <c r="G186" s="26">
        <v>44463</v>
      </c>
      <c r="H186" s="46" t="s">
        <v>19</v>
      </c>
      <c r="I186" s="53">
        <v>0</v>
      </c>
      <c r="J186" s="29">
        <v>1231546419.78075</v>
      </c>
      <c r="K186" s="6"/>
    </row>
    <row r="187" spans="1:11" x14ac:dyDescent="0.25">
      <c r="A187" s="26">
        <v>44464</v>
      </c>
      <c r="B187" s="72" t="s">
        <v>18</v>
      </c>
      <c r="C187" s="6"/>
      <c r="D187" s="29">
        <v>43769845.5</v>
      </c>
      <c r="E187" s="29">
        <v>43880678.8125</v>
      </c>
      <c r="G187" s="26">
        <v>44464</v>
      </c>
      <c r="H187" s="46" t="s">
        <v>19</v>
      </c>
      <c r="I187" s="53">
        <v>86340215.517241374</v>
      </c>
      <c r="J187" s="29">
        <v>1211289588.175</v>
      </c>
      <c r="K187" s="29">
        <v>86340215.517241374</v>
      </c>
    </row>
    <row r="188" spans="1:11" x14ac:dyDescent="0.25">
      <c r="A188" s="26">
        <v>44465</v>
      </c>
      <c r="B188" s="72" t="s">
        <v>18</v>
      </c>
      <c r="C188" s="6"/>
      <c r="D188" s="29">
        <v>25299279.068750001</v>
      </c>
      <c r="E188" s="29">
        <v>188240473.80000001</v>
      </c>
      <c r="G188" s="26">
        <v>44465</v>
      </c>
      <c r="H188" s="46" t="s">
        <v>19</v>
      </c>
      <c r="I188" s="53">
        <v>0</v>
      </c>
      <c r="J188" s="29">
        <v>553306526.12187505</v>
      </c>
      <c r="K188" s="29">
        <v>0</v>
      </c>
    </row>
    <row r="189" spans="1:11" x14ac:dyDescent="0.25">
      <c r="A189" s="26">
        <v>44466</v>
      </c>
      <c r="B189" s="72" t="s">
        <v>18</v>
      </c>
      <c r="C189" s="6"/>
      <c r="D189" s="29">
        <v>4456920.5</v>
      </c>
      <c r="E189" s="29">
        <v>144133584.8125</v>
      </c>
      <c r="G189" s="26">
        <v>44466</v>
      </c>
      <c r="H189" s="46" t="s">
        <v>19</v>
      </c>
      <c r="I189" s="53">
        <v>0</v>
      </c>
      <c r="J189" s="29">
        <v>281318236.99000001</v>
      </c>
      <c r="K189" s="29">
        <v>0</v>
      </c>
    </row>
    <row r="190" spans="1:11" x14ac:dyDescent="0.25">
      <c r="A190" s="26">
        <v>44467</v>
      </c>
      <c r="B190" s="72" t="s">
        <v>18</v>
      </c>
      <c r="C190" s="6"/>
      <c r="D190" s="29">
        <v>24111431.745000001</v>
      </c>
      <c r="E190" s="29">
        <v>115047531.14</v>
      </c>
      <c r="G190" s="91">
        <v>44467</v>
      </c>
      <c r="H190" s="92" t="s">
        <v>19</v>
      </c>
      <c r="I190" s="53">
        <v>6715529.8482758626</v>
      </c>
      <c r="J190" s="93">
        <v>570516210.38</v>
      </c>
      <c r="K190" s="93">
        <v>6715529.8482758626</v>
      </c>
    </row>
    <row r="191" spans="1:11" x14ac:dyDescent="0.25">
      <c r="A191" s="90">
        <v>44468</v>
      </c>
      <c r="B191" s="72" t="s">
        <v>18</v>
      </c>
      <c r="C191" s="12"/>
      <c r="D191" s="29">
        <v>40344731.572999999</v>
      </c>
      <c r="E191" s="29">
        <v>76796298.224999994</v>
      </c>
      <c r="G191" s="26">
        <v>44468</v>
      </c>
      <c r="H191" s="92" t="s">
        <v>19</v>
      </c>
      <c r="I191" s="29"/>
      <c r="J191" s="29">
        <v>583638257.73199999</v>
      </c>
      <c r="K191" s="29"/>
    </row>
    <row r="192" spans="1:11" x14ac:dyDescent="0.25">
      <c r="A192" s="90">
        <v>44469</v>
      </c>
      <c r="B192" s="72" t="s">
        <v>18</v>
      </c>
      <c r="C192" s="12"/>
      <c r="D192" s="29">
        <v>31194799.039999999</v>
      </c>
      <c r="E192" s="29">
        <v>586050514.08200002</v>
      </c>
      <c r="G192" s="26">
        <v>44469</v>
      </c>
      <c r="H192" s="92" t="s">
        <v>19</v>
      </c>
      <c r="I192" s="29"/>
      <c r="J192" s="29">
        <v>552123997.13915002</v>
      </c>
      <c r="K192" s="29"/>
    </row>
    <row r="193" spans="2:11" x14ac:dyDescent="0.25">
      <c r="B193" s="81" t="s">
        <v>24</v>
      </c>
      <c r="C193" s="62"/>
      <c r="D193" s="77">
        <f>SUM(D179:D192)</f>
        <v>400402211.49325007</v>
      </c>
      <c r="E193" s="77">
        <f>SUM(E179:E192)</f>
        <v>1722517519.9320002</v>
      </c>
      <c r="H193" s="78" t="s">
        <v>24</v>
      </c>
      <c r="J193" s="77">
        <f>SUM(J179:J192)</f>
        <v>7676720560.1379747</v>
      </c>
      <c r="K193" s="77">
        <f>SUM(K187:K192)</f>
        <v>93055745.365517229</v>
      </c>
    </row>
    <row r="194" spans="2:11" x14ac:dyDescent="0.25">
      <c r="B194" s="38"/>
      <c r="D194" s="79"/>
      <c r="E194" s="80"/>
    </row>
    <row r="195" spans="2:11" x14ac:dyDescent="0.25">
      <c r="B195" s="38"/>
      <c r="D195" s="63"/>
      <c r="E195" s="64"/>
      <c r="F195" s="43"/>
      <c r="G195" s="66">
        <f>D193+E193</f>
        <v>2122919731.4252503</v>
      </c>
    </row>
    <row r="196" spans="2:11" ht="12.75" customHeight="1" x14ac:dyDescent="0.25">
      <c r="B196" s="38"/>
      <c r="D196" s="63"/>
      <c r="E196" s="65"/>
      <c r="G196" s="35">
        <f>J193+K193</f>
        <v>7769776305.5034924</v>
      </c>
    </row>
    <row r="197" spans="2:11" ht="1.5" hidden="1" customHeight="1" x14ac:dyDescent="0.25">
      <c r="D197" s="63"/>
      <c r="E197" s="64"/>
      <c r="F197" s="12"/>
      <c r="G197" s="29"/>
    </row>
    <row r="198" spans="2:11" x14ac:dyDescent="0.25">
      <c r="F198" s="60" t="s">
        <v>24</v>
      </c>
      <c r="G198" s="44">
        <f>SUM(G195:G197)</f>
        <v>9892696036.9287434</v>
      </c>
    </row>
  </sheetData>
  <mergeCells count="12">
    <mergeCell ref="A154:A155"/>
    <mergeCell ref="B154:B155"/>
    <mergeCell ref="C154:G154"/>
    <mergeCell ref="H154:L154"/>
    <mergeCell ref="A36:A37"/>
    <mergeCell ref="B36:B37"/>
    <mergeCell ref="C36:G36"/>
    <mergeCell ref="H36:L36"/>
    <mergeCell ref="A95:A96"/>
    <mergeCell ref="B95:B96"/>
    <mergeCell ref="C95:G95"/>
    <mergeCell ref="H95:L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2021-10-06T13:33:22Z</cp:lastPrinted>
  <dcterms:created xsi:type="dcterms:W3CDTF">2021-08-31T11:34:36Z</dcterms:created>
  <dcterms:modified xsi:type="dcterms:W3CDTF">2021-10-06T13:35:41Z</dcterms:modified>
</cp:coreProperties>
</file>