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105" windowWidth="28515" windowHeight="12600" activeTab="1"/>
  </bookViews>
  <sheets>
    <sheet name="VENTAS" sheetId="2" r:id="rId1"/>
    <sheet name="COMPRAS" sheetId="3" r:id="rId2"/>
    <sheet name="CONSUMOS" sheetId="1" r:id="rId3"/>
  </sheets>
  <definedNames>
    <definedName name="_xlnm._FilterDatabase" localSheetId="2" hidden="1">CONSUMOS!#REF!</definedName>
  </definedNames>
  <calcPr calcId="144525"/>
</workbook>
</file>

<file path=xl/calcChain.xml><?xml version="1.0" encoding="utf-8"?>
<calcChain xmlns="http://schemas.openxmlformats.org/spreadsheetml/2006/main">
  <c r="O1169" i="1" l="1"/>
  <c r="J296" i="2" l="1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N305" i="2"/>
  <c r="H467" i="3"/>
  <c r="G1316" i="1"/>
  <c r="G1307" i="1" l="1"/>
  <c r="G1306" i="1"/>
  <c r="G1285" i="1"/>
  <c r="G1278" i="1"/>
  <c r="G1276" i="1"/>
  <c r="G1273" i="1"/>
  <c r="G1267" i="1"/>
  <c r="G1260" i="1"/>
  <c r="G1256" i="1"/>
  <c r="G1253" i="1"/>
  <c r="G1249" i="1"/>
  <c r="G1239" i="1"/>
  <c r="G1235" i="1"/>
  <c r="G1229" i="1"/>
  <c r="G1226" i="1"/>
  <c r="G1217" i="1"/>
  <c r="G1203" i="1"/>
  <c r="G1198" i="1"/>
  <c r="G1196" i="1"/>
  <c r="G1187" i="1"/>
  <c r="G1180" i="1"/>
  <c r="G1176" i="1"/>
  <c r="G1173" i="1"/>
  <c r="G1162" i="1"/>
  <c r="G1159" i="1"/>
  <c r="G1156" i="1"/>
  <c r="G1312" i="1"/>
  <c r="G1310" i="1"/>
  <c r="G1302" i="1"/>
  <c r="G1263" i="1"/>
  <c r="G1194" i="1"/>
  <c r="G1271" i="1"/>
  <c r="G1184" i="1"/>
  <c r="G1183" i="1"/>
  <c r="G1169" i="1"/>
  <c r="G1243" i="1"/>
  <c r="G1242" i="1"/>
  <c r="G1201" i="1"/>
  <c r="G1179" i="1"/>
  <c r="G1172" i="1"/>
  <c r="G1309" i="1"/>
  <c r="G1305" i="1"/>
  <c r="G1298" i="1"/>
  <c r="G1291" i="1"/>
  <c r="G1283" i="1"/>
  <c r="G1275" i="1"/>
  <c r="G1270" i="1"/>
  <c r="G1266" i="1"/>
  <c r="G1255" i="1"/>
  <c r="G1248" i="1"/>
  <c r="G1246" i="1"/>
  <c r="G1241" i="1"/>
  <c r="G1238" i="1"/>
  <c r="G1234" i="1"/>
  <c r="G1232" i="1"/>
  <c r="G1225" i="1"/>
  <c r="G1216" i="1"/>
  <c r="G1215" i="1"/>
  <c r="G1212" i="1"/>
  <c r="G1206" i="1"/>
  <c r="G1200" i="1"/>
  <c r="G1195" i="1"/>
  <c r="G1193" i="1"/>
  <c r="G1178" i="1"/>
  <c r="G1175" i="1"/>
  <c r="G1170" i="1"/>
  <c r="G1168" i="1"/>
  <c r="G1166" i="1"/>
  <c r="G1165" i="1"/>
  <c r="G1158" i="1"/>
  <c r="G1155" i="1"/>
  <c r="G1221" i="1"/>
  <c r="G1209" i="1"/>
  <c r="G1190" i="1"/>
  <c r="G1314" i="1"/>
  <c r="G1308" i="1"/>
  <c r="G1301" i="1"/>
  <c r="G1297" i="1"/>
  <c r="G1290" i="1"/>
  <c r="G1289" i="1"/>
  <c r="G1282" i="1"/>
  <c r="G1281" i="1"/>
  <c r="G1279" i="1"/>
  <c r="G1274" i="1"/>
  <c r="G1269" i="1"/>
  <c r="G1261" i="1"/>
  <c r="G1254" i="1"/>
  <c r="G1247" i="1"/>
  <c r="G1236" i="1"/>
  <c r="G1231" i="1"/>
  <c r="G1222" i="1"/>
  <c r="G1220" i="1"/>
  <c r="G1211" i="1"/>
  <c r="G1205" i="1"/>
  <c r="G1199" i="1"/>
  <c r="G1192" i="1"/>
  <c r="G1189" i="1"/>
  <c r="G1177" i="1"/>
  <c r="G1174" i="1"/>
  <c r="G1171" i="1"/>
  <c r="G1164" i="1"/>
  <c r="G1292" i="1"/>
  <c r="G1280" i="1"/>
  <c r="G1262" i="1"/>
  <c r="G1237" i="1"/>
  <c r="G1228" i="1"/>
  <c r="G1210" i="1"/>
  <c r="G1191" i="1"/>
  <c r="G1182" i="1"/>
  <c r="G1245" i="1"/>
  <c r="G1161" i="1"/>
  <c r="G1304" i="1"/>
  <c r="G1299" i="1"/>
  <c r="G1296" i="1"/>
  <c r="G1286" i="1"/>
  <c r="G1284" i="1"/>
  <c r="G1272" i="1"/>
  <c r="G1265" i="1"/>
  <c r="G1244" i="1"/>
  <c r="G1240" i="1"/>
  <c r="G1233" i="1"/>
  <c r="G1230" i="1"/>
  <c r="G1227" i="1"/>
  <c r="G1224" i="1"/>
  <c r="G1218" i="1"/>
  <c r="G1214" i="1"/>
  <c r="G1208" i="1"/>
  <c r="G1207" i="1"/>
  <c r="G1204" i="1"/>
  <c r="G1197" i="1"/>
  <c r="G1188" i="1"/>
  <c r="G1181" i="1"/>
  <c r="G1167" i="1"/>
  <c r="G1163" i="1"/>
  <c r="G1160" i="1"/>
  <c r="P1012" i="1" l="1"/>
  <c r="J262" i="2" l="1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H426" i="3"/>
  <c r="J290" i="2" l="1"/>
  <c r="G1033" i="1"/>
  <c r="G1093" i="1"/>
  <c r="G1127" i="1"/>
  <c r="G1121" i="1"/>
  <c r="G1084" i="1"/>
  <c r="G1143" i="1"/>
  <c r="G1134" i="1"/>
  <c r="G1132" i="1"/>
  <c r="G1128" i="1"/>
  <c r="G1125" i="1"/>
  <c r="G1122" i="1"/>
  <c r="G1114" i="1"/>
  <c r="G1106" i="1"/>
  <c r="G1095" i="1"/>
  <c r="G1077" i="1"/>
  <c r="G1074" i="1"/>
  <c r="G1071" i="1"/>
  <c r="G1069" i="1"/>
  <c r="G1064" i="1"/>
  <c r="G1060" i="1"/>
  <c r="G1059" i="1"/>
  <c r="G1055" i="1"/>
  <c r="G1053" i="1"/>
  <c r="G1042" i="1"/>
  <c r="G1036" i="1"/>
  <c r="G1034" i="1"/>
  <c r="G1029" i="1"/>
  <c r="G1027" i="1"/>
  <c r="G1025" i="1"/>
  <c r="G1020" i="1"/>
  <c r="G1013" i="1"/>
  <c r="G1007" i="1"/>
  <c r="G1005" i="1"/>
  <c r="G1000" i="1"/>
  <c r="G1050" i="1"/>
  <c r="G1044" i="1"/>
  <c r="G1112" i="1"/>
  <c r="G1004" i="1"/>
  <c r="G1142" i="1"/>
  <c r="G1133" i="1"/>
  <c r="G1126" i="1"/>
  <c r="G1124" i="1"/>
  <c r="G1113" i="1"/>
  <c r="G1103" i="1"/>
  <c r="G1097" i="1"/>
  <c r="G1078" i="1"/>
  <c r="G1070" i="1"/>
  <c r="G1068" i="1"/>
  <c r="G1056" i="1"/>
  <c r="G1054" i="1"/>
  <c r="G1041" i="1"/>
  <c r="G1035" i="1"/>
  <c r="G1030" i="1"/>
  <c r="G1028" i="1"/>
  <c r="G1019" i="1"/>
  <c r="G1011" i="1"/>
  <c r="G1008" i="1"/>
  <c r="G1006" i="1"/>
  <c r="G1002" i="1"/>
  <c r="G999" i="1"/>
  <c r="G1037" i="1"/>
  <c r="G1085" i="1"/>
  <c r="G1135" i="1"/>
  <c r="G1131" i="1"/>
  <c r="G1022" i="1"/>
  <c r="G1012" i="1"/>
  <c r="G1066" i="1"/>
  <c r="G1063" i="1"/>
  <c r="G1021" i="1"/>
  <c r="G1092" i="1"/>
  <c r="G1091" i="1"/>
  <c r="G1144" i="1"/>
  <c r="G1107" i="1"/>
  <c r="G1147" i="1"/>
  <c r="G1130" i="1"/>
  <c r="G1110" i="1"/>
  <c r="G1087" i="1"/>
  <c r="G1014" i="1"/>
  <c r="G1086" i="1"/>
  <c r="G1082" i="1"/>
  <c r="G1024" i="1"/>
  <c r="G1009" i="1"/>
  <c r="G1120" i="1"/>
  <c r="G1105" i="1"/>
  <c r="G1081" i="1"/>
  <c r="G1032" i="1"/>
  <c r="G1129" i="1"/>
  <c r="G1138" i="1"/>
  <c r="G1119" i="1"/>
  <c r="G1104" i="1"/>
  <c r="G1146" i="1"/>
  <c r="G1141" i="1"/>
  <c r="G1139" i="1"/>
  <c r="G1123" i="1"/>
  <c r="G1118" i="1"/>
  <c r="G1109" i="1"/>
  <c r="G1102" i="1"/>
  <c r="G1101" i="1"/>
  <c r="G1098" i="1"/>
  <c r="G1096" i="1"/>
  <c r="G1094" i="1"/>
  <c r="G1080" i="1"/>
  <c r="G1076" i="1"/>
  <c r="G1075" i="1"/>
  <c r="G1067" i="1"/>
  <c r="G1065" i="1"/>
  <c r="G1058" i="1"/>
  <c r="G1049" i="1"/>
  <c r="G1040" i="1"/>
  <c r="G1026" i="1"/>
  <c r="G1023" i="1"/>
  <c r="G1018" i="1"/>
  <c r="G1017" i="1"/>
  <c r="G998" i="1"/>
  <c r="G1137" i="1"/>
  <c r="G1116" i="1"/>
  <c r="G1001" i="1"/>
  <c r="G1016" i="1"/>
  <c r="G1145" i="1"/>
  <c r="G1136" i="1"/>
  <c r="G1115" i="1"/>
  <c r="G1108" i="1"/>
  <c r="G1100" i="1"/>
  <c r="G1072" i="1"/>
  <c r="G1061" i="1"/>
  <c r="G1057" i="1"/>
  <c r="G1048" i="1"/>
  <c r="G1043" i="1"/>
  <c r="G1039" i="1"/>
  <c r="G1031" i="1"/>
  <c r="G1003" i="1"/>
  <c r="G1149" i="1" l="1"/>
  <c r="P892" i="1"/>
  <c r="P893" i="1"/>
  <c r="P894" i="1"/>
  <c r="P890" i="1"/>
  <c r="P891" i="1"/>
  <c r="P889" i="1"/>
  <c r="P897" i="1" l="1"/>
  <c r="H379" i="3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G992" i="1"/>
  <c r="G988" i="1"/>
  <c r="G985" i="1"/>
  <c r="G980" i="1"/>
  <c r="G973" i="1"/>
  <c r="G968" i="1"/>
  <c r="G967" i="1"/>
  <c r="G962" i="1"/>
  <c r="G953" i="1"/>
  <c r="G947" i="1"/>
  <c r="G945" i="1"/>
  <c r="G940" i="1"/>
  <c r="G939" i="1"/>
  <c r="G930" i="1"/>
  <c r="G928" i="1"/>
  <c r="G926" i="1"/>
  <c r="G922" i="1"/>
  <c r="G919" i="1"/>
  <c r="G916" i="1"/>
  <c r="G906" i="1"/>
  <c r="G903" i="1"/>
  <c r="G902" i="1"/>
  <c r="G896" i="1"/>
  <c r="G894" i="1"/>
  <c r="G893" i="1"/>
  <c r="G891" i="1"/>
  <c r="G991" i="1"/>
  <c r="G984" i="1"/>
  <c r="G982" i="1"/>
  <c r="G979" i="1"/>
  <c r="G976" i="1"/>
  <c r="G972" i="1"/>
  <c r="G963" i="1"/>
  <c r="G961" i="1"/>
  <c r="G946" i="1"/>
  <c r="G938" i="1"/>
  <c r="G933" i="1"/>
  <c r="G931" i="1"/>
  <c r="G927" i="1"/>
  <c r="G925" i="1"/>
  <c r="G915" i="1"/>
  <c r="G892" i="1"/>
  <c r="G983" i="1"/>
  <c r="G977" i="1"/>
  <c r="G932" i="1"/>
  <c r="G897" i="1"/>
  <c r="G990" i="1"/>
  <c r="G970" i="1"/>
  <c r="G971" i="1"/>
  <c r="G948" i="1"/>
  <c r="G944" i="1"/>
  <c r="G911" i="1"/>
  <c r="G986" i="1"/>
  <c r="G952" i="1"/>
  <c r="G951" i="1"/>
  <c r="G901" i="1"/>
  <c r="G895" i="1"/>
  <c r="G960" i="1"/>
  <c r="G942" i="1"/>
  <c r="G937" i="1"/>
  <c r="G908" i="1"/>
  <c r="G989" i="1"/>
  <c r="G981" i="1"/>
  <c r="G974" i="1"/>
  <c r="G969" i="1"/>
  <c r="G965" i="1"/>
  <c r="G959" i="1"/>
  <c r="G958" i="1"/>
  <c r="G957" i="1"/>
  <c r="G956" i="1"/>
  <c r="G950" i="1"/>
  <c r="G934" i="1"/>
  <c r="G929" i="1"/>
  <c r="G924" i="1"/>
  <c r="G918" i="1"/>
  <c r="G917" i="1"/>
  <c r="G913" i="1"/>
  <c r="G907" i="1"/>
  <c r="G898" i="1"/>
  <c r="G955" i="1"/>
  <c r="G978" i="1"/>
  <c r="G954" i="1"/>
  <c r="G949" i="1"/>
  <c r="G941" i="1"/>
  <c r="G936" i="1"/>
  <c r="G923" i="1"/>
  <c r="G912" i="1"/>
  <c r="G910" i="1"/>
  <c r="G904" i="1"/>
  <c r="G900" i="1"/>
  <c r="J257" i="2" l="1"/>
  <c r="G993" i="1"/>
  <c r="L770" i="1"/>
  <c r="O770" i="1" s="1"/>
  <c r="L768" i="1"/>
  <c r="O768" i="1" s="1"/>
  <c r="L767" i="1"/>
  <c r="O767" i="1" s="1"/>
  <c r="L766" i="1"/>
  <c r="O766" i="1" s="1"/>
  <c r="L765" i="1"/>
  <c r="O765" i="1" s="1"/>
  <c r="L761" i="1"/>
  <c r="L762" i="1"/>
  <c r="O762" i="1" s="1"/>
  <c r="L763" i="1"/>
  <c r="O763" i="1" s="1"/>
  <c r="O772" i="1" l="1"/>
  <c r="G882" i="1"/>
  <c r="G874" i="1"/>
  <c r="G873" i="1"/>
  <c r="G879" i="1"/>
  <c r="G812" i="1" l="1"/>
  <c r="G803" i="1"/>
  <c r="G765" i="1"/>
  <c r="G802" i="1"/>
  <c r="G798" i="1"/>
  <c r="G810" i="1"/>
  <c r="G804" i="1"/>
  <c r="G788" i="1"/>
  <c r="G843" i="1"/>
  <c r="G836" i="1"/>
  <c r="G823" i="1"/>
  <c r="G815" i="1"/>
  <c r="G800" i="1"/>
  <c r="G760" i="1"/>
  <c r="G840" i="1"/>
  <c r="G819" i="1"/>
  <c r="G829" i="1"/>
  <c r="G820" i="1"/>
  <c r="G799" i="1"/>
  <c r="G786" i="1"/>
  <c r="G781" i="1"/>
  <c r="G775" i="1"/>
  <c r="G764" i="1"/>
  <c r="G828" i="1"/>
  <c r="G807" i="1"/>
  <c r="G841" i="1"/>
  <c r="G826" i="1"/>
  <c r="G834" i="1"/>
  <c r="J189" i="2"/>
  <c r="J190" i="2"/>
  <c r="J194" i="2"/>
  <c r="J195" i="2"/>
  <c r="J196" i="2"/>
  <c r="J197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G883" i="1" l="1"/>
  <c r="H325" i="3"/>
  <c r="B199" i="2" l="1"/>
  <c r="B198" i="2"/>
  <c r="E200" i="2"/>
  <c r="J200" i="2" s="1"/>
  <c r="E199" i="2"/>
  <c r="J199" i="2" s="1"/>
  <c r="E198" i="2"/>
  <c r="J198" i="2" s="1"/>
  <c r="E193" i="2"/>
  <c r="J193" i="2" s="1"/>
  <c r="E192" i="2"/>
  <c r="J192" i="2" s="1"/>
  <c r="E191" i="2"/>
  <c r="J191" i="2" s="1"/>
  <c r="J182" i="2"/>
  <c r="J220" i="2" l="1"/>
  <c r="L663" i="1"/>
  <c r="L662" i="1"/>
  <c r="L661" i="1"/>
  <c r="L660" i="1"/>
  <c r="L656" i="1"/>
  <c r="L655" i="1"/>
  <c r="L654" i="1"/>
  <c r="L653" i="1"/>
  <c r="L652" i="1"/>
  <c r="O667" i="1"/>
  <c r="H268" i="3" l="1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3" i="2" l="1"/>
  <c r="G739" i="1"/>
  <c r="G736" i="1"/>
  <c r="G729" i="1"/>
  <c r="G724" i="1"/>
  <c r="G723" i="1"/>
  <c r="G715" i="1"/>
  <c r="G705" i="1"/>
  <c r="G701" i="1"/>
  <c r="G696" i="1"/>
  <c r="G687" i="1"/>
  <c r="G683" i="1"/>
  <c r="G678" i="1"/>
  <c r="G675" i="1"/>
  <c r="G670" i="1"/>
  <c r="G669" i="1"/>
  <c r="G665" i="1"/>
  <c r="G663" i="1"/>
  <c r="G657" i="1"/>
  <c r="G718" i="1"/>
  <c r="G740" i="1"/>
  <c r="G661" i="1"/>
  <c r="G703" i="1"/>
  <c r="G698" i="1"/>
  <c r="O153" i="2"/>
  <c r="O152" i="2"/>
  <c r="G753" i="1" l="1"/>
  <c r="B174" i="2"/>
  <c r="O408" i="1" l="1"/>
  <c r="O406" i="1"/>
  <c r="O407" i="1"/>
  <c r="O405" i="1"/>
  <c r="O404" i="1"/>
  <c r="O403" i="1"/>
  <c r="O402" i="1"/>
  <c r="O399" i="1"/>
  <c r="O400" i="1"/>
  <c r="O401" i="1"/>
  <c r="O398" i="1"/>
  <c r="B159" i="2" l="1"/>
  <c r="B154" i="2" l="1"/>
  <c r="M407" i="1" l="1"/>
  <c r="M406" i="1"/>
  <c r="M405" i="1"/>
  <c r="M403" i="1"/>
  <c r="M402" i="1"/>
  <c r="M401" i="1"/>
  <c r="M400" i="1"/>
  <c r="M399" i="1"/>
  <c r="O538" i="1"/>
  <c r="N534" i="1"/>
  <c r="N535" i="1"/>
  <c r="N533" i="1"/>
  <c r="N531" i="1"/>
  <c r="N532" i="1"/>
  <c r="N530" i="1"/>
  <c r="N529" i="1"/>
  <c r="N528" i="1"/>
  <c r="L535" i="1"/>
  <c r="L534" i="1"/>
  <c r="L533" i="1"/>
  <c r="L532" i="1"/>
  <c r="L531" i="1"/>
  <c r="L530" i="1"/>
  <c r="J117" i="2"/>
  <c r="J118" i="2"/>
  <c r="J119" i="2"/>
  <c r="J120" i="2"/>
  <c r="J121" i="2"/>
  <c r="J122" i="2"/>
  <c r="J123" i="2"/>
  <c r="J124" i="2"/>
  <c r="J125" i="2"/>
  <c r="J126" i="2"/>
  <c r="J127" i="2"/>
  <c r="J129" i="2"/>
  <c r="J130" i="2"/>
  <c r="J131" i="2"/>
  <c r="J133" i="2"/>
  <c r="J134" i="2"/>
  <c r="J135" i="2"/>
  <c r="J136" i="2"/>
  <c r="J137" i="2"/>
  <c r="J139" i="2"/>
  <c r="J142" i="2"/>
  <c r="J144" i="2"/>
  <c r="J147" i="2"/>
  <c r="H219" i="3"/>
  <c r="G643" i="1"/>
  <c r="J79" i="2" l="1"/>
  <c r="E146" i="2"/>
  <c r="J146" i="2" s="1"/>
  <c r="E145" i="2"/>
  <c r="J145" i="2" s="1"/>
  <c r="B145" i="2"/>
  <c r="E143" i="2" l="1"/>
  <c r="J143" i="2" s="1"/>
  <c r="E141" i="2"/>
  <c r="J141" i="2" s="1"/>
  <c r="E140" i="2"/>
  <c r="J140" i="2" s="1"/>
  <c r="B140" i="2"/>
  <c r="E138" i="2"/>
  <c r="J138" i="2" s="1"/>
  <c r="F136" i="2"/>
  <c r="F137" i="2"/>
  <c r="F139" i="2"/>
  <c r="F142" i="2"/>
  <c r="F143" i="2"/>
  <c r="F144" i="2"/>
  <c r="F145" i="2"/>
  <c r="F146" i="2"/>
  <c r="F147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E132" i="2"/>
  <c r="J132" i="2" s="1"/>
  <c r="B132" i="2"/>
  <c r="E128" i="2"/>
  <c r="J128" i="2" s="1"/>
  <c r="F138" i="2" l="1"/>
  <c r="F140" i="2"/>
  <c r="J148" i="2"/>
  <c r="F141" i="2"/>
  <c r="F126" i="2"/>
  <c r="F127" i="2"/>
  <c r="F128" i="2"/>
  <c r="F129" i="2"/>
  <c r="F130" i="2"/>
  <c r="F131" i="2"/>
  <c r="F132" i="2"/>
  <c r="F133" i="2"/>
  <c r="F134" i="2"/>
  <c r="F135" i="2"/>
  <c r="H126" i="2"/>
  <c r="H127" i="2"/>
  <c r="H128" i="2"/>
  <c r="H129" i="2"/>
  <c r="H130" i="2"/>
  <c r="H131" i="2"/>
  <c r="H132" i="2"/>
  <c r="H133" i="2"/>
  <c r="H134" i="2"/>
  <c r="H135" i="2"/>
  <c r="I126" i="2"/>
  <c r="I127" i="2"/>
  <c r="I128" i="2"/>
  <c r="I129" i="2"/>
  <c r="I130" i="2"/>
  <c r="I131" i="2"/>
  <c r="I132" i="2"/>
  <c r="I133" i="2"/>
  <c r="I134" i="2"/>
  <c r="I135" i="2"/>
  <c r="F117" i="2"/>
  <c r="H117" i="2"/>
  <c r="I117" i="2"/>
  <c r="F118" i="2"/>
  <c r="H118" i="2"/>
  <c r="I118" i="2"/>
  <c r="F119" i="2"/>
  <c r="H119" i="2"/>
  <c r="I119" i="2"/>
  <c r="F120" i="2"/>
  <c r="H120" i="2"/>
  <c r="I120" i="2"/>
  <c r="F121" i="2"/>
  <c r="H121" i="2"/>
  <c r="I121" i="2"/>
  <c r="F122" i="2"/>
  <c r="H122" i="2"/>
  <c r="I122" i="2"/>
  <c r="I123" i="2"/>
  <c r="I124" i="2"/>
  <c r="I125" i="2"/>
  <c r="I79" i="2"/>
  <c r="H123" i="2"/>
  <c r="H124" i="2"/>
  <c r="H125" i="2"/>
  <c r="F123" i="2"/>
  <c r="F124" i="2"/>
  <c r="F125" i="2"/>
  <c r="G520" i="1" l="1"/>
  <c r="G479" i="1"/>
  <c r="G519" i="1"/>
  <c r="G514" i="1"/>
  <c r="G513" i="1"/>
  <c r="G512" i="1"/>
  <c r="G511" i="1"/>
  <c r="G505" i="1"/>
  <c r="G503" i="1"/>
  <c r="G496" i="1"/>
  <c r="G478" i="1"/>
  <c r="G477" i="1"/>
  <c r="G472" i="1"/>
  <c r="G466" i="1"/>
  <c r="G461" i="1"/>
  <c r="G454" i="1"/>
  <c r="G451" i="1"/>
  <c r="G441" i="1"/>
  <c r="G439" i="1"/>
  <c r="G521" i="1" l="1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7" i="2"/>
  <c r="J108" i="2"/>
  <c r="E106" i="2"/>
  <c r="J106" i="2" s="1"/>
  <c r="E105" i="2"/>
  <c r="J105" i="2" s="1"/>
  <c r="J109" i="2" s="1"/>
  <c r="H175" i="3" l="1"/>
  <c r="H177" i="3" s="1"/>
  <c r="F81" i="2" l="1"/>
  <c r="F82" i="2"/>
  <c r="I108" i="2" l="1"/>
  <c r="H108" i="2"/>
  <c r="F108" i="2"/>
  <c r="I107" i="2"/>
  <c r="H107" i="2"/>
  <c r="F107" i="2"/>
  <c r="I106" i="2"/>
  <c r="H106" i="2"/>
  <c r="F106" i="2"/>
  <c r="I105" i="2"/>
  <c r="H105" i="2"/>
  <c r="F105" i="2"/>
  <c r="I104" i="2"/>
  <c r="H104" i="2"/>
  <c r="F104" i="2"/>
  <c r="I103" i="2"/>
  <c r="H103" i="2"/>
  <c r="F103" i="2"/>
  <c r="I102" i="2"/>
  <c r="H102" i="2"/>
  <c r="F102" i="2"/>
  <c r="I101" i="2"/>
  <c r="H101" i="2"/>
  <c r="F101" i="2"/>
  <c r="I100" i="2"/>
  <c r="H100" i="2"/>
  <c r="F100" i="2"/>
  <c r="I99" i="2"/>
  <c r="H99" i="2"/>
  <c r="F99" i="2"/>
  <c r="I98" i="2"/>
  <c r="H98" i="2"/>
  <c r="F98" i="2"/>
  <c r="I97" i="2"/>
  <c r="H97" i="2"/>
  <c r="F97" i="2"/>
  <c r="I96" i="2"/>
  <c r="H96" i="2"/>
  <c r="F96" i="2"/>
  <c r="I95" i="2"/>
  <c r="H95" i="2"/>
  <c r="F95" i="2"/>
  <c r="I94" i="2"/>
  <c r="H94" i="2"/>
  <c r="F94" i="2"/>
  <c r="I93" i="2"/>
  <c r="H93" i="2"/>
  <c r="F93" i="2"/>
  <c r="I92" i="2"/>
  <c r="H92" i="2"/>
  <c r="F92" i="2"/>
  <c r="I91" i="2"/>
  <c r="H91" i="2"/>
  <c r="F91" i="2"/>
  <c r="I90" i="2"/>
  <c r="H90" i="2"/>
  <c r="F90" i="2"/>
  <c r="I89" i="2"/>
  <c r="H89" i="2"/>
  <c r="F89" i="2"/>
  <c r="I88" i="2"/>
  <c r="H88" i="2"/>
  <c r="F88" i="2"/>
  <c r="I87" i="2"/>
  <c r="H87" i="2"/>
  <c r="F87" i="2"/>
  <c r="I86" i="2"/>
  <c r="H86" i="2"/>
  <c r="F86" i="2"/>
  <c r="I85" i="2"/>
  <c r="H85" i="2"/>
  <c r="F85" i="2"/>
  <c r="I84" i="2"/>
  <c r="H84" i="2"/>
  <c r="F84" i="2"/>
  <c r="I83" i="2"/>
  <c r="H83" i="2"/>
  <c r="F83" i="2"/>
  <c r="I82" i="2"/>
  <c r="H82" i="2"/>
  <c r="I81" i="2"/>
  <c r="H81" i="2"/>
  <c r="I80" i="2"/>
  <c r="H80" i="2"/>
  <c r="F80" i="2"/>
  <c r="H79" i="2"/>
  <c r="F79" i="2"/>
  <c r="G384" i="1" l="1"/>
  <c r="G385" i="1"/>
  <c r="G386" i="1"/>
  <c r="G387" i="1"/>
  <c r="G388" i="1"/>
  <c r="G389" i="1"/>
  <c r="G390" i="1"/>
  <c r="D379" i="1"/>
  <c r="D376" i="1"/>
  <c r="G372" i="1" l="1"/>
  <c r="G373" i="1"/>
  <c r="G374" i="1"/>
  <c r="G375" i="1"/>
  <c r="G376" i="1"/>
  <c r="G377" i="1"/>
  <c r="G378" i="1"/>
  <c r="G379" i="1"/>
  <c r="G380" i="1"/>
  <c r="G381" i="1"/>
  <c r="G382" i="1"/>
  <c r="G383" i="1"/>
  <c r="G364" i="1"/>
  <c r="G365" i="1"/>
  <c r="G366" i="1"/>
  <c r="G367" i="1"/>
  <c r="G368" i="1"/>
  <c r="G369" i="1"/>
  <c r="G370" i="1"/>
  <c r="G371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I307" i="1" l="1"/>
  <c r="I299" i="1"/>
  <c r="D297" i="1" l="1"/>
  <c r="G297" i="1" s="1"/>
  <c r="D296" i="1"/>
  <c r="G296" i="1" s="1"/>
  <c r="H116" i="3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H62" i="2"/>
  <c r="I62" i="2"/>
  <c r="H63" i="2"/>
  <c r="I63" i="2"/>
  <c r="H64" i="2"/>
  <c r="I64" i="2"/>
  <c r="H65" i="2"/>
  <c r="I65" i="2"/>
  <c r="H66" i="2"/>
  <c r="I66" i="2"/>
  <c r="H67" i="2"/>
  <c r="I67" i="2"/>
  <c r="H68" i="2"/>
  <c r="I68" i="2"/>
  <c r="H69" i="2"/>
  <c r="I69" i="2"/>
  <c r="H70" i="2"/>
  <c r="I70" i="2"/>
  <c r="F65" i="2"/>
  <c r="F66" i="2"/>
  <c r="F67" i="2"/>
  <c r="F68" i="2"/>
  <c r="F69" i="2"/>
  <c r="F70" i="2"/>
  <c r="F62" i="2"/>
  <c r="F63" i="2"/>
  <c r="F64" i="2"/>
  <c r="G316" i="1" l="1"/>
  <c r="G391" i="1"/>
  <c r="M86" i="2"/>
  <c r="J71" i="2"/>
  <c r="H117" i="3" s="1"/>
  <c r="M53" i="2"/>
  <c r="F65" i="3"/>
  <c r="I51" i="2" l="1"/>
  <c r="I52" i="2"/>
  <c r="I53" i="2"/>
  <c r="I54" i="2"/>
  <c r="I55" i="2"/>
  <c r="I56" i="2"/>
  <c r="I57" i="2"/>
  <c r="I58" i="2"/>
  <c r="I59" i="2"/>
  <c r="I60" i="2"/>
  <c r="I61" i="2"/>
  <c r="H51" i="2"/>
  <c r="H52" i="2"/>
  <c r="H53" i="2"/>
  <c r="H54" i="2"/>
  <c r="H55" i="2"/>
  <c r="H56" i="2"/>
  <c r="H57" i="2"/>
  <c r="H58" i="2"/>
  <c r="H59" i="2"/>
  <c r="H60" i="2"/>
  <c r="H61" i="2"/>
  <c r="F61" i="2"/>
  <c r="F51" i="2"/>
  <c r="F52" i="2"/>
  <c r="F53" i="2"/>
  <c r="F54" i="2"/>
  <c r="F55" i="2"/>
  <c r="F56" i="2"/>
  <c r="F57" i="2"/>
  <c r="F58" i="2"/>
  <c r="F59" i="2"/>
  <c r="F60" i="2"/>
  <c r="I201" i="1" l="1"/>
  <c r="F40" i="2"/>
  <c r="H40" i="2"/>
  <c r="I40" i="2"/>
  <c r="F41" i="2"/>
  <c r="H41" i="2"/>
  <c r="I41" i="2"/>
  <c r="F42" i="2"/>
  <c r="H42" i="2"/>
  <c r="I42" i="2"/>
  <c r="F43" i="2"/>
  <c r="H43" i="2"/>
  <c r="I43" i="2"/>
  <c r="F44" i="2"/>
  <c r="H44" i="2"/>
  <c r="I44" i="2"/>
  <c r="F45" i="2"/>
  <c r="H45" i="2"/>
  <c r="I45" i="2"/>
  <c r="F46" i="2"/>
  <c r="H46" i="2"/>
  <c r="I46" i="2"/>
  <c r="F47" i="2"/>
  <c r="H47" i="2"/>
  <c r="I47" i="2"/>
  <c r="F48" i="2"/>
  <c r="H48" i="2"/>
  <c r="I48" i="2"/>
  <c r="F49" i="2"/>
  <c r="H49" i="2"/>
  <c r="I49" i="2"/>
  <c r="F50" i="2"/>
  <c r="H50" i="2"/>
  <c r="I50" i="2"/>
  <c r="G22" i="1"/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F34" i="2"/>
  <c r="G175" i="1" l="1"/>
  <c r="F20" i="2"/>
  <c r="F4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 l="1"/>
  <c r="B5" i="2"/>
  <c r="F5" i="2" s="1"/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</calcChain>
</file>

<file path=xl/sharedStrings.xml><?xml version="1.0" encoding="utf-8"?>
<sst xmlns="http://schemas.openxmlformats.org/spreadsheetml/2006/main" count="5917" uniqueCount="1132">
  <si>
    <t>Fecha</t>
  </si>
  <si>
    <t>Nro Facturas</t>
  </si>
  <si>
    <t>Subtotal</t>
  </si>
  <si>
    <t>Impuesto</t>
  </si>
  <si>
    <t>Total</t>
  </si>
  <si>
    <t>Promedio_Factura</t>
  </si>
  <si>
    <t>TASA</t>
  </si>
  <si>
    <t>SUBTOTAL $</t>
  </si>
  <si>
    <t>IVA $</t>
  </si>
  <si>
    <t>TOTAL$</t>
  </si>
  <si>
    <t>FECHA</t>
  </si>
  <si>
    <t>PRODUCTO</t>
  </si>
  <si>
    <t>PERSONAL</t>
  </si>
  <si>
    <t>Documento</t>
  </si>
  <si>
    <t>Cliente</t>
  </si>
  <si>
    <t>Sucursal</t>
  </si>
  <si>
    <t>Usuario</t>
  </si>
  <si>
    <t>Vendedor</t>
  </si>
  <si>
    <t>01072021YU</t>
  </si>
  <si>
    <t>OPAN BOUTIQUE, C.A.</t>
  </si>
  <si>
    <t>HIPERMODELO, C.A. TIENDA</t>
  </si>
  <si>
    <t>BRENDA PEREZ</t>
  </si>
  <si>
    <t>N/A</t>
  </si>
  <si>
    <t>01072021JJ</t>
  </si>
  <si>
    <t>ISABEL LOPEZ</t>
  </si>
  <si>
    <t>02072021ÑP</t>
  </si>
  <si>
    <t>02072021ft</t>
  </si>
  <si>
    <t>03072021ft</t>
  </si>
  <si>
    <t>03072021cf</t>
  </si>
  <si>
    <t>03072021ui</t>
  </si>
  <si>
    <t>03072021xz</t>
  </si>
  <si>
    <t>05072021d</t>
  </si>
  <si>
    <t>05072021BC</t>
  </si>
  <si>
    <t>05072021fg</t>
  </si>
  <si>
    <t>06072021ui</t>
  </si>
  <si>
    <t>06072021yu</t>
  </si>
  <si>
    <t>07072021cv</t>
  </si>
  <si>
    <t>07072021xs</t>
  </si>
  <si>
    <t>08072021bi</t>
  </si>
  <si>
    <t>08072021sd</t>
  </si>
  <si>
    <t>08072021MM</t>
  </si>
  <si>
    <t>09072021lo</t>
  </si>
  <si>
    <t>09072021M</t>
  </si>
  <si>
    <t>09072021xc</t>
  </si>
  <si>
    <t>10072021D</t>
  </si>
  <si>
    <t>10072021lo</t>
  </si>
  <si>
    <t>10072021oi</t>
  </si>
  <si>
    <t>12072021bh</t>
  </si>
  <si>
    <t>12072021vh</t>
  </si>
  <si>
    <t>13072021df</t>
  </si>
  <si>
    <t>14072021LO</t>
  </si>
  <si>
    <t>15072021KL</t>
  </si>
  <si>
    <t>16072021bv</t>
  </si>
  <si>
    <t>16072021ty</t>
  </si>
  <si>
    <t>17072021er</t>
  </si>
  <si>
    <t>17072021cf</t>
  </si>
  <si>
    <t>17072021eq</t>
  </si>
  <si>
    <t>19072021l</t>
  </si>
  <si>
    <t>19072021x</t>
  </si>
  <si>
    <t>19072021kl</t>
  </si>
  <si>
    <t>20072021ff</t>
  </si>
  <si>
    <t>20072021df</t>
  </si>
  <si>
    <t>21072021lk</t>
  </si>
  <si>
    <t>21072021sg</t>
  </si>
  <si>
    <t>22072021pp</t>
  </si>
  <si>
    <t>22072021XS</t>
  </si>
  <si>
    <t>24072021xc</t>
  </si>
  <si>
    <t>24072021ed</t>
  </si>
  <si>
    <t>25072021</t>
  </si>
  <si>
    <t>26072021o</t>
  </si>
  <si>
    <t>26072021xd</t>
  </si>
  <si>
    <t>26072021MO</t>
  </si>
  <si>
    <t>27072021j</t>
  </si>
  <si>
    <t>27072021Q</t>
  </si>
  <si>
    <t>28072021hg</t>
  </si>
  <si>
    <t>29072021LL</t>
  </si>
  <si>
    <t>29072021ss</t>
  </si>
  <si>
    <t>29072021ui</t>
  </si>
  <si>
    <t>30072021GT</t>
  </si>
  <si>
    <t>30072021gf</t>
  </si>
  <si>
    <t>31072021ki</t>
  </si>
  <si>
    <t>31072021WW</t>
  </si>
  <si>
    <t>31072021IU</t>
  </si>
  <si>
    <t xml:space="preserve">1/7/2021 </t>
  </si>
  <si>
    <t xml:space="preserve">2/7/2021 </t>
  </si>
  <si>
    <t>2/7/2021</t>
  </si>
  <si>
    <t xml:space="preserve">3/7/2021 </t>
  </si>
  <si>
    <t xml:space="preserve">5/7/2021 </t>
  </si>
  <si>
    <t xml:space="preserve">6/7/2021 </t>
  </si>
  <si>
    <t>6/7/2021</t>
  </si>
  <si>
    <t>7/7/2021</t>
  </si>
  <si>
    <t xml:space="preserve">7/7/2021 </t>
  </si>
  <si>
    <t xml:space="preserve">8/7/2021 </t>
  </si>
  <si>
    <t>8/7/2021</t>
  </si>
  <si>
    <t xml:space="preserve">9/7/2021 </t>
  </si>
  <si>
    <t>9/7/2021</t>
  </si>
  <si>
    <t>10/7/2021</t>
  </si>
  <si>
    <t xml:space="preserve">10/7/2021 </t>
  </si>
  <si>
    <t xml:space="preserve">12/7/2021 </t>
  </si>
  <si>
    <t xml:space="preserve">13/7/2021 </t>
  </si>
  <si>
    <t xml:space="preserve">14/7/2021 </t>
  </si>
  <si>
    <t xml:space="preserve">15/7/2021 </t>
  </si>
  <si>
    <t xml:space="preserve">16/7/2021 </t>
  </si>
  <si>
    <t xml:space="preserve">17/7/2021 </t>
  </si>
  <si>
    <t>17/7/2021</t>
  </si>
  <si>
    <t xml:space="preserve">19/7/2021 </t>
  </si>
  <si>
    <t xml:space="preserve">20/7/2021 </t>
  </si>
  <si>
    <t>21/7/2021</t>
  </si>
  <si>
    <t xml:space="preserve">22/7/2021 </t>
  </si>
  <si>
    <t xml:space="preserve">21/7/2021 </t>
  </si>
  <si>
    <t>22/7/2021</t>
  </si>
  <si>
    <t xml:space="preserve">24/7/2021 </t>
  </si>
  <si>
    <t xml:space="preserve">26/7/2021 </t>
  </si>
  <si>
    <t>26/7/2021</t>
  </si>
  <si>
    <t xml:space="preserve">27/7/2021 </t>
  </si>
  <si>
    <t>27/7/2021</t>
  </si>
  <si>
    <t>28/7/2021</t>
  </si>
  <si>
    <t xml:space="preserve">29/7/2021 </t>
  </si>
  <si>
    <t xml:space="preserve">30/7/2021 </t>
  </si>
  <si>
    <t xml:space="preserve">31/7/2021 </t>
  </si>
  <si>
    <t>31/7/2021</t>
  </si>
  <si>
    <t>CANTIDAD</t>
  </si>
  <si>
    <t>JOSE CUEVAS</t>
  </si>
  <si>
    <t>LUIS FERNANDO MANZANARES</t>
  </si>
  <si>
    <t>EXPRESS BURGUER</t>
  </si>
  <si>
    <t>COMBO DE EMPANADAS</t>
  </si>
  <si>
    <t>COMBO DE PASTELITO DE QUESO</t>
  </si>
  <si>
    <t>DULCES GRANDES</t>
  </si>
  <si>
    <t>CHURRASCO</t>
  </si>
  <si>
    <t>FREDDY QUINTERO</t>
  </si>
  <si>
    <t>WILLIAMS TORREALBA</t>
  </si>
  <si>
    <t>RACION DE PAPAS</t>
  </si>
  <si>
    <t>REFRESCO GOLDEN 1.5</t>
  </si>
  <si>
    <t>SOPA DEL DIA</t>
  </si>
  <si>
    <t>EMPANADAS</t>
  </si>
  <si>
    <t>PERRO CALIENTE EXPRESS</t>
  </si>
  <si>
    <t>PASTELITO ANDINO</t>
  </si>
  <si>
    <t>MILANESA</t>
  </si>
  <si>
    <t>CHESSE BACON BURGUER</t>
  </si>
  <si>
    <t>COCA-COLA LATA</t>
  </si>
  <si>
    <t>COMBO PASTELITO DE POLLO</t>
  </si>
  <si>
    <t>Columna1</t>
  </si>
  <si>
    <t>MES:</t>
  </si>
  <si>
    <t>Agosto</t>
  </si>
  <si>
    <t>ID</t>
  </si>
  <si>
    <t>02082021dd</t>
  </si>
  <si>
    <t>2/8/2021 2:12:05 p. m.</t>
  </si>
  <si>
    <t>J402090625</t>
  </si>
  <si>
    <t>02082021WW</t>
  </si>
  <si>
    <t>2/8/2021 3:47:44 p. m.</t>
  </si>
  <si>
    <t>03082021sw</t>
  </si>
  <si>
    <t>3/8/2021 2:25:02 p. m.</t>
  </si>
  <si>
    <t>03082021we</t>
  </si>
  <si>
    <t>3/8/2021 2:50:26 p. m.</t>
  </si>
  <si>
    <t>04082021yu</t>
  </si>
  <si>
    <t>4/8/2021 4:26:32 p. m.</t>
  </si>
  <si>
    <t>04082021RR</t>
  </si>
  <si>
    <t>5/8/2021 9:35:30 a. m.</t>
  </si>
  <si>
    <t>05082021TT</t>
  </si>
  <si>
    <t>5/8/2021 10:53:38 a. m.</t>
  </si>
  <si>
    <t>05082021SA</t>
  </si>
  <si>
    <t>5/8/2021 2:34:29 p. m.</t>
  </si>
  <si>
    <t>05082021yt</t>
  </si>
  <si>
    <t>5/8/2021 3:29:54 p. m.</t>
  </si>
  <si>
    <t>05082021cv</t>
  </si>
  <si>
    <t>5/8/2021 4:29:31 p. m.</t>
  </si>
  <si>
    <t>06082021ZZ</t>
  </si>
  <si>
    <t>6/8/2021 3:30:45 p. m.</t>
  </si>
  <si>
    <t>06082021NN</t>
  </si>
  <si>
    <t>6/8/2021 4:51:06 p. m.</t>
  </si>
  <si>
    <t>07082021BB</t>
  </si>
  <si>
    <t>7/8/2021 2:18:20 p. m.</t>
  </si>
  <si>
    <t>09082021O</t>
  </si>
  <si>
    <t>9/8/2021 3:09:39 p. m.</t>
  </si>
  <si>
    <t>09082021P</t>
  </si>
  <si>
    <t>9/8/2021 3:21:08 p. m.</t>
  </si>
  <si>
    <t>10082021Q</t>
  </si>
  <si>
    <t>10/8/2021 2:03:50 p. m.</t>
  </si>
  <si>
    <t>11082021cx</t>
  </si>
  <si>
    <t>11/8/2021 3:21:05 p. m.</t>
  </si>
  <si>
    <t xml:space="preserve">PRODUCTO </t>
  </si>
  <si>
    <t xml:space="preserve">FECHA </t>
  </si>
  <si>
    <t xml:space="preserve">COMBO PASTELITO DE QUESO </t>
  </si>
  <si>
    <t xml:space="preserve">SOPA DEL DIA </t>
  </si>
  <si>
    <t xml:space="preserve">MALTIN POLAR RET 222ML </t>
  </si>
  <si>
    <t xml:space="preserve">CAFÉ CON LECHE GRANDE </t>
  </si>
  <si>
    <t>CAFÉ MARRON CLARO GDE</t>
  </si>
  <si>
    <t>COSTO UNITARIO</t>
  </si>
  <si>
    <t>JUGOS NATURALES</t>
  </si>
  <si>
    <t>CHOCOLATE CON LECHE 30 GR</t>
  </si>
  <si>
    <t>COMBO DE PASTELITO CON CARNE MOLIDA</t>
  </si>
  <si>
    <t>PROMO 2 PERROS X 1$</t>
  </si>
  <si>
    <t>REFRESCO RETORNABLE DE BOTELLA</t>
  </si>
  <si>
    <t>ENSALADA CESAR</t>
  </si>
  <si>
    <t>CAFÉ CON LECHE PEQ</t>
  </si>
  <si>
    <t>CAFÉ MARRON OSCURO GDE</t>
  </si>
  <si>
    <t>ANIS CARTUJO 1LT</t>
  </si>
  <si>
    <t>KID´S CHICKEN NUGGETS+ REFRESCO</t>
  </si>
  <si>
    <t>TOBO 10 + 4 EXPRESS BURGUER</t>
  </si>
  <si>
    <t>PIZZA BOCA´S FOODS MED</t>
  </si>
  <si>
    <t>CHESSE BACCON BURGUER</t>
  </si>
  <si>
    <t>POLAR PILSEN NEGRA</t>
  </si>
  <si>
    <t>AGUA MINALBA  600 ML</t>
  </si>
  <si>
    <t>GATORADE MANDARINA</t>
  </si>
  <si>
    <t>LIPTON DURAZNO 500 ML</t>
  </si>
  <si>
    <t>YUKERY BOTELLA 250 ML</t>
  </si>
  <si>
    <t>PASTICHO DE CARNE</t>
  </si>
  <si>
    <t>VALE MILAGROS Y YORMAN</t>
  </si>
  <si>
    <t>DULCES MEDIANOS VARIDOS</t>
  </si>
  <si>
    <t>AUTORIZADO POR ANITA</t>
  </si>
  <si>
    <t>AGUA MINALBA 600 ML</t>
  </si>
  <si>
    <t>PIZZA PEPERONI MED</t>
  </si>
  <si>
    <t>REFRESCO RETORNABLE BOTELLA</t>
  </si>
  <si>
    <t>AGUA MINALBA 355 ML</t>
  </si>
  <si>
    <t>PIZZA PEPERONI GDE</t>
  </si>
  <si>
    <t>CAFÉ MARRON CLARO PEQ</t>
  </si>
  <si>
    <t>MALTA 222ML</t>
  </si>
  <si>
    <t>COMBO DE PASTELITO CARNE MOLIDA</t>
  </si>
  <si>
    <t>ENSLADA CESAR CON POLLO</t>
  </si>
  <si>
    <t>CAFÉ CON LECHE GDE</t>
  </si>
  <si>
    <t>PIZZA VEGETARIANA GDE</t>
  </si>
  <si>
    <t>REFRESCO X VASO GDE B.I.B</t>
  </si>
  <si>
    <t>ENSALADA CESAR CON POLO</t>
  </si>
  <si>
    <t>TOTAL:</t>
  </si>
  <si>
    <t>PIZZA MARGARITA GDE</t>
  </si>
  <si>
    <t>COMBO DE PASTELITO DE CARNE MOLIDA</t>
  </si>
  <si>
    <t>PROMO 2 PERROS + BEBIDA</t>
  </si>
  <si>
    <t>COMBO DE PASTELITO ANDINO</t>
  </si>
  <si>
    <t>COMBO DE PASTELITOS CARNE MOLIDA</t>
  </si>
  <si>
    <t>PIZZA MARGARITA MED</t>
  </si>
  <si>
    <t>ventas: JULIO 2021</t>
  </si>
  <si>
    <t>Compras: JULIO 2021</t>
  </si>
  <si>
    <t>EMPRESA: BOCAS</t>
  </si>
  <si>
    <t>EMPRESA : BOCAS</t>
  </si>
  <si>
    <t>CONSUMO INTERNO: JULIO 2021</t>
  </si>
  <si>
    <t xml:space="preserve">LUIS FERNANDO </t>
  </si>
  <si>
    <t>DIVISAS</t>
  </si>
  <si>
    <t>DIVISA</t>
  </si>
  <si>
    <t>COMPRAS AGOSTO 2021</t>
  </si>
  <si>
    <t>VENTAS AGOSTO 2021</t>
  </si>
  <si>
    <t>CONSUMO INTERNO: AGOSTO 2021</t>
  </si>
  <si>
    <t>12082021ññ</t>
  </si>
  <si>
    <t>12/8/2021 3:11:29 p. m.</t>
  </si>
  <si>
    <t>12082021op</t>
  </si>
  <si>
    <t>12/8/2021 3:23:49 p. m.</t>
  </si>
  <si>
    <t>13082021gd</t>
  </si>
  <si>
    <t>13/8/2021 4:08:13 p. m.</t>
  </si>
  <si>
    <t>14082021mi</t>
  </si>
  <si>
    <t>14/8/2021 1:50:36 p. m.</t>
  </si>
  <si>
    <t>14082021pl</t>
  </si>
  <si>
    <t>14/8/2021 2:03:01 p. m.</t>
  </si>
  <si>
    <t>16082021ty</t>
  </si>
  <si>
    <t>16/8/2021 4:26:12 p. m.</t>
  </si>
  <si>
    <t>17082021H</t>
  </si>
  <si>
    <t>17/8/2021 9:04:00 a. m.</t>
  </si>
  <si>
    <t>17082021JK</t>
  </si>
  <si>
    <t>17/8/2021 3:55:03 p. m.</t>
  </si>
  <si>
    <t>19082021gg</t>
  </si>
  <si>
    <t>19/8/2021 10:27:33 a. m.</t>
  </si>
  <si>
    <t>19082021mn</t>
  </si>
  <si>
    <t>19/8/2021 11:37:07 a. m.</t>
  </si>
  <si>
    <t>19082021ñl</t>
  </si>
  <si>
    <t>19/8/2021 12:56:45 p. m.</t>
  </si>
  <si>
    <t>19082021VF</t>
  </si>
  <si>
    <t>19/8/2021 4:09:53 p. m.</t>
  </si>
  <si>
    <t>20082021sa</t>
  </si>
  <si>
    <t>20/8/2021 3:32:57 p. m.</t>
  </si>
  <si>
    <t>20082021xx</t>
  </si>
  <si>
    <t>20/8/2021 3:38:35 p. m.</t>
  </si>
  <si>
    <t>21082021bb</t>
  </si>
  <si>
    <t>21/8/2021 2:55:33 p. m.</t>
  </si>
  <si>
    <t>21082021lk</t>
  </si>
  <si>
    <t>21/8/2021 3:02:27 p. m.</t>
  </si>
  <si>
    <t>21082021ff</t>
  </si>
  <si>
    <t>21/8/2021 3:06:16 p. m.</t>
  </si>
  <si>
    <t>21082021xx</t>
  </si>
  <si>
    <t>21/8/2021 3:33:47 p. m.</t>
  </si>
  <si>
    <t>CAFÉ AMERICANO GDE</t>
  </si>
  <si>
    <t>23082021ki</t>
  </si>
  <si>
    <t>23/8/2021 4:29:15 p. m.</t>
  </si>
  <si>
    <t>23082021lo</t>
  </si>
  <si>
    <t>23/8/2021 4:52:58 p. m.</t>
  </si>
  <si>
    <t>24082021ñp</t>
  </si>
  <si>
    <t>25/8/2021 11:11:51 a. m.</t>
  </si>
  <si>
    <t>25082021ju</t>
  </si>
  <si>
    <t>25/8/2021 4:34:01 p. m.</t>
  </si>
  <si>
    <t>26082021zz</t>
  </si>
  <si>
    <t>26/8/2021 11:37:22 a. m.</t>
  </si>
  <si>
    <t>26082021vg</t>
  </si>
  <si>
    <t>26/8/2021 3:50:14 p. m.</t>
  </si>
  <si>
    <t>28082021HY</t>
  </si>
  <si>
    <t>28/8/2021 1:47:05 p. m.</t>
  </si>
  <si>
    <t>28082021PP</t>
  </si>
  <si>
    <t>28/8/2021 1:56:50 p. m.</t>
  </si>
  <si>
    <t>30082021kl</t>
  </si>
  <si>
    <t>30/8/2021 3:53:16 p. m.</t>
  </si>
  <si>
    <t>31082021ju</t>
  </si>
  <si>
    <t>31/8/2021 4:29:30 p. m.</t>
  </si>
  <si>
    <t>TOBO POLAR PILSEN NEGRA 222ML</t>
  </si>
  <si>
    <t>PABLO DA SILVA</t>
  </si>
  <si>
    <t>AGUA MINALBA 600ML</t>
  </si>
  <si>
    <t>CAFÉ MARRON OSCURO PEQ</t>
  </si>
  <si>
    <t>MONDONGO</t>
  </si>
  <si>
    <t xml:space="preserve">CAFÉ CON LECHE GDE </t>
  </si>
  <si>
    <t>YESQUERO</t>
  </si>
  <si>
    <t>MALTA SIN ALCOHOL MALTIN 250ML</t>
  </si>
  <si>
    <t>LUIS FERNANDO</t>
  </si>
  <si>
    <t xml:space="preserve">TOBO POLAR PILSEN </t>
  </si>
  <si>
    <t>01092021XD</t>
  </si>
  <si>
    <t>1/9/2021 3:51:44 p. m.</t>
  </si>
  <si>
    <t>01092021RT</t>
  </si>
  <si>
    <t>1/9/2021 4:27:33 p. m.</t>
  </si>
  <si>
    <t>02092021hy</t>
  </si>
  <si>
    <t>2/9/2021 12:25:16 p. m.</t>
  </si>
  <si>
    <t>02092021oi</t>
  </si>
  <si>
    <t>2/9/2021 3:36:17 p. m.</t>
  </si>
  <si>
    <t>02092021WW</t>
  </si>
  <si>
    <t>2/9/2021 4:39:56 p. m.</t>
  </si>
  <si>
    <t>total</t>
  </si>
  <si>
    <t>MALTIN POLAR RET</t>
  </si>
  <si>
    <t>03092021ju</t>
  </si>
  <si>
    <t>3/9/2021 3:45:02 p. m.</t>
  </si>
  <si>
    <t>03092021se</t>
  </si>
  <si>
    <t>3/9/2021 4:23:39 p. m.</t>
  </si>
  <si>
    <t>04092021HY</t>
  </si>
  <si>
    <t>4/9/2021 1:50:31 p. m.</t>
  </si>
  <si>
    <t>04092021ty</t>
  </si>
  <si>
    <t>4/9/2021 1:51:43 p. m.</t>
  </si>
  <si>
    <t>06092021hy</t>
  </si>
  <si>
    <t>6/9/2021 3:58:51 p. m.</t>
  </si>
  <si>
    <t>06092021hh</t>
  </si>
  <si>
    <t>6/9/2021 4:21:54 p. m.</t>
  </si>
  <si>
    <t>06092021lp</t>
  </si>
  <si>
    <t>6/9/2021 4:29:48 p. m.</t>
  </si>
  <si>
    <t>07092021po</t>
  </si>
  <si>
    <t>7/9/2021 4:32:58 p. m.</t>
  </si>
  <si>
    <t>07092021op</t>
  </si>
  <si>
    <t>7/9/2021 4:39:06 p. m.</t>
  </si>
  <si>
    <t>07092021bg</t>
  </si>
  <si>
    <t>7/9/2021 4:52:32 p. m.</t>
  </si>
  <si>
    <t>08092021ñ</t>
  </si>
  <si>
    <t>8/9/2021 12:01:54 p. m.</t>
  </si>
  <si>
    <t>09092021v</t>
  </si>
  <si>
    <t>9/9/2021 12:53:06 p. m.</t>
  </si>
  <si>
    <t>09092021KI</t>
  </si>
  <si>
    <t>10/9/2021 2:50:36 p. m.</t>
  </si>
  <si>
    <t>10092021JU</t>
  </si>
  <si>
    <t>10/9/2021 3:23:31 p. m.</t>
  </si>
  <si>
    <t>11092021KK</t>
  </si>
  <si>
    <t>11/9/2021 8:39:58 a. m.</t>
  </si>
  <si>
    <t>11092021gt</t>
  </si>
  <si>
    <t>11/9/2021 2:27:46 p. m.</t>
  </si>
  <si>
    <t>12092021</t>
  </si>
  <si>
    <t>13/9/2021 9:26:18 a. m.</t>
  </si>
  <si>
    <t>12092021a</t>
  </si>
  <si>
    <t>13/9/2021 9:43:19 a. m.</t>
  </si>
  <si>
    <t>05092021b</t>
  </si>
  <si>
    <t>13/9/2021 10:06:35 a. m.</t>
  </si>
  <si>
    <t>13092021nh</t>
  </si>
  <si>
    <t>13/9/2021 4:15:41 p. m.</t>
  </si>
  <si>
    <t>14092021jj</t>
  </si>
  <si>
    <t>14/9/2021 1:58:29 p. m.</t>
  </si>
  <si>
    <t>14092021ku</t>
  </si>
  <si>
    <t>14/9/2021 4:50:48 p. m.</t>
  </si>
  <si>
    <t>15092021Z</t>
  </si>
  <si>
    <t>15/9/2021 2:57:31 p. m.</t>
  </si>
  <si>
    <t>15092021cd</t>
  </si>
  <si>
    <t>15/9/2021 3:39:03 p. m.</t>
  </si>
  <si>
    <t>16092021P</t>
  </si>
  <si>
    <t>16/9/2021 11:33:34 a. m.</t>
  </si>
  <si>
    <t>16092021cf</t>
  </si>
  <si>
    <t>16/9/2021 2:56:18 p. m.</t>
  </si>
  <si>
    <t>16092021tg</t>
  </si>
  <si>
    <t>16/9/2021 3:00:10 p. m.</t>
  </si>
  <si>
    <t>16092021uo</t>
  </si>
  <si>
    <t>16/9/2021 3:19:19 p. m.</t>
  </si>
  <si>
    <t>16092021ÑP</t>
  </si>
  <si>
    <t>16/9/2021 4:36:33 p. m.</t>
  </si>
  <si>
    <t>17092021fr</t>
  </si>
  <si>
    <t>17/9/2021 3:20:29 p. m.</t>
  </si>
  <si>
    <t>18092021ki</t>
  </si>
  <si>
    <t>18/9/2021 11:39:10 a. m.</t>
  </si>
  <si>
    <t>18092021bg</t>
  </si>
  <si>
    <t>18/9/2021 12:49:05 p. m.</t>
  </si>
  <si>
    <t>20092021bg</t>
  </si>
  <si>
    <t>20/9/2021 3:15:05 p. m.</t>
  </si>
  <si>
    <t>21092021xs</t>
  </si>
  <si>
    <t>22/9/2021 8:37:17 a. m.</t>
  </si>
  <si>
    <t>22092021UH</t>
  </si>
  <si>
    <t>22/9/2021 3:27:55 p. m.</t>
  </si>
  <si>
    <t>22092021sa</t>
  </si>
  <si>
    <t>22/9/2021 3:37:58 p. m.</t>
  </si>
  <si>
    <t>23092021we</t>
  </si>
  <si>
    <t>23/9/2021 1:30:05 p. m.</t>
  </si>
  <si>
    <t>23092021AE</t>
  </si>
  <si>
    <t>23/9/2021 3:52:13 p. m.</t>
  </si>
  <si>
    <t>24092021de</t>
  </si>
  <si>
    <t>24/9/2021 4:37:48 p. m.</t>
  </si>
  <si>
    <t>25092021hy</t>
  </si>
  <si>
    <t>25/9/2021 12:39:36 p. m.</t>
  </si>
  <si>
    <t>27092021VF</t>
  </si>
  <si>
    <t>27/9/2021 11:06:37 a. m.</t>
  </si>
  <si>
    <t>27092021ww</t>
  </si>
  <si>
    <t>27/9/2021 4:20:16 p. m.</t>
  </si>
  <si>
    <t>28092021Y</t>
  </si>
  <si>
    <t>28/9/2021 3:25:36 p. m.</t>
  </si>
  <si>
    <t>28092021XX</t>
  </si>
  <si>
    <t>29/9/2021 7:34:46 a. m.</t>
  </si>
  <si>
    <t>29092021ju</t>
  </si>
  <si>
    <t>29/9/2021 4:49:54 p. m.</t>
  </si>
  <si>
    <t>30092021SS</t>
  </si>
  <si>
    <t>30/9/2021 4:04:32 p. m.</t>
  </si>
  <si>
    <t>PLATO CORTESIA</t>
  </si>
  <si>
    <t xml:space="preserve">PASTICHO DE CARNE </t>
  </si>
  <si>
    <t>CAFÉ ESPRESSO PEQ</t>
  </si>
  <si>
    <t>EMPRESA:BOCAS</t>
  </si>
  <si>
    <t>PROMO 2 PERROS X1$</t>
  </si>
  <si>
    <t>FREDY QUINTERO</t>
  </si>
  <si>
    <t>COMBO PASTELITO DE QUESO</t>
  </si>
  <si>
    <t>5 EXPRESS BURGUER+ REFRE 1.5</t>
  </si>
  <si>
    <t>PEPSI LATA 355.CM</t>
  </si>
  <si>
    <t>01102021GHH</t>
  </si>
  <si>
    <t>1/10/2021 4:39:30 p. m.</t>
  </si>
  <si>
    <t>02102021ZZ</t>
  </si>
  <si>
    <t>2/10/2021 2:45:40 p. m.</t>
  </si>
  <si>
    <t>05102021BH</t>
  </si>
  <si>
    <t>5/10/2021 3:33:08 p. m.</t>
  </si>
  <si>
    <t>03102021</t>
  </si>
  <si>
    <t>6/10/2021 8:38:58 a. m.</t>
  </si>
  <si>
    <t>06102021gt</t>
  </si>
  <si>
    <t>6/10/2021 10:26:14 a. m.</t>
  </si>
  <si>
    <t>06102021er</t>
  </si>
  <si>
    <t>6/10/2021 4:41:32 p. m.</t>
  </si>
  <si>
    <t>07102021bb</t>
  </si>
  <si>
    <t>7/10/2021 3:50:52 p. m.</t>
  </si>
  <si>
    <t>07102021gj</t>
  </si>
  <si>
    <t>7/10/2021 4:33:28 p. m.</t>
  </si>
  <si>
    <t>08102021AQ</t>
  </si>
  <si>
    <t>8/10/2021 4:16:33 p. m.</t>
  </si>
  <si>
    <t>08102021LL</t>
  </si>
  <si>
    <t>8/10/2021 4:51:03 p. m.</t>
  </si>
  <si>
    <t>09102021dp</t>
  </si>
  <si>
    <t>9/10/2021 12:38:43 p. m.</t>
  </si>
  <si>
    <t>11102021as</t>
  </si>
  <si>
    <t>11/10/2021 4:54:18 p. m.</t>
  </si>
  <si>
    <t>12102021sw</t>
  </si>
  <si>
    <t>13/10/2021 8:13:10 a. m.</t>
  </si>
  <si>
    <t>13102021dd</t>
  </si>
  <si>
    <t>13/10/2021 9:44:54 a. m.</t>
  </si>
  <si>
    <t>13102021PA</t>
  </si>
  <si>
    <t>13/10/2021 3:16:18 p. m.</t>
  </si>
  <si>
    <t xml:space="preserve">EMPRESA: BOCAS </t>
  </si>
  <si>
    <t>SANDWICH CLUB HOUSE CARNE</t>
  </si>
  <si>
    <t>14102021TT</t>
  </si>
  <si>
    <t>14/10/2021 4:50:23 p. m.</t>
  </si>
  <si>
    <t>15102021ñ</t>
  </si>
  <si>
    <t>15/10/2021 8:15:04 a. m.</t>
  </si>
  <si>
    <t>16102021GG</t>
  </si>
  <si>
    <t>16/10/2021 11:25:14 a. m.</t>
  </si>
  <si>
    <t>16102021aaa</t>
  </si>
  <si>
    <t>16/10/2021 1:30:21 p. m.</t>
  </si>
  <si>
    <t>16102021vr</t>
  </si>
  <si>
    <t>16/10/2021 2:20:40 p. m.</t>
  </si>
  <si>
    <t>16102021zz</t>
  </si>
  <si>
    <t>16/10/2021 2:41:47 p. m.</t>
  </si>
  <si>
    <t>18102021T</t>
  </si>
  <si>
    <t>18/10/2021 11:40:54 a. m.</t>
  </si>
  <si>
    <t>18102021dr</t>
  </si>
  <si>
    <t>18/10/2021 4:15:00 p. m.</t>
  </si>
  <si>
    <t>20102021DP</t>
  </si>
  <si>
    <t>20/10/2021 3:15:10 p. m.</t>
  </si>
  <si>
    <t>20102021ZP</t>
  </si>
  <si>
    <t>20/10/2021 3:27:38 p. m.</t>
  </si>
  <si>
    <t>21102021po</t>
  </si>
  <si>
    <t>21/10/2021 11:41:40 a. m.</t>
  </si>
  <si>
    <t>21102021vt</t>
  </si>
  <si>
    <t>21/10/2021 3:39:37 p. m.</t>
  </si>
  <si>
    <t>22102021FF</t>
  </si>
  <si>
    <t>22/10/2021 9:40:47 a. m.</t>
  </si>
  <si>
    <t>22102021WQ</t>
  </si>
  <si>
    <t>22/10/2021 3:52:53 p. m.</t>
  </si>
  <si>
    <t>23102021WW</t>
  </si>
  <si>
    <t>25/10/2021 11:06:59 a. m.</t>
  </si>
  <si>
    <t>25102021qe</t>
  </si>
  <si>
    <t>25/10/2021 3:20:50 p. m.</t>
  </si>
  <si>
    <t>26102021SW</t>
  </si>
  <si>
    <t>26/10/2021 4:26:21 p. m.</t>
  </si>
  <si>
    <t>27102021P</t>
  </si>
  <si>
    <t>27/10/2021 9:31:57 a. m.</t>
  </si>
  <si>
    <t>27102021XI</t>
  </si>
  <si>
    <t>27/10/2021 4:10:35 p. m.</t>
  </si>
  <si>
    <t>28102021u</t>
  </si>
  <si>
    <t>28/10/2021 11:52:04 a. m.</t>
  </si>
  <si>
    <t>28102021RE</t>
  </si>
  <si>
    <t>28/10/2021 3:07:22 p. m.</t>
  </si>
  <si>
    <t>COMBO: 2 PASTICHOS + 2 REFRESCOS</t>
  </si>
  <si>
    <t>SLICE DE PIZZA BORDE RELLENO</t>
  </si>
  <si>
    <t>29102021oo</t>
  </si>
  <si>
    <t>29/10/2021 4:57:22 p. m.</t>
  </si>
  <si>
    <t>30102021gg</t>
  </si>
  <si>
    <t>30/10/2021 2:11:19 p. m.</t>
  </si>
  <si>
    <t>TOTAL</t>
  </si>
  <si>
    <t>OCTUBRE</t>
  </si>
  <si>
    <t xml:space="preserve">FECHA DE PAGO </t>
  </si>
  <si>
    <t>TIPO DE MONEDA</t>
  </si>
  <si>
    <t>DETALLE</t>
  </si>
  <si>
    <t>MONTO (ENTREGA)</t>
  </si>
  <si>
    <t>DATOS DEL BENEFICIARIO</t>
  </si>
  <si>
    <t>MONTO EN DIVISA</t>
  </si>
  <si>
    <t>DOLARES</t>
  </si>
  <si>
    <t>BOLIVARES</t>
  </si>
  <si>
    <t>GASTO</t>
  </si>
  <si>
    <t>BONIFICACION UNICA</t>
  </si>
  <si>
    <t>PRESTAMOS TRABAJADOR</t>
  </si>
  <si>
    <t xml:space="preserve">PAGO NOMINA </t>
  </si>
  <si>
    <t>CLORO, JABON Y DESINFECTANTE</t>
  </si>
  <si>
    <t>ROXIBEL ROMERO. ANFITRIONA</t>
  </si>
  <si>
    <t>PAGO NOMINA DEL 1/10 AL 15/10</t>
  </si>
  <si>
    <t>CESTA TICKET DEL 1/10/ AL 15/10</t>
  </si>
  <si>
    <t>BONO PANDEMIA DEL 1/10AL 15/10</t>
  </si>
  <si>
    <t>NOMINA DEL 16/10 AL 31/10</t>
  </si>
  <si>
    <t>CESTA TICKET DEL 16/10/ AL 31/10</t>
  </si>
  <si>
    <t>BONO PANDEMIA DEL 16/10 AL 31/10</t>
  </si>
  <si>
    <t>GASTOS DEL MES</t>
  </si>
  <si>
    <t>BONIFICACION DIVISA</t>
  </si>
  <si>
    <t>PRIMERA QUINCENA</t>
  </si>
  <si>
    <t>SEGUNDA QUINCENA</t>
  </si>
  <si>
    <t>PAGO BONOS TRABAJADORES</t>
  </si>
  <si>
    <t>PAGO NOMINA</t>
  </si>
  <si>
    <t>GASTOS</t>
  </si>
  <si>
    <t>BONO TRABAJADORES DEL 1/9 AL 15/9</t>
  </si>
  <si>
    <t>NOMINA PERSONAL 1/9/2021</t>
  </si>
  <si>
    <t>CESTA TICKET 1/9/2021 AL 15/9/2021</t>
  </si>
  <si>
    <t>BONO PANDEMIA 1/9/2021 AL 15/9/2021</t>
  </si>
  <si>
    <t>CONSUMO INTERNO BOCAS</t>
  </si>
  <si>
    <t>COMPRAS BOCAS</t>
  </si>
  <si>
    <t>VENTAS</t>
  </si>
  <si>
    <t>MALTIN POLAR</t>
  </si>
  <si>
    <t>GATORADE FRUTA TROPICAL</t>
  </si>
  <si>
    <t>ANA DA SILVA</t>
  </si>
  <si>
    <t>NOMINA EFECTIVO 1/9 AL 15/9</t>
  </si>
  <si>
    <t xml:space="preserve">NOMINA EFECTIVO </t>
  </si>
  <si>
    <t>NOMINA 2DA QUINCENA</t>
  </si>
  <si>
    <t>PAGO NOMINA DEL 16/9/ AL 30/9</t>
  </si>
  <si>
    <t>PAGO CESTA TICKET DEL 16/9 AL 30/9</t>
  </si>
  <si>
    <t>PAGO BONO PANDEMIA DEL 16/9 AL 30/9</t>
  </si>
  <si>
    <t>JABON Y CLORO</t>
  </si>
  <si>
    <t xml:space="preserve">PRIMERA QUINCENA </t>
  </si>
  <si>
    <t>PRESTAMOS</t>
  </si>
  <si>
    <t>QUESILLO Y TRES LECHES</t>
  </si>
  <si>
    <t>AGUA  MINALBA 355 ML</t>
  </si>
  <si>
    <t>PABLO DA SILVA P</t>
  </si>
  <si>
    <t>LIPTON DURAZNO</t>
  </si>
  <si>
    <t>MALTA SIN ALCOHOL MALTIN 250</t>
  </si>
  <si>
    <t>01112021QW</t>
  </si>
  <si>
    <t>1/11/2021 4:02:57 p. m.</t>
  </si>
  <si>
    <t>01112021BB</t>
  </si>
  <si>
    <t>1/11/2021 4:55:37 p. m.</t>
  </si>
  <si>
    <t>01112021gy</t>
  </si>
  <si>
    <t>1/11/2021 4:58:24 p. m.</t>
  </si>
  <si>
    <t>02112021by</t>
  </si>
  <si>
    <t>2/11/2021 2:51:36 p. m.</t>
  </si>
  <si>
    <t>02112021TT</t>
  </si>
  <si>
    <t>2/11/2021 4:47:06 p. m.</t>
  </si>
  <si>
    <t>03112021tv</t>
  </si>
  <si>
    <t>3/11/2021 3:57:47 p. m.</t>
  </si>
  <si>
    <t>03112021KG</t>
  </si>
  <si>
    <t>3/11/2021 4:31:06 p. m.</t>
  </si>
  <si>
    <t>04112021gd</t>
  </si>
  <si>
    <t>4/11/2021 3:02:09 p. m.</t>
  </si>
  <si>
    <t>04112021sw</t>
  </si>
  <si>
    <t>4/11/2021 3:30:03 p. m.</t>
  </si>
  <si>
    <t>04112021rm</t>
  </si>
  <si>
    <t>4/11/2021 3:44:49 p. m.</t>
  </si>
  <si>
    <t>05112021ap</t>
  </si>
  <si>
    <t>5/11/2021 4:08:15 p. m.</t>
  </si>
  <si>
    <t>06112021tb</t>
  </si>
  <si>
    <t>6/11/2021 2:20:18 p. m.</t>
  </si>
  <si>
    <t>08112021dr</t>
  </si>
  <si>
    <t>8/11/2021 4:42:24 p. m.</t>
  </si>
  <si>
    <t>09112021YT</t>
  </si>
  <si>
    <t>9/11/2021 2:42:48 p. m.</t>
  </si>
  <si>
    <t>10112021OI</t>
  </si>
  <si>
    <t>10/11/2021 2:36:33 p. m.</t>
  </si>
  <si>
    <t>07112021dg</t>
  </si>
  <si>
    <t>10/11/2021 2:39:48 p. m.</t>
  </si>
  <si>
    <t>10112021bv</t>
  </si>
  <si>
    <t>11/11/2021 9:36:45 a. m.</t>
  </si>
  <si>
    <t>11112021PL</t>
  </si>
  <si>
    <t>11/11/2021 11:07:11 a. m.</t>
  </si>
  <si>
    <t>11112021RT</t>
  </si>
  <si>
    <t>11/11/2021 11:43:07 a. m.</t>
  </si>
  <si>
    <t>11112021ñl</t>
  </si>
  <si>
    <t>11/11/2021 12:01:08 p. m.</t>
  </si>
  <si>
    <t>23112021TR</t>
  </si>
  <si>
    <t>11/11/2021 4:13:18 p. m.</t>
  </si>
  <si>
    <t>13112021ÑP</t>
  </si>
  <si>
    <t>13/11/2021 7:40:31 a. m.</t>
  </si>
  <si>
    <t>13112021ÑÑ</t>
  </si>
  <si>
    <t>13/11/2021 1:12:26 p. m.</t>
  </si>
  <si>
    <t>13112021VV</t>
  </si>
  <si>
    <t>13/11/2021 1:16:28 p. m.</t>
  </si>
  <si>
    <t>13112021SS</t>
  </si>
  <si>
    <t>13/11/2021 1:51:03 p. m.</t>
  </si>
  <si>
    <t>13112021oo</t>
  </si>
  <si>
    <t>13/11/2021 2:08:37 p. m.</t>
  </si>
  <si>
    <t>16112021GD</t>
  </si>
  <si>
    <t>16/11/2021 4:09:16 p. m.</t>
  </si>
  <si>
    <t>11112021ÑÑ</t>
  </si>
  <si>
    <t>17/11/2021 1:52:19 p. m.</t>
  </si>
  <si>
    <t>17112021VV</t>
  </si>
  <si>
    <t>19/11/2021 9:28:46 a. m.</t>
  </si>
  <si>
    <t>19112021TT</t>
  </si>
  <si>
    <t>19/11/2021 9:34:07 a. m.</t>
  </si>
  <si>
    <t>19112021OY</t>
  </si>
  <si>
    <t>19/11/2021 3:24:40 p. m.</t>
  </si>
  <si>
    <t>20112021bb</t>
  </si>
  <si>
    <t>20/11/2021 2:44:46 p. m.</t>
  </si>
  <si>
    <t>22112021CC</t>
  </si>
  <si>
    <t>22/11/2021 3:52:12 p. m.</t>
  </si>
  <si>
    <t>22112021UU</t>
  </si>
  <si>
    <t>22/11/2021 3:58:26 p. m.</t>
  </si>
  <si>
    <t>23112021AZ</t>
  </si>
  <si>
    <t>23/11/2021 4:02:28 p. m.</t>
  </si>
  <si>
    <t>24112021ki</t>
  </si>
  <si>
    <t>24/11/2021 4:21:54 p. m.</t>
  </si>
  <si>
    <t>26112021gt</t>
  </si>
  <si>
    <t>26/11/2021 7:14:50 a. m.</t>
  </si>
  <si>
    <t>26112021BV</t>
  </si>
  <si>
    <t>26/11/2021 2:38:39 p. m.</t>
  </si>
  <si>
    <t>26112021FV</t>
  </si>
  <si>
    <t>26/11/2021 3:57:37 p. m.</t>
  </si>
  <si>
    <t>29112021f</t>
  </si>
  <si>
    <t>29/11/2021 8:14:09 a. m.</t>
  </si>
  <si>
    <t>29112021kq</t>
  </si>
  <si>
    <t>29/11/2021 4:13:47 p. m.</t>
  </si>
  <si>
    <t>29112021km</t>
  </si>
  <si>
    <t>29/11/2021 4:17:08 p. m.</t>
  </si>
  <si>
    <t>000000150</t>
  </si>
  <si>
    <t>30/11/2021 3:24:21 p. m.</t>
  </si>
  <si>
    <t>2DA QUINCENA</t>
  </si>
  <si>
    <t>1RA QUINCENA</t>
  </si>
  <si>
    <t>CONSUMO INTERNO NOVIEMBRE</t>
  </si>
  <si>
    <t>VENTAS NOVIEMBRE</t>
  </si>
  <si>
    <t>COMPRAS NOVIEMBRE</t>
  </si>
  <si>
    <t>PAGO BONO TRABAJORES</t>
  </si>
  <si>
    <t>CABLE. 10 MTS</t>
  </si>
  <si>
    <t>KIT INTER TV</t>
  </si>
  <si>
    <t>INSTALACIONES BOCAS</t>
  </si>
  <si>
    <t>SUCRE MILAGROS</t>
  </si>
  <si>
    <t>PAGO DE UTILIDADES</t>
  </si>
  <si>
    <t>PAGO NOMINADEL 1/11 AL 15/11</t>
  </si>
  <si>
    <t>PAGO CESTA TICKET 1/11 AL 15/11</t>
  </si>
  <si>
    <t>BONO PANDEMIA DEL 1/11 AL 15/11</t>
  </si>
  <si>
    <t>OAGO DE UTILIDADES EFECTIVO</t>
  </si>
  <si>
    <t>PAGO NOMINA DEL 16/11 AL30/11</t>
  </si>
  <si>
    <t>PAGO CESTA TICKET 16/11 AL 30/11</t>
  </si>
  <si>
    <t>BONO PANDEMIA DEL 16/11 AL 30/11</t>
  </si>
  <si>
    <t>GRUPO MUSICAL</t>
  </si>
  <si>
    <t>SANDWICH CLUB HOUSE POLLO</t>
  </si>
  <si>
    <t>REFRESCO X VASO GDE</t>
  </si>
  <si>
    <t>DULCES MEDIANOS VARIADOS</t>
  </si>
  <si>
    <t>RACION DE TEQUEÑOS</t>
  </si>
  <si>
    <t>BELMONT GRANDR</t>
  </si>
  <si>
    <t>CONSUMO INTERNO DICIEMBRE</t>
  </si>
  <si>
    <t>INTER RESTAURANTE</t>
  </si>
  <si>
    <t>TEQUEÑOS. LUNCHERIA EL DATO</t>
  </si>
  <si>
    <t>CERVEZA X CAJA</t>
  </si>
  <si>
    <t xml:space="preserve">REFRESCO 2.0 LITROS </t>
  </si>
  <si>
    <t>CAFÉ AMERICANO PEQ</t>
  </si>
  <si>
    <t>RAMON MENDEZ</t>
  </si>
  <si>
    <t>MANI CON PASAS COMETIN</t>
  </si>
  <si>
    <t>EMPANADAS COMBOS</t>
  </si>
  <si>
    <t>HALLACAS</t>
  </si>
  <si>
    <t>22112021ft</t>
  </si>
  <si>
    <t>1/12/2021 9:52:51 a. m.</t>
  </si>
  <si>
    <t>01122021j</t>
  </si>
  <si>
    <t>1/12/2021 10:13:54 a. m.</t>
  </si>
  <si>
    <t>01122021ki</t>
  </si>
  <si>
    <t>1/12/2021 4:30:50 p. m.</t>
  </si>
  <si>
    <t>02122021n</t>
  </si>
  <si>
    <t>2/12/2021 10:08:23 a. m.</t>
  </si>
  <si>
    <t>02122021xq</t>
  </si>
  <si>
    <t>2/12/2021 3:37:16 p. m.</t>
  </si>
  <si>
    <t>03122021ññ</t>
  </si>
  <si>
    <t>3/12/2021 4:31:03 p. m.</t>
  </si>
  <si>
    <t>03122021kk</t>
  </si>
  <si>
    <t>3/12/2021 4:34:39 p. m.</t>
  </si>
  <si>
    <t>03122021XX</t>
  </si>
  <si>
    <t>3/12/2021 4:40:42 p. m.</t>
  </si>
  <si>
    <t>03122021EE</t>
  </si>
  <si>
    <t>3/12/2021 4:45:44 p. m.</t>
  </si>
  <si>
    <t>04122021du</t>
  </si>
  <si>
    <t>4/12/2021 1:39:47 p. m.</t>
  </si>
  <si>
    <t>04122021vg</t>
  </si>
  <si>
    <t>4/12/2021 1:44:46 p. m.</t>
  </si>
  <si>
    <t>04122021dt</t>
  </si>
  <si>
    <t>4/12/2021 1:58:47 p. m.</t>
  </si>
  <si>
    <t>06122021ñ</t>
  </si>
  <si>
    <t>6/12/2021 3:02:57 p. m.</t>
  </si>
  <si>
    <t>03122021mm</t>
  </si>
  <si>
    <t>7/12/2021 7:36:23 a. m.</t>
  </si>
  <si>
    <t>07122021ss</t>
  </si>
  <si>
    <t>7/12/2021 3:18:56 p. m.</t>
  </si>
  <si>
    <t>08122021tt</t>
  </si>
  <si>
    <t>8/12/2021 8:02:03 p. m.</t>
  </si>
  <si>
    <t>08112021oi</t>
  </si>
  <si>
    <t>9/12/2021 12:06:33 p. m.</t>
  </si>
  <si>
    <t>09122021asa</t>
  </si>
  <si>
    <t>9/12/2021 5:11:21 p. m.</t>
  </si>
  <si>
    <t>10122021mk</t>
  </si>
  <si>
    <t>10/12/2021 3:11:09 p. m.</t>
  </si>
  <si>
    <t>10122021by</t>
  </si>
  <si>
    <t>10/12/2021 4:07:16 p. m.</t>
  </si>
  <si>
    <t>10122021ki</t>
  </si>
  <si>
    <t>10/12/2021 4:33:19 p. m.</t>
  </si>
  <si>
    <t>11122021ju</t>
  </si>
  <si>
    <t>11/12/2021 1:12:21 p. m.</t>
  </si>
  <si>
    <t>13122021gt</t>
  </si>
  <si>
    <t>13/12/2021 4:19:55 p. m.</t>
  </si>
  <si>
    <t>14122021pñ</t>
  </si>
  <si>
    <t>14/12/2021 2:03:14 p. m.</t>
  </si>
  <si>
    <t>14122021de</t>
  </si>
  <si>
    <t>14/12/2021 3:00:02 p. m.</t>
  </si>
  <si>
    <t>14122021tr</t>
  </si>
  <si>
    <t>14/12/2021 3:27:56 p. m.</t>
  </si>
  <si>
    <t>15122021bf</t>
  </si>
  <si>
    <t>15/12/2021 5:01:01 p. m.</t>
  </si>
  <si>
    <t>17122021KK</t>
  </si>
  <si>
    <t>17/12/2021 10:51:37 a. m.</t>
  </si>
  <si>
    <t>18122021ÑÑ</t>
  </si>
  <si>
    <t>18/12/2021 12:24:49 p. m.</t>
  </si>
  <si>
    <t>20122021EE</t>
  </si>
  <si>
    <t>20/12/2021 12:40:41 p. m.</t>
  </si>
  <si>
    <t>21122021jj</t>
  </si>
  <si>
    <t>21/12/2021 3:14:42 p. m.</t>
  </si>
  <si>
    <t>21122021ji</t>
  </si>
  <si>
    <t>21/12/2021 4:00:09 p. m.</t>
  </si>
  <si>
    <t>17122021cx</t>
  </si>
  <si>
    <t>22/12/2021 12:01:33 p. m.</t>
  </si>
  <si>
    <t>22122021gv</t>
  </si>
  <si>
    <t>22/12/2021 4:11:46 p. m.</t>
  </si>
  <si>
    <t>23122021ss</t>
  </si>
  <si>
    <t>23/12/2021 11:24:31 a. m.</t>
  </si>
  <si>
    <t>24122021TF</t>
  </si>
  <si>
    <t>24/12/2021 3:55:56 p. m.</t>
  </si>
  <si>
    <t>27122021F</t>
  </si>
  <si>
    <t>27/12/2021 9:37:44 a. m.</t>
  </si>
  <si>
    <t>27122021XX</t>
  </si>
  <si>
    <t>27/12/2021 2:42:47 p. m.</t>
  </si>
  <si>
    <t>27122021ZZ</t>
  </si>
  <si>
    <t>27/12/2021 3:54:54 p. m.</t>
  </si>
  <si>
    <t>27122021HG</t>
  </si>
  <si>
    <t>27/12/2021 4:00:18 p. m.</t>
  </si>
  <si>
    <t>28122021BX</t>
  </si>
  <si>
    <t>28/12/2021 11:31:44 a. m.</t>
  </si>
  <si>
    <t>28122021Q</t>
  </si>
  <si>
    <t>28/12/2021 12:03:37 p. m.</t>
  </si>
  <si>
    <t>28122021SD</t>
  </si>
  <si>
    <t>28/12/2021 3:16:37 p. m.</t>
  </si>
  <si>
    <t>28122021MM</t>
  </si>
  <si>
    <t>28/12/2021 4:00:55 p. m.</t>
  </si>
  <si>
    <t>29122021HK</t>
  </si>
  <si>
    <t>29/12/2021 4:24:54 p. m.</t>
  </si>
  <si>
    <t>29122021BB</t>
  </si>
  <si>
    <t>29/12/2021 4:26:43 p. m.</t>
  </si>
  <si>
    <t>29122021FY</t>
  </si>
  <si>
    <t>29/12/2021 4:51:27 p. m.</t>
  </si>
  <si>
    <t>30122021JH</t>
  </si>
  <si>
    <t>30/12/2021 4:53:59 p. m.</t>
  </si>
  <si>
    <t>31122021we</t>
  </si>
  <si>
    <t>31/12/2021 4:20:42 p. m.</t>
  </si>
  <si>
    <t>31122021DT</t>
  </si>
  <si>
    <t>31/12/2021 4:29:53 p. m.</t>
  </si>
  <si>
    <t>31122021YY</t>
  </si>
  <si>
    <t>31/12/2021 5:17:08 p. m.</t>
  </si>
  <si>
    <t>31122021cv</t>
  </si>
  <si>
    <t>31/12/2021 6:41:23 p. m.</t>
  </si>
  <si>
    <t>total:</t>
  </si>
  <si>
    <t>ROYBER DELGADO</t>
  </si>
  <si>
    <t>PAGO  BONOS TRABAJADORES</t>
  </si>
  <si>
    <t>GRUPO GAITAS</t>
  </si>
  <si>
    <t>NOMINA 1/12 AL 15/12</t>
  </si>
  <si>
    <t>CESTA TICKET 1/12 AL 15/12</t>
  </si>
  <si>
    <t>BONO 1/12 AL 15/12</t>
  </si>
  <si>
    <t>PAGO BONO DIVISAS</t>
  </si>
  <si>
    <t>PAGO BONO EFECTIVO</t>
  </si>
  <si>
    <t>NOMINA 16/12 AL 30/12</t>
  </si>
  <si>
    <t>CESTA TICKET 16/12 AL 30/12</t>
  </si>
  <si>
    <t>BONO UNICO DEL 16/12 AL 30/12</t>
  </si>
  <si>
    <t>BONO DIVISAS</t>
  </si>
  <si>
    <t>BONO EFECTIVO</t>
  </si>
  <si>
    <t>YAJAIRA YANEZ</t>
  </si>
  <si>
    <t>COMPRAS DICIEMBRE</t>
  </si>
  <si>
    <t>VENTAS DICIEMBRE</t>
  </si>
  <si>
    <t xml:space="preserve"> TOTAL </t>
  </si>
  <si>
    <t>WILLIAMS</t>
  </si>
  <si>
    <t>PROMO 2 PERROS X 1</t>
  </si>
  <si>
    <t>MALTIN POLAR RET 222 ML</t>
  </si>
  <si>
    <t>MONDOGO</t>
  </si>
  <si>
    <t>YORMAN CEDEÑO</t>
  </si>
  <si>
    <t>CHOCOLATE GDE CAL</t>
  </si>
  <si>
    <t>total Facturas</t>
  </si>
  <si>
    <t>SANGRIA CAROREÑA VERANO</t>
  </si>
  <si>
    <t>EMPANADAS COMBO</t>
  </si>
  <si>
    <t>REFRESCOX VASO GDE B.I.B</t>
  </si>
  <si>
    <t>CONSUMO INTERNO OPAN</t>
  </si>
  <si>
    <t>VENTAS OPAN</t>
  </si>
  <si>
    <t>03012022P</t>
  </si>
  <si>
    <t>3/1/2022 12:11:16 p. m.</t>
  </si>
  <si>
    <t>03012022T</t>
  </si>
  <si>
    <t>3/1/2022 1:34:16 p. m.</t>
  </si>
  <si>
    <t>03012022X</t>
  </si>
  <si>
    <t>3/1/2022 1:59:56 p. m.</t>
  </si>
  <si>
    <t>03012022Y</t>
  </si>
  <si>
    <t>3/1/2022 2:36:23 p. m.</t>
  </si>
  <si>
    <t>03012022AA</t>
  </si>
  <si>
    <t>3/1/2022 3:24:19 p. m.</t>
  </si>
  <si>
    <t>04012022ZZ</t>
  </si>
  <si>
    <t>4/1/2022 4:01:56 p. m.</t>
  </si>
  <si>
    <t>05012022Q</t>
  </si>
  <si>
    <t>5/1/2022 4:26:45 p. m.</t>
  </si>
  <si>
    <t>05012022R</t>
  </si>
  <si>
    <t>5/1/2022 4:28:20 p. m.</t>
  </si>
  <si>
    <t>06012022R</t>
  </si>
  <si>
    <t>6/1/2022 1:39:42 p. m.</t>
  </si>
  <si>
    <t>06012022X</t>
  </si>
  <si>
    <t>6/1/2022 2:46:22 p. m.</t>
  </si>
  <si>
    <t>06012022DD</t>
  </si>
  <si>
    <t>7/1/2022 7:26:30 a. m.</t>
  </si>
  <si>
    <t>07012022X</t>
  </si>
  <si>
    <t>7/1/2022 2:13:35 p. m.</t>
  </si>
  <si>
    <t>07012022KL</t>
  </si>
  <si>
    <t>7/1/2022 4:57:54 p. m.</t>
  </si>
  <si>
    <t>07012022BN</t>
  </si>
  <si>
    <t>8/1/2022 7:01:08 a. m.</t>
  </si>
  <si>
    <t>08012022GF</t>
  </si>
  <si>
    <t>8/1/2022 2:19:21 p. m.</t>
  </si>
  <si>
    <t>08012022NB</t>
  </si>
  <si>
    <t>8/1/2022 2:31:37 p. m.</t>
  </si>
  <si>
    <t>08012022BB</t>
  </si>
  <si>
    <t>8/1/2022 2:45:19 p. m.</t>
  </si>
  <si>
    <t>10012022V</t>
  </si>
  <si>
    <t>10/1/2022 1:52:45 p. m.</t>
  </si>
  <si>
    <t>10012022hh</t>
  </si>
  <si>
    <t>10/1/2022 3:26:21 p. m.</t>
  </si>
  <si>
    <t>10012022GDH</t>
  </si>
  <si>
    <t>10/1/2022 4:28:06 p. m.</t>
  </si>
  <si>
    <t>11012022UU</t>
  </si>
  <si>
    <t>11/1/2022 3:57:54 p. m.</t>
  </si>
  <si>
    <t>12012022FC</t>
  </si>
  <si>
    <t>12/1/2022 6:54:08 p. m.</t>
  </si>
  <si>
    <t>13012022Z</t>
  </si>
  <si>
    <t>13/1/2022 3:03:53 p. m.</t>
  </si>
  <si>
    <t>14012022BB</t>
  </si>
  <si>
    <t>14/1/2022 4:40:15 p. m.</t>
  </si>
  <si>
    <t>14012022GG</t>
  </si>
  <si>
    <t>14/1/2022 4:44:47 p. m.</t>
  </si>
  <si>
    <t>15012022FF</t>
  </si>
  <si>
    <t>15/1/2022 2:27:33 p. m.</t>
  </si>
  <si>
    <t>15012022rr</t>
  </si>
  <si>
    <t>15/1/2022 3:20:23 p. m.</t>
  </si>
  <si>
    <t>15012022cc</t>
  </si>
  <si>
    <t>15/1/2022 3:22:59 p. m.</t>
  </si>
  <si>
    <t>17012022E</t>
  </si>
  <si>
    <t>17/1/2022 11:29:54 a. m.</t>
  </si>
  <si>
    <t>17012022Ñ</t>
  </si>
  <si>
    <t>17/1/2022 4:40:04 p. m.</t>
  </si>
  <si>
    <t>18012021ññ</t>
  </si>
  <si>
    <t>18/1/2022 4:52:12 p. m.</t>
  </si>
  <si>
    <t>19012022ii</t>
  </si>
  <si>
    <t>19/1/2022 4:14:23 p. m.</t>
  </si>
  <si>
    <t>19012022jj</t>
  </si>
  <si>
    <t>19/1/2022 4:30:02 p. m.</t>
  </si>
  <si>
    <t>20012022ed</t>
  </si>
  <si>
    <t>20/1/2022 4:21:00 p. m.</t>
  </si>
  <si>
    <t>21012021VF</t>
  </si>
  <si>
    <t>21/1/2022 3:22:49 p. m.</t>
  </si>
  <si>
    <t>22012022OP</t>
  </si>
  <si>
    <t>22/1/2022 12:33:49 p. m.</t>
  </si>
  <si>
    <t>24012022gt</t>
  </si>
  <si>
    <t>24/1/2022 4:13:29 p. m.</t>
  </si>
  <si>
    <t>24012021tg</t>
  </si>
  <si>
    <t>24/1/2022 4:41:11 p. m.</t>
  </si>
  <si>
    <t>25012022ki</t>
  </si>
  <si>
    <t>25/1/2022 1:16:53 p. m.</t>
  </si>
  <si>
    <t>26012022MN</t>
  </si>
  <si>
    <t>26/1/2022 4:12:20 p. m.</t>
  </si>
  <si>
    <t>27012022qa</t>
  </si>
  <si>
    <t>27/1/2022 3:32:34 p. m.</t>
  </si>
  <si>
    <t>28012022R</t>
  </si>
  <si>
    <t>28/1/2022 4:26:44 p. m.</t>
  </si>
  <si>
    <t>28012022S</t>
  </si>
  <si>
    <t>28/1/2022 4:36:58 p. m.</t>
  </si>
  <si>
    <t>29012022VV</t>
  </si>
  <si>
    <t>29/1/2022 1:33:00 p. m.</t>
  </si>
  <si>
    <t>29012022DD</t>
  </si>
  <si>
    <t>29/1/2022 2:34:23 p. m.</t>
  </si>
  <si>
    <t>31012022Q</t>
  </si>
  <si>
    <t>31/1/2022 1:12:43 p. m.</t>
  </si>
  <si>
    <t>31012022R</t>
  </si>
  <si>
    <t>31/1/2022 1:16:51 p. m.</t>
  </si>
  <si>
    <t>31012022T</t>
  </si>
  <si>
    <t>31/1/2022 1:26:39 p. m.</t>
  </si>
  <si>
    <t>31012022Y</t>
  </si>
  <si>
    <t>31/1/2022 4:33:53 p. m.</t>
  </si>
  <si>
    <t>COMPRAS OPAN</t>
  </si>
  <si>
    <t>NOMINA</t>
  </si>
  <si>
    <t>BONO</t>
  </si>
  <si>
    <t xml:space="preserve">CESTA </t>
  </si>
  <si>
    <t xml:space="preserve">NOMINA </t>
  </si>
  <si>
    <t>CONSUMO INTERNO FEBRERO 2022</t>
  </si>
  <si>
    <t>MALTIN POLAR RET 222</t>
  </si>
  <si>
    <t>TOBO POLAR PILSEN NEGRA 222 ML</t>
  </si>
  <si>
    <t>CHIKEN CRISPY</t>
  </si>
  <si>
    <t>TE LIPTON DE LIMON 500 ML</t>
  </si>
  <si>
    <t>MADURITOS NATUCHIPS 150 GRS</t>
  </si>
  <si>
    <t>POLAR PILSEN NEGRA 222 ML</t>
  </si>
  <si>
    <t xml:space="preserve">BELMONT GRANDE </t>
  </si>
  <si>
    <t>5 EXPRESS BURGUER + REFRESCO 1.5</t>
  </si>
  <si>
    <t>POLLO CRISPY 10 UNDS</t>
  </si>
  <si>
    <t>RACI0ON DE TEQUEÑOS</t>
  </si>
  <si>
    <t>SANGRIA VERANO 2X1</t>
  </si>
  <si>
    <t>REFRESCO 2.0 LITROS</t>
  </si>
  <si>
    <t>JUGO 500 ML YUKERY</t>
  </si>
  <si>
    <t>DULCEL GRANDES</t>
  </si>
  <si>
    <t>SANDWINCH CLUB HOUSE POLLO</t>
  </si>
  <si>
    <t>PIZZA VEGETARIANA MED</t>
  </si>
  <si>
    <t>VENTAS  FEBRERO 2022</t>
  </si>
  <si>
    <t>01022022O</t>
  </si>
  <si>
    <t>1/2/2022 12:14:50 p. m.</t>
  </si>
  <si>
    <t>01022022R</t>
  </si>
  <si>
    <t>1/2/2022 1:59:15 p. m.</t>
  </si>
  <si>
    <t>01022022W</t>
  </si>
  <si>
    <t>1/2/2022 3:51:50 p. m.</t>
  </si>
  <si>
    <t>02022022p</t>
  </si>
  <si>
    <t>2/2/2022 11:02:18 a. m.</t>
  </si>
  <si>
    <t>02022022U</t>
  </si>
  <si>
    <t>2/2/2022 4:10:31 p. m.</t>
  </si>
  <si>
    <t>03022022CC</t>
  </si>
  <si>
    <t>3/2/2022 6:25:52 p. m.</t>
  </si>
  <si>
    <t>03022022FF</t>
  </si>
  <si>
    <t>3/2/2022 6:30:11 p. m.</t>
  </si>
  <si>
    <t>04022022de</t>
  </si>
  <si>
    <t>4/2/2022 4:13:50 p. m.</t>
  </si>
  <si>
    <t>04022022tr</t>
  </si>
  <si>
    <t>4/2/2022 4:30:22 p. m.</t>
  </si>
  <si>
    <t>05022022XX</t>
  </si>
  <si>
    <t>5/2/2022 3:03:35 p. m.</t>
  </si>
  <si>
    <t>05022022KK</t>
  </si>
  <si>
    <t>5/2/2022 3:13:39 p. m.</t>
  </si>
  <si>
    <t>07022022ZA</t>
  </si>
  <si>
    <t>7/2/2022 3:55:39 p. m.</t>
  </si>
  <si>
    <t>08022022z</t>
  </si>
  <si>
    <t>8/2/2022 3:35:14 p. m.</t>
  </si>
  <si>
    <t>09022022z</t>
  </si>
  <si>
    <t>9/2/2022 4:37:47 p. m.</t>
  </si>
  <si>
    <t>10022022aq</t>
  </si>
  <si>
    <t>10/2/2022 1:24:23 p. m.</t>
  </si>
  <si>
    <t>10022022zs</t>
  </si>
  <si>
    <t>10/2/2022 3:38:23 p. m.</t>
  </si>
  <si>
    <t>10022022lj</t>
  </si>
  <si>
    <t>10/2/2022 4:09:10 p. m.</t>
  </si>
  <si>
    <t>11022022xe</t>
  </si>
  <si>
    <t>11/2/2022 4:49:01 p. m.</t>
  </si>
  <si>
    <t>12022022FT</t>
  </si>
  <si>
    <t>12/2/2022 1:54:52 p. m.</t>
  </si>
  <si>
    <t>12022022XE</t>
  </si>
  <si>
    <t>12/2/2022 2:10:31 p. m.</t>
  </si>
  <si>
    <t>14022022sx</t>
  </si>
  <si>
    <t>14/2/2022 4:19:03 p. m.</t>
  </si>
  <si>
    <t>14022022ñp</t>
  </si>
  <si>
    <t>15/2/2022 12:18:32 p. m.</t>
  </si>
  <si>
    <t>15022022az</t>
  </si>
  <si>
    <t>15/2/2022 3:06:13 p. m.</t>
  </si>
  <si>
    <t>15022022gg</t>
  </si>
  <si>
    <t>15/2/2022 4:11:12 p. m.</t>
  </si>
  <si>
    <t>16022022HN</t>
  </si>
  <si>
    <t>16/2/2022 3:53:48 p. m.</t>
  </si>
  <si>
    <t>17022022op</t>
  </si>
  <si>
    <t>17/2/2022 2:31:12 p. m.</t>
  </si>
  <si>
    <t>17022022aq</t>
  </si>
  <si>
    <t>17/2/2022 5:00:50 p. m.</t>
  </si>
  <si>
    <t>18022022G</t>
  </si>
  <si>
    <t>18/2/2022 10:43:46 a. m.</t>
  </si>
  <si>
    <t>.18022022ew</t>
  </si>
  <si>
    <t>18/2/2022 4:56:16 p. m.</t>
  </si>
  <si>
    <t>19022022ft</t>
  </si>
  <si>
    <t>19/2/2022 1:45:37 p. m.</t>
  </si>
  <si>
    <t>21022022KI</t>
  </si>
  <si>
    <t>21/2/2022 4:24:45 p. m.</t>
  </si>
  <si>
    <t>22022022de</t>
  </si>
  <si>
    <t>22/2/2022 3:57:24 p. m.</t>
  </si>
  <si>
    <t>23022022dñ</t>
  </si>
  <si>
    <t>23/2/2022 4:47:09 p. m.</t>
  </si>
  <si>
    <t>24022022p</t>
  </si>
  <si>
    <t>24/2/2022 11:26:29 a. m.</t>
  </si>
  <si>
    <t>24022022ji</t>
  </si>
  <si>
    <t>24/2/2022 3:38:44 p. m.</t>
  </si>
  <si>
    <t>24022022dy</t>
  </si>
  <si>
    <t>24/2/2022 4:08:32 p. m.</t>
  </si>
  <si>
    <t>25022020FR</t>
  </si>
  <si>
    <t>25/2/2022 4:48:13 p. m.</t>
  </si>
  <si>
    <t>25022022pñ</t>
  </si>
  <si>
    <t>25/2/2022 4:48:34 p. m.</t>
  </si>
  <si>
    <t>26022022dt</t>
  </si>
  <si>
    <t>26/2/2022 12:51:25 p. m.</t>
  </si>
  <si>
    <t>26022022RQ</t>
  </si>
  <si>
    <t>26/2/2022 2:33:56 p. m.</t>
  </si>
  <si>
    <t>28022022hh</t>
  </si>
  <si>
    <t>28/2/2022 1:41:20 p. m.</t>
  </si>
  <si>
    <t>LIGIA DA SILVA.</t>
  </si>
  <si>
    <t>28022022oo</t>
  </si>
  <si>
    <t>28/2/2022 2:06:37 p. m.</t>
  </si>
  <si>
    <t>COMPRAS FEBRERO 2022</t>
  </si>
  <si>
    <t>PAGO BONO TRABAJADORES</t>
  </si>
  <si>
    <t>NOMINA 1RA QUINCENA DEL 1 AL 15</t>
  </si>
  <si>
    <t xml:space="preserve">CESTA TICKET 1RA QUINCENA </t>
  </si>
  <si>
    <t xml:space="preserve">BONO PANDEMIA 1RA QUINCENA </t>
  </si>
  <si>
    <t>EQUIPOS</t>
  </si>
  <si>
    <t xml:space="preserve">CESTA TICKET 2DA QUINCENA </t>
  </si>
  <si>
    <t>BONO 2DA QUINCENA</t>
  </si>
  <si>
    <t>COMPRA DE GLOBOS</t>
  </si>
  <si>
    <t xml:space="preserve">JOSE CUEVAS </t>
  </si>
  <si>
    <t xml:space="preserve">COMBO:2 PASTICHOS + REFRESCO </t>
  </si>
  <si>
    <t>2 PERROS X 1 $</t>
  </si>
  <si>
    <t xml:space="preserve">CAFÉ AMERICANO GRANDE </t>
  </si>
  <si>
    <t xml:space="preserve">PABLO DA SILVA </t>
  </si>
  <si>
    <t xml:space="preserve">CAFÉ CON LECHE PEQUEÑO </t>
  </si>
  <si>
    <t>CAFÉ CON LECHE GRANDE</t>
  </si>
  <si>
    <t xml:space="preserve">COMBO DE EMPANADAS </t>
  </si>
  <si>
    <t xml:space="preserve">RAMON MENDEZ </t>
  </si>
  <si>
    <t xml:space="preserve">CAFÉ AMERICANO PEQUEÑO </t>
  </si>
  <si>
    <t xml:space="preserve">CAFÉ MARRON CLARO GRANDE </t>
  </si>
  <si>
    <t xml:space="preserve">DULCES GRANDES </t>
  </si>
  <si>
    <t>CAFÉ MARRON CLARO PEQUEÑO</t>
  </si>
  <si>
    <t>MALTIN POLAR RET 222ML</t>
  </si>
  <si>
    <t>EXPRESS BURGER</t>
  </si>
  <si>
    <t xml:space="preserve">5 EXPRESS BURGUER+1REFRE 1.5 </t>
  </si>
  <si>
    <t>REFRESCO X VASO GRANDE B.I.B</t>
  </si>
  <si>
    <t>SANDWICH</t>
  </si>
  <si>
    <t>CAFÉ CON LECHE PEQUEÑO</t>
  </si>
  <si>
    <t>CAFÉ MARRON OSCURO GRANDE</t>
  </si>
  <si>
    <t>PEPSI LATA 355 CM</t>
  </si>
  <si>
    <t>POLAR PILSEN NEGRA 222</t>
  </si>
  <si>
    <t>TOBO POLAR PILSE NEGRA 222 ML</t>
  </si>
  <si>
    <t xml:space="preserve">CAFÉ MARRON OSCURO GRANDE </t>
  </si>
  <si>
    <t>01032022X</t>
  </si>
  <si>
    <t>1/3/2022 1:09:49 p. m.</t>
  </si>
  <si>
    <t>01032022DD</t>
  </si>
  <si>
    <t>1/3/2022 4:03:46 p. m.</t>
  </si>
  <si>
    <t>02032022qw</t>
  </si>
  <si>
    <t>2/3/2022 4:27:11 p. m.</t>
  </si>
  <si>
    <t>03032022OP</t>
  </si>
  <si>
    <t>3/3/2022 4:28:16 p. m.</t>
  </si>
  <si>
    <t>04032022op</t>
  </si>
  <si>
    <t>4/3/2022 4:50:14 p. m.</t>
  </si>
  <si>
    <t>05032022z</t>
  </si>
  <si>
    <t>5/3/2022 8:52:36 a. m.</t>
  </si>
  <si>
    <t>05032022AX</t>
  </si>
  <si>
    <t>5/3/2022 1:22:49 p. m.</t>
  </si>
  <si>
    <t>08032022KI</t>
  </si>
  <si>
    <t>8/3/2022 4:13:12 p. m.</t>
  </si>
  <si>
    <t>07032022KU</t>
  </si>
  <si>
    <t>8/3/2022 4:13:44 p. m.</t>
  </si>
  <si>
    <t>09032022pl</t>
  </si>
  <si>
    <t>9/3/2022 2:14:20 p. m.</t>
  </si>
  <si>
    <t>09032022TT</t>
  </si>
  <si>
    <t>9/3/2022 5:03:13 p. m.</t>
  </si>
  <si>
    <t>10032022ui</t>
  </si>
  <si>
    <t>10/3/2022 4:15:28 p. m.</t>
  </si>
  <si>
    <t>11032022ka</t>
  </si>
  <si>
    <t>11/3/2022 9:43:56 a. m.</t>
  </si>
  <si>
    <t>11032022mz</t>
  </si>
  <si>
    <t>11/3/2022 4:57:05 p. m.</t>
  </si>
  <si>
    <t>12032022se</t>
  </si>
  <si>
    <t>12/3/2022 1:33:13 p. m.</t>
  </si>
  <si>
    <t>14032022AW</t>
  </si>
  <si>
    <t>14/3/2022 4:25:43 p. m.</t>
  </si>
  <si>
    <t>15032022vt</t>
  </si>
  <si>
    <t>15/3/2022 4:59:17 p. m.</t>
  </si>
  <si>
    <t>16032022po</t>
  </si>
  <si>
    <t>16/3/2022 3:59:25 p. m.</t>
  </si>
  <si>
    <t>16032022op</t>
  </si>
  <si>
    <t>16/3/2022 4:19:37 p. m.</t>
  </si>
  <si>
    <t>17032022xx</t>
  </si>
  <si>
    <t>17/3/2022 1:17:23 p. m.</t>
  </si>
  <si>
    <t>17032022DD</t>
  </si>
  <si>
    <t>17/3/2022 4:22:51 p. m.</t>
  </si>
  <si>
    <t>18032022tm</t>
  </si>
  <si>
    <t>18/3/2022 4:30:21 p. m.</t>
  </si>
  <si>
    <t>19032022la</t>
  </si>
  <si>
    <t>19/3/2022 1:40:08 p. m.</t>
  </si>
  <si>
    <t>19032022hp</t>
  </si>
  <si>
    <t>19/3/2022 2:17:30 p. m.</t>
  </si>
  <si>
    <t>21032022zp</t>
  </si>
  <si>
    <t>21/3/2022 4:57:10 p. m.</t>
  </si>
  <si>
    <t>22032022ls</t>
  </si>
  <si>
    <t>22/3/2022 4:21:17 p. m.</t>
  </si>
  <si>
    <t>23032022hc</t>
  </si>
  <si>
    <t>23/3/2022 3:52:21 p. m.</t>
  </si>
  <si>
    <t>24032022OX</t>
  </si>
  <si>
    <t>24/3/2022 3:58:42 p. m.</t>
  </si>
  <si>
    <t>25032022po</t>
  </si>
  <si>
    <t>25/3/2022 1:26:11 p. m.</t>
  </si>
  <si>
    <t>25032022ZC</t>
  </si>
  <si>
    <t>25/3/2022 4:22:46 p. m.</t>
  </si>
  <si>
    <t>26032022QA</t>
  </si>
  <si>
    <t>26/3/2022 11:41:01 a. m.</t>
  </si>
  <si>
    <t>28032022vi</t>
  </si>
  <si>
    <t>28/3/2022 4:35:59 p. m.</t>
  </si>
  <si>
    <t>28032022ne</t>
  </si>
  <si>
    <t>28/3/2022 4:39:41 p. m.</t>
  </si>
  <si>
    <t>29032022ub</t>
  </si>
  <si>
    <t>29/3/2022 4:08:45 p. m.</t>
  </si>
  <si>
    <t>30032022nq</t>
  </si>
  <si>
    <t>30/3/2022 4:30:25 p. m.</t>
  </si>
  <si>
    <t>31032022ZR</t>
  </si>
  <si>
    <t>31/3/2022 4:29:34 p. m.</t>
  </si>
  <si>
    <t>TOATL</t>
  </si>
  <si>
    <t>NOMINA DEL 01/3 AL 15/3</t>
  </si>
  <si>
    <t>BONO DEL 1/3 AL 15/3</t>
  </si>
  <si>
    <t>PAGO NOMINA BOLIVARES</t>
  </si>
  <si>
    <t>TICKET DEL 1/3 AL 15/3</t>
  </si>
  <si>
    <t>PAGO NOMINA DOLARES</t>
  </si>
  <si>
    <t>CANTANTE</t>
  </si>
  <si>
    <t>VIDRIOS</t>
  </si>
  <si>
    <t>PAGO NOMINA 16/3 AL 31/3</t>
  </si>
  <si>
    <t>BONO DEL 16/3 AL 31/3</t>
  </si>
  <si>
    <t>TICKET DEL 16/3 AL 31/3</t>
  </si>
  <si>
    <t xml:space="preserve">ANIMACION 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</si>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</sst>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 &quot;Bs.S&quot;\ * #,##0.00_ ;_ &quot;Bs.S&quot;\ * \-#,##0.00_ ;_ &quot;Bs.S&quot;\ * &quot;-&quot;??_ ;_ @_ "/>
    <numFmt numFmtId="43" formatCode="_ * #,##0.00_ ;_ * \-#,##0.00_ ;_ * &quot;-&quot;??_ ;_ @_ "/>
    <numFmt numFmtId="164" formatCode="_-[$$-409]* #,##0.00_ ;_-[$$-409]* \-#,##0.00\ ;_-[$$-409]* &quot;-&quot;??_ ;_-@_ "/>
    <numFmt numFmtId="165" formatCode="0.000"/>
    <numFmt numFmtId="166" formatCode="_-[$$-409]* #,##0_ ;_-[$$-409]* \-#,##0\ ;_-[$$-409]* &quot;-&quot;??_ ;_-@_ "/>
    <numFmt numFmtId="167" formatCode="_ [$Bs.S-200A]* #,##0.00_ ;_ [$Bs.S-200A]* \-#,##0.00_ ;_ [$Bs.S-200A]* &quot;-&quot;??_ ;_ @_ "/>
    <numFmt numFmtId="170" formatCode="_-[$$-540A]* #,##0.00_ ;_-[$$-540A]* \-#,##0.00\ ;_-[$$-540A]* &quot;-&quot;??_ ;_-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Algerian"/>
      <family val="5"/>
    </font>
    <font>
      <sz val="11"/>
      <color theme="1"/>
      <name val="Calibri"/>
      <family val="2"/>
      <scheme val="minor"/>
    </font>
    <font>
      <sz val="11"/>
      <color theme="1"/>
      <name val="Baskerville Old Face"/>
      <family val="1"/>
    </font>
    <font>
      <sz val="28"/>
      <color theme="1"/>
      <name val="Baskerville Old Face"/>
      <family val="1"/>
    </font>
    <font>
      <sz val="48"/>
      <color theme="1"/>
      <name val="Baskerville Old Face"/>
      <family val="1"/>
    </font>
    <font>
      <sz val="11"/>
      <color theme="1"/>
      <name val="Calibri"/>
      <family val="2"/>
      <scheme val="minor"/>
    </font>
    <font>
      <sz val="36"/>
      <color theme="1"/>
      <name val="Baskerville Old Face"/>
      <family val="1"/>
    </font>
    <font>
      <sz val="26"/>
      <color theme="1"/>
      <name val="Calibri"/>
      <family val="2"/>
      <scheme val="minor"/>
    </font>
    <font>
      <sz val="26"/>
      <color theme="1"/>
      <name val="Baskerville Old Face"/>
      <family val="1"/>
    </font>
    <font>
      <sz val="36"/>
      <color theme="1"/>
      <name val="Calibri"/>
      <family val="2"/>
      <scheme val="minor"/>
    </font>
    <font>
      <sz val="24"/>
      <color theme="1"/>
      <name val="Baskerville Old Face"/>
      <family val="1"/>
    </font>
    <font>
      <sz val="12"/>
      <color theme="1"/>
      <name val="Baskerville Old Face"/>
      <family val="1"/>
    </font>
    <font>
      <sz val="11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/>
      <bottom style="thin">
        <color indexed="64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4" tint="0.39997558519241921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4" tint="0.39997558519241921"/>
      </bottom>
      <diagonal/>
    </border>
    <border>
      <left style="thin">
        <color theme="6" tint="-0.499984740745262"/>
      </left>
      <right/>
      <top style="thin">
        <color theme="6" tint="-0.499984740745262"/>
      </top>
      <bottom/>
      <diagonal/>
    </border>
    <border>
      <left/>
      <right style="thin">
        <color theme="6" tint="-0.499984740745262"/>
      </right>
      <top style="thin">
        <color theme="6" tint="-0.499984740745262"/>
      </top>
      <bottom/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8">
    <xf numFmtId="0" fontId="0" fillId="0" borderId="0" xfId="0"/>
    <xf numFmtId="0" fontId="0" fillId="0" borderId="1" xfId="0" applyBorder="1"/>
    <xf numFmtId="0" fontId="0" fillId="2" borderId="4" xfId="0" applyFill="1" applyBorder="1" applyAlignment="1">
      <alignment wrapText="1"/>
    </xf>
    <xf numFmtId="0" fontId="0" fillId="2" borderId="3" xfId="0" applyFill="1" applyBorder="1" applyAlignment="1">
      <alignment wrapText="1"/>
    </xf>
    <xf numFmtId="43" fontId="0" fillId="2" borderId="3" xfId="1" applyFont="1" applyFill="1" applyBorder="1" applyAlignment="1">
      <alignment wrapText="1"/>
    </xf>
    <xf numFmtId="43" fontId="2" fillId="3" borderId="3" xfId="1" applyFont="1" applyFill="1" applyBorder="1" applyAlignment="1">
      <alignment wrapText="1"/>
    </xf>
    <xf numFmtId="43" fontId="2" fillId="3" borderId="5" xfId="1" applyFont="1" applyFill="1" applyBorder="1" applyAlignment="1">
      <alignment wrapText="1"/>
    </xf>
    <xf numFmtId="14" fontId="0" fillId="0" borderId="1" xfId="0" applyNumberFormat="1" applyBorder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0" fontId="0" fillId="0" borderId="2" xfId="0" applyBorder="1"/>
    <xf numFmtId="43" fontId="0" fillId="0" borderId="2" xfId="1" applyFont="1" applyBorder="1"/>
    <xf numFmtId="14" fontId="0" fillId="0" borderId="2" xfId="0" applyNumberFormat="1" applyBorder="1"/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14" fontId="0" fillId="4" borderId="6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14" fontId="0" fillId="4" borderId="9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4" fontId="0" fillId="4" borderId="12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43" fontId="0" fillId="0" borderId="0" xfId="1" applyFont="1"/>
    <xf numFmtId="14" fontId="0" fillId="4" borderId="5" xfId="0" applyNumberFormat="1" applyFill="1" applyBorder="1" applyAlignment="1">
      <alignment horizontal="center"/>
    </xf>
    <xf numFmtId="9" fontId="0" fillId="0" borderId="1" xfId="0" applyNumberFormat="1" applyBorder="1"/>
    <xf numFmtId="9" fontId="0" fillId="2" borderId="3" xfId="1" applyNumberFormat="1" applyFont="1" applyFill="1" applyBorder="1" applyAlignment="1">
      <alignment wrapText="1"/>
    </xf>
    <xf numFmtId="9" fontId="0" fillId="0" borderId="2" xfId="0" applyNumberFormat="1" applyBorder="1"/>
    <xf numFmtId="9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left"/>
    </xf>
    <xf numFmtId="0" fontId="3" fillId="0" borderId="0" xfId="0" applyFont="1" applyAlignment="1">
      <alignment horizontal="left"/>
    </xf>
    <xf numFmtId="43" fontId="0" fillId="0" borderId="0" xfId="1" applyFont="1" applyFill="1" applyAlignment="1">
      <alignment horizontal="center"/>
    </xf>
    <xf numFmtId="14" fontId="0" fillId="0" borderId="9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43" fontId="0" fillId="0" borderId="10" xfId="1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14" fontId="0" fillId="0" borderId="12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14" fontId="0" fillId="0" borderId="5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43" fontId="0" fillId="0" borderId="14" xfId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3" fontId="0" fillId="0" borderId="7" xfId="1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43" fontId="0" fillId="4" borderId="0" xfId="1" applyFont="1" applyFill="1" applyBorder="1" applyAlignment="1">
      <alignment horizontal="center"/>
    </xf>
    <xf numFmtId="43" fontId="0" fillId="4" borderId="10" xfId="1" applyFont="1" applyFill="1" applyBorder="1" applyAlignment="1">
      <alignment horizontal="center"/>
    </xf>
    <xf numFmtId="43" fontId="0" fillId="4" borderId="14" xfId="1" applyFont="1" applyFill="1" applyBorder="1" applyAlignment="1">
      <alignment horizontal="center"/>
    </xf>
    <xf numFmtId="43" fontId="0" fillId="4" borderId="7" xfId="1" applyFont="1" applyFill="1" applyBorder="1" applyAlignment="1">
      <alignment horizontal="center"/>
    </xf>
    <xf numFmtId="43" fontId="0" fillId="6" borderId="0" xfId="1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14" fontId="0" fillId="4" borderId="9" xfId="0" applyNumberFormat="1" applyFont="1" applyFill="1" applyBorder="1" applyAlignment="1">
      <alignment horizontal="center"/>
    </xf>
    <xf numFmtId="0" fontId="0" fillId="0" borderId="0" xfId="0" applyBorder="1"/>
    <xf numFmtId="164" fontId="0" fillId="0" borderId="8" xfId="0" applyNumberFormat="1" applyBorder="1"/>
    <xf numFmtId="14" fontId="0" fillId="0" borderId="0" xfId="0" applyNumberFormat="1" applyBorder="1"/>
    <xf numFmtId="9" fontId="0" fillId="0" borderId="0" xfId="0" applyNumberFormat="1" applyBorder="1"/>
    <xf numFmtId="0" fontId="0" fillId="0" borderId="0" xfId="0" applyNumberFormat="1" applyBorder="1"/>
    <xf numFmtId="0" fontId="0" fillId="0" borderId="6" xfId="0" applyNumberFormat="1" applyBorder="1"/>
    <xf numFmtId="14" fontId="0" fillId="0" borderId="0" xfId="0" applyNumberFormat="1" applyFont="1" applyFill="1" applyBorder="1" applyAlignment="1">
      <alignment horizontal="center"/>
    </xf>
    <xf numFmtId="43" fontId="0" fillId="0" borderId="0" xfId="0" applyNumberFormat="1"/>
    <xf numFmtId="14" fontId="0" fillId="4" borderId="12" xfId="0" applyNumberFormat="1" applyFont="1" applyFill="1" applyBorder="1" applyAlignment="1">
      <alignment horizontal="center"/>
    </xf>
    <xf numFmtId="14" fontId="0" fillId="4" borderId="5" xfId="0" applyNumberFormat="1" applyFont="1" applyFill="1" applyBorder="1" applyAlignment="1">
      <alignment horizontal="center"/>
    </xf>
    <xf numFmtId="0" fontId="0" fillId="0" borderId="0" xfId="0" applyFill="1"/>
    <xf numFmtId="43" fontId="0" fillId="7" borderId="14" xfId="1" applyFont="1" applyFill="1" applyBorder="1" applyAlignment="1">
      <alignment horizontal="center"/>
    </xf>
    <xf numFmtId="43" fontId="0" fillId="7" borderId="0" xfId="1" applyFont="1" applyFill="1" applyBorder="1" applyAlignment="1">
      <alignment horizontal="center"/>
    </xf>
    <xf numFmtId="43" fontId="0" fillId="7" borderId="10" xfId="1" applyFont="1" applyFill="1" applyBorder="1" applyAlignment="1">
      <alignment horizontal="center"/>
    </xf>
    <xf numFmtId="43" fontId="0" fillId="0" borderId="0" xfId="0" applyNumberFormat="1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43" fontId="4" fillId="0" borderId="0" xfId="0" applyNumberFormat="1" applyFont="1" applyBorder="1"/>
    <xf numFmtId="43" fontId="4" fillId="0" borderId="0" xfId="0" applyNumberFormat="1" applyFont="1" applyBorder="1" applyAlignment="1">
      <alignment horizontal="center"/>
    </xf>
    <xf numFmtId="2" fontId="0" fillId="0" borderId="1" xfId="0" applyNumberFormat="1" applyBorder="1"/>
    <xf numFmtId="2" fontId="0" fillId="0" borderId="2" xfId="0" applyNumberFormat="1" applyBorder="1"/>
    <xf numFmtId="43" fontId="0" fillId="0" borderId="1" xfId="0" applyNumberFormat="1" applyBorder="1"/>
    <xf numFmtId="43" fontId="0" fillId="0" borderId="2" xfId="0" applyNumberFormat="1" applyBorder="1"/>
    <xf numFmtId="0" fontId="0" fillId="4" borderId="0" xfId="0" applyFon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4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 applyAlignment="1">
      <alignment horizontal="center"/>
    </xf>
    <xf numFmtId="164" fontId="0" fillId="4" borderId="1" xfId="0" applyNumberFormat="1" applyFont="1" applyFill="1" applyBorder="1" applyAlignment="1">
      <alignment horizontal="center"/>
    </xf>
    <xf numFmtId="0" fontId="0" fillId="4" borderId="14" xfId="0" applyFon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7" borderId="0" xfId="0" applyFill="1" applyAlignment="1">
      <alignment horizontal="center"/>
    </xf>
    <xf numFmtId="43" fontId="0" fillId="4" borderId="9" xfId="0" applyNumberFormat="1" applyFont="1" applyFill="1" applyBorder="1" applyAlignment="1">
      <alignment horizontal="center"/>
    </xf>
    <xf numFmtId="43" fontId="0" fillId="4" borderId="12" xfId="0" applyNumberFormat="1" applyFont="1" applyFill="1" applyBorder="1" applyAlignment="1">
      <alignment horizontal="center"/>
    </xf>
    <xf numFmtId="43" fontId="0" fillId="4" borderId="5" xfId="0" applyNumberFormat="1" applyFont="1" applyFill="1" applyBorder="1" applyAlignment="1">
      <alignment horizontal="center"/>
    </xf>
    <xf numFmtId="43" fontId="0" fillId="4" borderId="6" xfId="0" applyNumberFormat="1" applyFont="1" applyFill="1" applyBorder="1" applyAlignment="1">
      <alignment horizontal="center"/>
    </xf>
    <xf numFmtId="43" fontId="0" fillId="4" borderId="9" xfId="1" applyFont="1" applyFill="1" applyBorder="1" applyAlignment="1">
      <alignment horizontal="center"/>
    </xf>
    <xf numFmtId="43" fontId="0" fillId="4" borderId="12" xfId="1" applyFont="1" applyFill="1" applyBorder="1" applyAlignment="1">
      <alignment horizontal="center"/>
    </xf>
    <xf numFmtId="43" fontId="0" fillId="4" borderId="5" xfId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164" fontId="0" fillId="4" borderId="15" xfId="0" applyNumberFormat="1" applyFont="1" applyFill="1" applyBorder="1" applyAlignment="1">
      <alignment horizontal="center"/>
    </xf>
    <xf numFmtId="164" fontId="0" fillId="4" borderId="3" xfId="0" applyNumberFormat="1" applyFont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14" fontId="0" fillId="7" borderId="0" xfId="0" applyNumberFormat="1" applyFont="1" applyFill="1" applyBorder="1" applyAlignment="1">
      <alignment horizontal="center"/>
    </xf>
    <xf numFmtId="43" fontId="0" fillId="7" borderId="0" xfId="1" applyFont="1" applyFill="1" applyAlignment="1">
      <alignment horizontal="center"/>
    </xf>
    <xf numFmtId="43" fontId="0" fillId="0" borderId="2" xfId="1" applyFont="1" applyFill="1" applyBorder="1" applyAlignment="1">
      <alignment horizontal="center"/>
    </xf>
    <xf numFmtId="43" fontId="0" fillId="0" borderId="15" xfId="1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2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164" fontId="0" fillId="0" borderId="0" xfId="0" applyNumberFormat="1" applyBorder="1"/>
    <xf numFmtId="164" fontId="0" fillId="0" borderId="1" xfId="0" applyNumberFormat="1" applyBorder="1"/>
    <xf numFmtId="43" fontId="0" fillId="0" borderId="0" xfId="0" applyNumberFormat="1" applyFont="1" applyBorder="1"/>
    <xf numFmtId="164" fontId="0" fillId="7" borderId="2" xfId="0" applyNumberFormat="1" applyFill="1" applyBorder="1" applyAlignment="1">
      <alignment horizontal="center"/>
    </xf>
    <xf numFmtId="164" fontId="0" fillId="7" borderId="11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11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43" fontId="0" fillId="0" borderId="2" xfId="1" applyNumberFormat="1" applyFont="1" applyBorder="1"/>
    <xf numFmtId="0" fontId="4" fillId="0" borderId="2" xfId="0" applyFont="1" applyBorder="1" applyAlignment="1">
      <alignment horizontal="center"/>
    </xf>
    <xf numFmtId="0" fontId="0" fillId="0" borderId="2" xfId="0" applyNumberFormat="1" applyBorder="1"/>
    <xf numFmtId="164" fontId="0" fillId="0" borderId="2" xfId="0" applyNumberFormat="1" applyBorder="1"/>
    <xf numFmtId="10" fontId="0" fillId="0" borderId="0" xfId="0" applyNumberFormat="1"/>
    <xf numFmtId="0" fontId="0" fillId="0" borderId="17" xfId="0" applyFont="1" applyBorder="1" applyAlignment="1">
      <alignment horizontal="center"/>
    </xf>
    <xf numFmtId="43" fontId="0" fillId="0" borderId="17" xfId="1" applyNumberFormat="1" applyFont="1" applyBorder="1" applyAlignment="1">
      <alignment horizontal="center"/>
    </xf>
    <xf numFmtId="43" fontId="0" fillId="0" borderId="18" xfId="1" applyNumberFormat="1" applyFont="1" applyBorder="1" applyAlignment="1">
      <alignment horizontal="center"/>
    </xf>
    <xf numFmtId="14" fontId="0" fillId="8" borderId="16" xfId="0" applyNumberFormat="1" applyFont="1" applyFill="1" applyBorder="1" applyAlignment="1">
      <alignment horizontal="center"/>
    </xf>
    <xf numFmtId="0" fontId="0" fillId="8" borderId="17" xfId="0" applyFont="1" applyFill="1" applyBorder="1" applyAlignment="1">
      <alignment horizontal="center"/>
    </xf>
    <xf numFmtId="43" fontId="0" fillId="8" borderId="17" xfId="1" applyNumberFormat="1" applyFont="1" applyFill="1" applyBorder="1" applyAlignment="1">
      <alignment horizontal="center"/>
    </xf>
    <xf numFmtId="43" fontId="0" fillId="8" borderId="18" xfId="1" applyNumberFormat="1" applyFont="1" applyFill="1" applyBorder="1" applyAlignment="1">
      <alignment horizontal="center"/>
    </xf>
    <xf numFmtId="43" fontId="0" fillId="10" borderId="0" xfId="1" applyFont="1" applyFill="1" applyAlignment="1">
      <alignment horizontal="center"/>
    </xf>
    <xf numFmtId="164" fontId="0" fillId="10" borderId="0" xfId="0" applyNumberFormat="1" applyFill="1" applyAlignment="1">
      <alignment horizontal="center"/>
    </xf>
    <xf numFmtId="0" fontId="0" fillId="0" borderId="20" xfId="0" applyFont="1" applyBorder="1" applyAlignment="1">
      <alignment horizontal="center"/>
    </xf>
    <xf numFmtId="43" fontId="0" fillId="0" borderId="20" xfId="1" applyNumberFormat="1" applyFont="1" applyBorder="1" applyAlignment="1">
      <alignment horizontal="center"/>
    </xf>
    <xf numFmtId="43" fontId="0" fillId="0" borderId="22" xfId="1" applyNumberFormat="1" applyFont="1" applyBorder="1" applyAlignment="1">
      <alignment horizontal="center"/>
    </xf>
    <xf numFmtId="165" fontId="0" fillId="0" borderId="0" xfId="0" applyNumberFormat="1"/>
    <xf numFmtId="164" fontId="0" fillId="8" borderId="19" xfId="0" applyNumberFormat="1" applyFont="1" applyFill="1" applyBorder="1" applyAlignment="1">
      <alignment horizontal="center"/>
    </xf>
    <xf numFmtId="14" fontId="0" fillId="8" borderId="25" xfId="0" applyNumberFormat="1" applyFont="1" applyFill="1" applyBorder="1" applyAlignment="1">
      <alignment horizontal="center"/>
    </xf>
    <xf numFmtId="0" fontId="0" fillId="8" borderId="26" xfId="0" applyFont="1" applyFill="1" applyBorder="1" applyAlignment="1">
      <alignment horizontal="center"/>
    </xf>
    <xf numFmtId="43" fontId="0" fillId="8" borderId="26" xfId="1" applyNumberFormat="1" applyFont="1" applyFill="1" applyBorder="1" applyAlignment="1">
      <alignment horizontal="center"/>
    </xf>
    <xf numFmtId="43" fontId="0" fillId="8" borderId="23" xfId="1" applyNumberFormat="1" applyFont="1" applyFill="1" applyBorder="1" applyAlignment="1">
      <alignment horizontal="center"/>
    </xf>
    <xf numFmtId="164" fontId="0" fillId="8" borderId="27" xfId="0" applyNumberFormat="1" applyFont="1" applyFill="1" applyBorder="1" applyAlignment="1">
      <alignment horizontal="center"/>
    </xf>
    <xf numFmtId="164" fontId="0" fillId="0" borderId="19" xfId="0" applyNumberFormat="1" applyFont="1" applyBorder="1" applyAlignment="1">
      <alignment horizontal="center"/>
    </xf>
    <xf numFmtId="14" fontId="0" fillId="8" borderId="24" xfId="0" applyNumberFormat="1" applyFont="1" applyFill="1" applyBorder="1" applyAlignment="1">
      <alignment horizontal="center"/>
    </xf>
    <xf numFmtId="0" fontId="2" fillId="9" borderId="28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0" borderId="21" xfId="0" applyNumberFormat="1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0" xfId="2" applyFont="1"/>
    <xf numFmtId="9" fontId="0" fillId="0" borderId="0" xfId="2" applyNumberFormat="1" applyFont="1"/>
    <xf numFmtId="14" fontId="0" fillId="0" borderId="0" xfId="0" applyNumberFormat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5" borderId="1" xfId="0" applyFill="1" applyBorder="1" applyAlignment="1">
      <alignment horizontal="center"/>
    </xf>
    <xf numFmtId="9" fontId="0" fillId="0" borderId="0" xfId="0" applyNumberFormat="1" applyAlignment="1">
      <alignment horizontal="center"/>
    </xf>
    <xf numFmtId="17" fontId="0" fillId="0" borderId="0" xfId="0" applyNumberFormat="1"/>
    <xf numFmtId="0" fontId="2" fillId="9" borderId="30" xfId="0" applyFont="1" applyFill="1" applyBorder="1" applyAlignment="1">
      <alignment horizontal="center"/>
    </xf>
    <xf numFmtId="0" fontId="2" fillId="9" borderId="31" xfId="0" applyFont="1" applyFill="1" applyBorder="1" applyAlignment="1">
      <alignment horizontal="center"/>
    </xf>
    <xf numFmtId="0" fontId="2" fillId="9" borderId="32" xfId="0" applyFont="1" applyFill="1" applyBorder="1" applyAlignment="1">
      <alignment horizontal="center"/>
    </xf>
    <xf numFmtId="164" fontId="0" fillId="0" borderId="0" xfId="0" applyNumberFormat="1" applyFill="1" applyBorder="1"/>
    <xf numFmtId="0" fontId="0" fillId="0" borderId="0" xfId="0" applyFill="1" applyBorder="1"/>
    <xf numFmtId="43" fontId="0" fillId="0" borderId="2" xfId="1" applyFont="1" applyBorder="1" applyAlignment="1">
      <alignment horizontal="center"/>
    </xf>
    <xf numFmtId="43" fontId="4" fillId="0" borderId="1" xfId="1" applyFont="1" applyBorder="1"/>
    <xf numFmtId="43" fontId="4" fillId="0" borderId="1" xfId="1" applyNumberFormat="1" applyFont="1" applyBorder="1"/>
    <xf numFmtId="43" fontId="4" fillId="0" borderId="1" xfId="1" applyFont="1" applyBorder="1" applyAlignment="1">
      <alignment horizontal="center"/>
    </xf>
    <xf numFmtId="0" fontId="0" fillId="0" borderId="1" xfId="0" applyNumberFormat="1" applyBorder="1"/>
    <xf numFmtId="43" fontId="4" fillId="0" borderId="2" xfId="1" applyFont="1" applyBorder="1"/>
    <xf numFmtId="43" fontId="4" fillId="0" borderId="2" xfId="1" applyNumberFormat="1" applyFont="1" applyBorder="1"/>
    <xf numFmtId="43" fontId="4" fillId="0" borderId="2" xfId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43" fontId="4" fillId="0" borderId="0" xfId="1" applyFont="1" applyBorder="1"/>
    <xf numFmtId="43" fontId="4" fillId="0" borderId="0" xfId="1" applyNumberFormat="1" applyFont="1" applyBorder="1"/>
    <xf numFmtId="43" fontId="4" fillId="0" borderId="0" xfId="1" applyFont="1" applyBorder="1" applyAlignment="1">
      <alignment horizontal="center"/>
    </xf>
    <xf numFmtId="43" fontId="0" fillId="0" borderId="0" xfId="1" applyFont="1" applyBorder="1"/>
    <xf numFmtId="43" fontId="7" fillId="0" borderId="0" xfId="1" applyFont="1" applyAlignment="1">
      <alignment horizontal="center"/>
    </xf>
    <xf numFmtId="14" fontId="0" fillId="0" borderId="0" xfId="0" applyNumberFormat="1"/>
    <xf numFmtId="0" fontId="6" fillId="0" borderId="0" xfId="0" applyFont="1"/>
    <xf numFmtId="14" fontId="4" fillId="0" borderId="36" xfId="0" applyNumberFormat="1" applyFont="1" applyFill="1" applyBorder="1" applyAlignment="1">
      <alignment horizontal="center"/>
    </xf>
    <xf numFmtId="14" fontId="4" fillId="0" borderId="16" xfId="0" applyNumberFormat="1" applyFont="1" applyFill="1" applyBorder="1" applyAlignment="1">
      <alignment horizontal="center"/>
    </xf>
    <xf numFmtId="14" fontId="0" fillId="0" borderId="25" xfId="0" applyNumberFormat="1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43" fontId="0" fillId="0" borderId="26" xfId="1" applyNumberFormat="1" applyFont="1" applyFill="1" applyBorder="1" applyAlignment="1">
      <alignment horizontal="center"/>
    </xf>
    <xf numFmtId="43" fontId="0" fillId="0" borderId="25" xfId="1" applyNumberFormat="1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43" fontId="0" fillId="0" borderId="17" xfId="1" applyNumberFormat="1" applyFont="1" applyFill="1" applyBorder="1" applyAlignment="1">
      <alignment horizontal="center"/>
    </xf>
    <xf numFmtId="43" fontId="0" fillId="0" borderId="16" xfId="1" applyNumberFormat="1" applyFont="1" applyFill="1" applyBorder="1" applyAlignment="1">
      <alignment horizontal="center"/>
    </xf>
    <xf numFmtId="14" fontId="0" fillId="0" borderId="6" xfId="0" applyNumberFormat="1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43" fontId="0" fillId="0" borderId="35" xfId="1" applyNumberFormat="1" applyFont="1" applyFill="1" applyBorder="1" applyAlignment="1">
      <alignment horizontal="center"/>
    </xf>
    <xf numFmtId="43" fontId="0" fillId="0" borderId="24" xfId="1" applyNumberFormat="1" applyFont="1" applyFill="1" applyBorder="1" applyAlignment="1">
      <alignment horizontal="center"/>
    </xf>
    <xf numFmtId="14" fontId="4" fillId="0" borderId="25" xfId="0" applyNumberFormat="1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14" fontId="4" fillId="0" borderId="24" xfId="0" applyNumberFormat="1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14" fontId="4" fillId="0" borderId="6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14" fontId="4" fillId="0" borderId="9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4" fontId="4" fillId="0" borderId="5" xfId="0" applyNumberFormat="1" applyFont="1" applyFill="1" applyBorder="1" applyAlignment="1">
      <alignment horizontal="center"/>
    </xf>
    <xf numFmtId="14" fontId="4" fillId="0" borderId="12" xfId="0" applyNumberFormat="1" applyFont="1" applyFill="1" applyBorder="1" applyAlignment="1">
      <alignment horizontal="center"/>
    </xf>
    <xf numFmtId="164" fontId="0" fillId="0" borderId="23" xfId="0" applyNumberFormat="1" applyFont="1" applyFill="1" applyBorder="1" applyAlignment="1">
      <alignment horizontal="center"/>
    </xf>
    <xf numFmtId="164" fontId="0" fillId="0" borderId="18" xfId="0" applyNumberFormat="1" applyFont="1" applyFill="1" applyBorder="1" applyAlignment="1">
      <alignment horizontal="center"/>
    </xf>
    <xf numFmtId="164" fontId="0" fillId="0" borderId="34" xfId="0" applyNumberFormat="1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0" fillId="0" borderId="0" xfId="0" applyNumberFormat="1"/>
    <xf numFmtId="0" fontId="5" fillId="0" borderId="0" xfId="0" applyFont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14" fontId="0" fillId="0" borderId="36" xfId="0" applyNumberFormat="1" applyFont="1" applyFill="1" applyBorder="1" applyAlignment="1">
      <alignment horizontal="center"/>
    </xf>
    <xf numFmtId="0" fontId="4" fillId="0" borderId="26" xfId="0" applyFont="1" applyBorder="1" applyAlignment="1">
      <alignment horizontal="center"/>
    </xf>
    <xf numFmtId="14" fontId="0" fillId="0" borderId="24" xfId="0" applyNumberFormat="1" applyFont="1" applyFill="1" applyBorder="1" applyAlignment="1">
      <alignment horizontal="center"/>
    </xf>
    <xf numFmtId="14" fontId="0" fillId="0" borderId="5" xfId="0" applyNumberFormat="1" applyFont="1" applyFill="1" applyBorder="1" applyAlignment="1">
      <alignment horizontal="center"/>
    </xf>
    <xf numFmtId="14" fontId="8" fillId="0" borderId="16" xfId="0" applyNumberFormat="1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14" fontId="8" fillId="0" borderId="33" xfId="0" applyNumberFormat="1" applyFont="1" applyFill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14" fontId="8" fillId="0" borderId="36" xfId="0" applyNumberFormat="1" applyFont="1" applyFill="1" applyBorder="1" applyAlignment="1">
      <alignment horizontal="center"/>
    </xf>
    <xf numFmtId="0" fontId="8" fillId="0" borderId="31" xfId="0" applyFont="1" applyBorder="1" applyAlignment="1">
      <alignment horizontal="center"/>
    </xf>
    <xf numFmtId="14" fontId="0" fillId="0" borderId="9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14" fontId="8" fillId="0" borderId="24" xfId="0" applyNumberFormat="1" applyFont="1" applyFill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14" fontId="8" fillId="0" borderId="25" xfId="0" applyNumberFormat="1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2" fillId="11" borderId="39" xfId="0" applyFont="1" applyFill="1" applyBorder="1"/>
    <xf numFmtId="0" fontId="2" fillId="11" borderId="0" xfId="0" applyFont="1" applyFill="1" applyBorder="1"/>
    <xf numFmtId="0" fontId="2" fillId="11" borderId="40" xfId="0" applyFont="1" applyFill="1" applyBorder="1"/>
    <xf numFmtId="166" fontId="0" fillId="0" borderId="0" xfId="0" applyNumberForma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4" fontId="8" fillId="0" borderId="6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164" fontId="0" fillId="0" borderId="0" xfId="3" applyNumberFormat="1" applyFont="1"/>
    <xf numFmtId="14" fontId="8" fillId="0" borderId="12" xfId="0" applyNumberFormat="1" applyFont="1" applyFill="1" applyBorder="1" applyAlignment="1">
      <alignment horizontal="center"/>
    </xf>
    <xf numFmtId="14" fontId="0" fillId="0" borderId="41" xfId="0" applyNumberFormat="1" applyFont="1" applyBorder="1"/>
    <xf numFmtId="0" fontId="0" fillId="0" borderId="42" xfId="0" applyFont="1" applyBorder="1"/>
    <xf numFmtId="164" fontId="0" fillId="0" borderId="43" xfId="0" applyNumberFormat="1" applyFont="1" applyBorder="1"/>
    <xf numFmtId="167" fontId="0" fillId="0" borderId="0" xfId="0" applyNumberFormat="1"/>
    <xf numFmtId="167" fontId="0" fillId="0" borderId="42" xfId="0" applyNumberFormat="1" applyFont="1" applyBorder="1"/>
    <xf numFmtId="43" fontId="0" fillId="0" borderId="42" xfId="1" applyNumberFormat="1" applyFont="1" applyBorder="1"/>
    <xf numFmtId="43" fontId="0" fillId="0" borderId="42" xfId="0" applyNumberFormat="1" applyFont="1" applyBorder="1"/>
    <xf numFmtId="0" fontId="2" fillId="0" borderId="37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43" fontId="2" fillId="0" borderId="3" xfId="1" applyNumberFormat="1" applyFont="1" applyFill="1" applyBorder="1" applyAlignment="1">
      <alignment wrapText="1"/>
    </xf>
    <xf numFmtId="9" fontId="2" fillId="0" borderId="3" xfId="1" applyNumberFormat="1" applyFont="1" applyFill="1" applyBorder="1" applyAlignment="1">
      <alignment wrapText="1"/>
    </xf>
    <xf numFmtId="43" fontId="2" fillId="0" borderId="38" xfId="1" applyNumberFormat="1" applyFont="1" applyFill="1" applyBorder="1" applyAlignment="1">
      <alignment wrapText="1"/>
    </xf>
    <xf numFmtId="14" fontId="0" fillId="0" borderId="1" xfId="0" applyNumberFormat="1" applyFont="1" applyFill="1" applyBorder="1"/>
    <xf numFmtId="0" fontId="0" fillId="0" borderId="1" xfId="0" applyFont="1" applyFill="1" applyBorder="1"/>
    <xf numFmtId="43" fontId="0" fillId="0" borderId="1" xfId="1" applyNumberFormat="1" applyFont="1" applyFill="1" applyBorder="1"/>
    <xf numFmtId="9" fontId="0" fillId="0" borderId="1" xfId="0" applyNumberFormat="1" applyFont="1" applyFill="1" applyBorder="1"/>
    <xf numFmtId="43" fontId="0" fillId="0" borderId="1" xfId="1" applyNumberFormat="1" applyFont="1" applyFill="1" applyBorder="1" applyAlignment="1">
      <alignment horizontal="center"/>
    </xf>
    <xf numFmtId="164" fontId="0" fillId="0" borderId="1" xfId="0" applyNumberFormat="1" applyFont="1" applyFill="1" applyBorder="1"/>
    <xf numFmtId="14" fontId="0" fillId="0" borderId="2" xfId="0" applyNumberFormat="1" applyFont="1" applyFill="1" applyBorder="1"/>
    <xf numFmtId="0" fontId="0" fillId="0" borderId="2" xfId="0" applyFont="1" applyFill="1" applyBorder="1"/>
    <xf numFmtId="43" fontId="0" fillId="0" borderId="2" xfId="1" applyNumberFormat="1" applyFont="1" applyFill="1" applyBorder="1"/>
    <xf numFmtId="9" fontId="0" fillId="0" borderId="2" xfId="0" applyNumberFormat="1" applyFont="1" applyFill="1" applyBorder="1"/>
    <xf numFmtId="43" fontId="0" fillId="0" borderId="2" xfId="1" applyNumberFormat="1" applyFont="1" applyFill="1" applyBorder="1" applyAlignment="1">
      <alignment horizontal="center"/>
    </xf>
    <xf numFmtId="164" fontId="0" fillId="0" borderId="2" xfId="0" applyNumberFormat="1" applyFont="1" applyFill="1" applyBorder="1"/>
    <xf numFmtId="14" fontId="8" fillId="0" borderId="1" xfId="0" applyNumberFormat="1" applyFont="1" applyFill="1" applyBorder="1"/>
    <xf numFmtId="0" fontId="8" fillId="0" borderId="1" xfId="0" applyFont="1" applyFill="1" applyBorder="1"/>
    <xf numFmtId="43" fontId="8" fillId="0" borderId="1" xfId="1" applyNumberFormat="1" applyFont="1" applyFill="1" applyBorder="1"/>
    <xf numFmtId="9" fontId="8" fillId="0" borderId="1" xfId="0" applyNumberFormat="1" applyFont="1" applyFill="1" applyBorder="1"/>
    <xf numFmtId="43" fontId="8" fillId="0" borderId="1" xfId="1" applyNumberFormat="1" applyFont="1" applyFill="1" applyBorder="1" applyAlignment="1">
      <alignment horizontal="center"/>
    </xf>
    <xf numFmtId="0" fontId="8" fillId="0" borderId="1" xfId="0" applyNumberFormat="1" applyFont="1" applyFill="1" applyBorder="1"/>
    <xf numFmtId="164" fontId="8" fillId="0" borderId="1" xfId="0" applyNumberFormat="1" applyFont="1" applyFill="1" applyBorder="1"/>
    <xf numFmtId="14" fontId="8" fillId="0" borderId="2" xfId="0" applyNumberFormat="1" applyFont="1" applyFill="1" applyBorder="1"/>
    <xf numFmtId="0" fontId="8" fillId="0" borderId="2" xfId="0" applyFont="1" applyFill="1" applyBorder="1"/>
    <xf numFmtId="43" fontId="8" fillId="0" borderId="2" xfId="1" applyNumberFormat="1" applyFont="1" applyFill="1" applyBorder="1"/>
    <xf numFmtId="9" fontId="8" fillId="0" borderId="2" xfId="0" applyNumberFormat="1" applyFont="1" applyFill="1" applyBorder="1"/>
    <xf numFmtId="43" fontId="8" fillId="0" borderId="2" xfId="1" applyNumberFormat="1" applyFont="1" applyFill="1" applyBorder="1" applyAlignment="1">
      <alignment horizontal="center"/>
    </xf>
    <xf numFmtId="0" fontId="8" fillId="0" borderId="2" xfId="0" applyNumberFormat="1" applyFont="1" applyFill="1" applyBorder="1"/>
    <xf numFmtId="164" fontId="8" fillId="0" borderId="2" xfId="0" applyNumberFormat="1" applyFont="1" applyFill="1" applyBorder="1"/>
    <xf numFmtId="14" fontId="0" fillId="0" borderId="0" xfId="0" applyNumberFormat="1" applyFill="1" applyBorder="1"/>
    <xf numFmtId="43" fontId="4" fillId="0" borderId="0" xfId="1" applyFont="1" applyFill="1" applyBorder="1"/>
    <xf numFmtId="9" fontId="0" fillId="0" borderId="0" xfId="0" applyNumberFormat="1" applyFill="1" applyBorder="1"/>
    <xf numFmtId="43" fontId="4" fillId="0" borderId="0" xfId="1" applyNumberFormat="1" applyFont="1" applyFill="1" applyBorder="1"/>
    <xf numFmtId="43" fontId="4" fillId="0" borderId="0" xfId="1" applyFont="1" applyFill="1" applyBorder="1" applyAlignment="1">
      <alignment horizontal="center"/>
    </xf>
    <xf numFmtId="0" fontId="0" fillId="0" borderId="0" xfId="0" applyNumberFormat="1" applyFill="1" applyBorder="1"/>
    <xf numFmtId="0" fontId="8" fillId="5" borderId="2" xfId="0" applyNumberFormat="1" applyFont="1" applyFill="1" applyBorder="1"/>
    <xf numFmtId="164" fontId="8" fillId="5" borderId="2" xfId="0" applyNumberFormat="1" applyFont="1" applyFill="1" applyBorder="1"/>
    <xf numFmtId="14" fontId="10" fillId="0" borderId="16" xfId="0" applyNumberFormat="1" applyFont="1" applyFill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43" fontId="4" fillId="0" borderId="0" xfId="1" applyFont="1" applyBorder="1" applyAlignment="1">
      <alignment horizontal="left"/>
    </xf>
    <xf numFmtId="43" fontId="12" fillId="0" borderId="0" xfId="1" applyFont="1" applyBorder="1" applyAlignment="1">
      <alignment horizontal="left" vertical="top"/>
    </xf>
    <xf numFmtId="9" fontId="12" fillId="0" borderId="0" xfId="0" applyNumberFormat="1" applyFont="1" applyBorder="1" applyAlignment="1">
      <alignment horizontal="left" vertical="top"/>
    </xf>
    <xf numFmtId="43" fontId="9" fillId="0" borderId="0" xfId="1" applyFont="1" applyBorder="1" applyAlignment="1">
      <alignment horizontal="left" vertical="top"/>
    </xf>
    <xf numFmtId="167" fontId="0" fillId="0" borderId="0" xfId="1" applyNumberFormat="1" applyFont="1"/>
    <xf numFmtId="0" fontId="0" fillId="8" borderId="23" xfId="0" applyFont="1" applyFill="1" applyBorder="1" applyAlignment="1">
      <alignment horizontal="center"/>
    </xf>
    <xf numFmtId="164" fontId="0" fillId="0" borderId="1" xfId="0" applyNumberFormat="1" applyFont="1" applyBorder="1"/>
    <xf numFmtId="0" fontId="0" fillId="0" borderId="1" xfId="0" applyFont="1" applyBorder="1"/>
    <xf numFmtId="14" fontId="0" fillId="0" borderId="24" xfId="0" applyNumberFormat="1" applyFont="1" applyBorder="1" applyAlignment="1">
      <alignment horizontal="center"/>
    </xf>
    <xf numFmtId="14" fontId="0" fillId="0" borderId="1" xfId="0" applyNumberFormat="1" applyFont="1" applyBorder="1"/>
    <xf numFmtId="43" fontId="0" fillId="0" borderId="1" xfId="1" applyNumberFormat="1" applyFont="1" applyBorder="1"/>
    <xf numFmtId="9" fontId="0" fillId="0" borderId="1" xfId="0" applyNumberFormat="1" applyFont="1" applyBorder="1"/>
    <xf numFmtId="43" fontId="0" fillId="0" borderId="1" xfId="1" applyNumberFormat="1" applyFont="1" applyBorder="1" applyAlignment="1">
      <alignment horizontal="center"/>
    </xf>
    <xf numFmtId="14" fontId="0" fillId="8" borderId="33" xfId="0" applyNumberFormat="1" applyFont="1" applyFill="1" applyBorder="1" applyAlignment="1">
      <alignment horizontal="center"/>
    </xf>
    <xf numFmtId="0" fontId="0" fillId="8" borderId="22" xfId="0" applyFont="1" applyFill="1" applyBorder="1" applyAlignment="1">
      <alignment horizontal="center"/>
    </xf>
    <xf numFmtId="14" fontId="0" fillId="8" borderId="9" xfId="0" applyNumberFormat="1" applyFont="1" applyFill="1" applyBorder="1" applyAlignment="1">
      <alignment horizontal="center"/>
    </xf>
    <xf numFmtId="0" fontId="0" fillId="8" borderId="10" xfId="0" applyFont="1" applyFill="1" applyBorder="1" applyAlignment="1">
      <alignment horizontal="center"/>
    </xf>
    <xf numFmtId="0" fontId="0" fillId="8" borderId="2" xfId="0" applyFont="1" applyFill="1" applyBorder="1" applyAlignment="1">
      <alignment horizontal="center"/>
    </xf>
    <xf numFmtId="14" fontId="0" fillId="0" borderId="2" xfId="0" applyNumberFormat="1" applyFont="1" applyBorder="1"/>
    <xf numFmtId="0" fontId="0" fillId="0" borderId="2" xfId="0" applyFont="1" applyBorder="1"/>
    <xf numFmtId="9" fontId="0" fillId="0" borderId="2" xfId="0" applyNumberFormat="1" applyFont="1" applyBorder="1"/>
    <xf numFmtId="43" fontId="0" fillId="0" borderId="2" xfId="1" applyNumberFormat="1" applyFont="1" applyBorder="1" applyAlignment="1">
      <alignment horizontal="center"/>
    </xf>
    <xf numFmtId="164" fontId="0" fillId="0" borderId="2" xfId="0" applyNumberFormat="1" applyFont="1" applyBorder="1"/>
    <xf numFmtId="0" fontId="2" fillId="12" borderId="37" xfId="0" applyFont="1" applyFill="1" applyBorder="1" applyAlignment="1">
      <alignment wrapText="1"/>
    </xf>
    <xf numFmtId="0" fontId="2" fillId="12" borderId="3" xfId="0" applyFont="1" applyFill="1" applyBorder="1" applyAlignment="1">
      <alignment wrapText="1"/>
    </xf>
    <xf numFmtId="43" fontId="2" fillId="12" borderId="3" xfId="1" applyNumberFormat="1" applyFont="1" applyFill="1" applyBorder="1" applyAlignment="1">
      <alignment wrapText="1"/>
    </xf>
    <xf numFmtId="9" fontId="2" fillId="12" borderId="3" xfId="1" applyNumberFormat="1" applyFont="1" applyFill="1" applyBorder="1" applyAlignment="1">
      <alignment wrapText="1"/>
    </xf>
    <xf numFmtId="43" fontId="2" fillId="12" borderId="38" xfId="1" applyNumberFormat="1" applyFont="1" applyFill="1" applyBorder="1" applyAlignment="1">
      <alignment wrapText="1"/>
    </xf>
    <xf numFmtId="14" fontId="8" fillId="0" borderId="1" xfId="0" applyNumberFormat="1" applyFont="1" applyBorder="1"/>
    <xf numFmtId="0" fontId="8" fillId="0" borderId="1" xfId="0" applyFont="1" applyBorder="1"/>
    <xf numFmtId="43" fontId="8" fillId="0" borderId="1" xfId="1" applyNumberFormat="1" applyFont="1" applyBorder="1"/>
    <xf numFmtId="9" fontId="8" fillId="0" borderId="1" xfId="0" applyNumberFormat="1" applyFont="1" applyBorder="1"/>
    <xf numFmtId="43" fontId="8" fillId="0" borderId="1" xfId="1" applyNumberFormat="1" applyFont="1" applyBorder="1" applyAlignment="1">
      <alignment horizontal="center"/>
    </xf>
    <xf numFmtId="164" fontId="8" fillId="0" borderId="1" xfId="0" applyNumberFormat="1" applyFont="1" applyBorder="1"/>
    <xf numFmtId="14" fontId="8" fillId="0" borderId="2" xfId="0" applyNumberFormat="1" applyFont="1" applyBorder="1"/>
    <xf numFmtId="0" fontId="8" fillId="0" borderId="2" xfId="0" applyFont="1" applyBorder="1"/>
    <xf numFmtId="43" fontId="8" fillId="0" borderId="2" xfId="1" applyNumberFormat="1" applyFont="1" applyBorder="1"/>
    <xf numFmtId="9" fontId="8" fillId="0" borderId="2" xfId="0" applyNumberFormat="1" applyFont="1" applyBorder="1"/>
    <xf numFmtId="43" fontId="8" fillId="0" borderId="2" xfId="1" applyNumberFormat="1" applyFont="1" applyBorder="1" applyAlignment="1">
      <alignment horizontal="center"/>
    </xf>
    <xf numFmtId="164" fontId="8" fillId="0" borderId="2" xfId="0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4" fontId="0" fillId="7" borderId="46" xfId="0" applyNumberFormat="1" applyFont="1" applyFill="1" applyBorder="1"/>
    <xf numFmtId="0" fontId="0" fillId="7" borderId="46" xfId="0" applyFont="1" applyFill="1" applyBorder="1"/>
    <xf numFmtId="43" fontId="0" fillId="7" borderId="46" xfId="0" applyNumberFormat="1" applyFont="1" applyFill="1" applyBorder="1"/>
    <xf numFmtId="164" fontId="0" fillId="7" borderId="46" xfId="0" applyNumberFormat="1" applyFont="1" applyFill="1" applyBorder="1"/>
    <xf numFmtId="14" fontId="0" fillId="7" borderId="47" xfId="0" applyNumberFormat="1" applyFont="1" applyFill="1" applyBorder="1"/>
    <xf numFmtId="0" fontId="0" fillId="7" borderId="47" xfId="0" applyFont="1" applyFill="1" applyBorder="1"/>
    <xf numFmtId="167" fontId="0" fillId="7" borderId="47" xfId="1" applyNumberFormat="1" applyFont="1" applyFill="1" applyBorder="1"/>
    <xf numFmtId="43" fontId="0" fillId="7" borderId="47" xfId="0" applyNumberFormat="1" applyFont="1" applyFill="1" applyBorder="1"/>
    <xf numFmtId="164" fontId="0" fillId="7" borderId="47" xfId="0" applyNumberFormat="1" applyFont="1" applyFill="1" applyBorder="1"/>
    <xf numFmtId="14" fontId="8" fillId="7" borderId="46" xfId="0" applyNumberFormat="1" applyFont="1" applyFill="1" applyBorder="1"/>
    <xf numFmtId="0" fontId="8" fillId="7" borderId="46" xfId="0" applyFont="1" applyFill="1" applyBorder="1"/>
    <xf numFmtId="167" fontId="8" fillId="7" borderId="46" xfId="0" applyNumberFormat="1" applyFont="1" applyFill="1" applyBorder="1"/>
    <xf numFmtId="43" fontId="8" fillId="7" borderId="46" xfId="0" applyNumberFormat="1" applyFont="1" applyFill="1" applyBorder="1"/>
    <xf numFmtId="164" fontId="8" fillId="7" borderId="46" xfId="0" applyNumberFormat="1" applyFont="1" applyFill="1" applyBorder="1"/>
    <xf numFmtId="14" fontId="8" fillId="7" borderId="47" xfId="0" applyNumberFormat="1" applyFont="1" applyFill="1" applyBorder="1"/>
    <xf numFmtId="0" fontId="8" fillId="7" borderId="47" xfId="0" applyFont="1" applyFill="1" applyBorder="1"/>
    <xf numFmtId="167" fontId="8" fillId="7" borderId="47" xfId="0" applyNumberFormat="1" applyFont="1" applyFill="1" applyBorder="1"/>
    <xf numFmtId="43" fontId="8" fillId="7" borderId="47" xfId="0" applyNumberFormat="1" applyFont="1" applyFill="1" applyBorder="1"/>
    <xf numFmtId="164" fontId="8" fillId="7" borderId="47" xfId="0" applyNumberFormat="1" applyFont="1" applyFill="1" applyBorder="1"/>
    <xf numFmtId="0" fontId="13" fillId="0" borderId="0" xfId="0" applyFont="1" applyAlignment="1">
      <alignment horizontal="left"/>
    </xf>
    <xf numFmtId="14" fontId="12" fillId="0" borderId="0" xfId="0" applyNumberFormat="1" applyFont="1" applyBorder="1"/>
    <xf numFmtId="0" fontId="9" fillId="0" borderId="0" xfId="0" applyFont="1" applyBorder="1"/>
    <xf numFmtId="43" fontId="12" fillId="0" borderId="0" xfId="1" applyFont="1" applyBorder="1"/>
    <xf numFmtId="9" fontId="12" fillId="0" borderId="0" xfId="0" applyNumberFormat="1" applyFont="1" applyBorder="1"/>
    <xf numFmtId="43" fontId="12" fillId="0" borderId="0" xfId="1" applyNumberFormat="1" applyFont="1" applyBorder="1"/>
    <xf numFmtId="43" fontId="12" fillId="0" borderId="0" xfId="1" applyFont="1" applyBorder="1" applyAlignment="1">
      <alignment horizontal="center"/>
    </xf>
    <xf numFmtId="0" fontId="12" fillId="0" borderId="0" xfId="0" applyNumberFormat="1" applyFont="1" applyBorder="1"/>
    <xf numFmtId="164" fontId="12" fillId="0" borderId="0" xfId="0" applyNumberFormat="1" applyFont="1" applyBorder="1"/>
    <xf numFmtId="0" fontId="14" fillId="0" borderId="0" xfId="0" applyFont="1" applyAlignment="1">
      <alignment horizontal="center"/>
    </xf>
    <xf numFmtId="164" fontId="0" fillId="0" borderId="45" xfId="0" applyNumberFormat="1" applyFont="1" applyBorder="1" applyAlignment="1">
      <alignment horizontal="center"/>
    </xf>
    <xf numFmtId="164" fontId="0" fillId="0" borderId="4" xfId="3" applyNumberFormat="1" applyFont="1" applyFill="1" applyBorder="1" applyAlignment="1">
      <alignment horizontal="center"/>
    </xf>
    <xf numFmtId="164" fontId="0" fillId="0" borderId="13" xfId="3" applyNumberFormat="1" applyFont="1" applyFill="1" applyBorder="1" applyAlignment="1">
      <alignment horizontal="center"/>
    </xf>
    <xf numFmtId="164" fontId="0" fillId="0" borderId="11" xfId="1" applyNumberFormat="1" applyFont="1" applyFill="1" applyBorder="1" applyAlignment="1">
      <alignment horizontal="center"/>
    </xf>
    <xf numFmtId="164" fontId="0" fillId="0" borderId="13" xfId="1" applyNumberFormat="1" applyFont="1" applyFill="1" applyBorder="1" applyAlignment="1">
      <alignment horizontal="center"/>
    </xf>
    <xf numFmtId="164" fontId="0" fillId="5" borderId="7" xfId="0" applyNumberForma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164" fontId="0" fillId="0" borderId="25" xfId="0" applyNumberFormat="1" applyFont="1" applyFill="1" applyBorder="1" applyAlignment="1">
      <alignment horizontal="center"/>
    </xf>
    <xf numFmtId="164" fontId="0" fillId="0" borderId="24" xfId="0" applyNumberFormat="1" applyFont="1" applyFill="1" applyBorder="1" applyAlignment="1">
      <alignment horizontal="center"/>
    </xf>
    <xf numFmtId="164" fontId="0" fillId="0" borderId="34" xfId="3" applyNumberFormat="1" applyFon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0" borderId="6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  <xf numFmtId="164" fontId="0" fillId="0" borderId="14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8" borderId="26" xfId="0" applyNumberFormat="1" applyFont="1" applyFill="1" applyBorder="1" applyAlignment="1">
      <alignment horizontal="center"/>
    </xf>
    <xf numFmtId="164" fontId="0" fillId="0" borderId="35" xfId="0" applyNumberFormat="1" applyFont="1" applyBorder="1" applyAlignment="1">
      <alignment horizontal="center"/>
    </xf>
    <xf numFmtId="164" fontId="0" fillId="8" borderId="10" xfId="0" applyNumberFormat="1" applyFont="1" applyFill="1" applyBorder="1" applyAlignment="1">
      <alignment horizontal="center"/>
    </xf>
    <xf numFmtId="164" fontId="0" fillId="8" borderId="11" xfId="0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10" xfId="0" applyBorder="1"/>
    <xf numFmtId="0" fontId="0" fillId="0" borderId="14" xfId="0" applyBorder="1"/>
    <xf numFmtId="164" fontId="0" fillId="0" borderId="8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6" fillId="0" borderId="0" xfId="0" applyFont="1" applyAlignment="1">
      <alignment horizontal="center"/>
    </xf>
    <xf numFmtId="43" fontId="8" fillId="0" borderId="0" xfId="1" applyFont="1"/>
    <xf numFmtId="43" fontId="11" fillId="0" borderId="0" xfId="1" applyFont="1"/>
    <xf numFmtId="0" fontId="11" fillId="0" borderId="0" xfId="0" applyFont="1"/>
    <xf numFmtId="164" fontId="0" fillId="0" borderId="14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7" fontId="0" fillId="7" borderId="47" xfId="0" applyNumberFormat="1" applyFont="1" applyFill="1" applyBorder="1"/>
    <xf numFmtId="166" fontId="0" fillId="7" borderId="47" xfId="0" applyNumberFormat="1" applyFont="1" applyFill="1" applyBorder="1"/>
    <xf numFmtId="0" fontId="0" fillId="8" borderId="17" xfId="0" applyFont="1" applyFill="1" applyBorder="1"/>
    <xf numFmtId="43" fontId="0" fillId="8" borderId="17" xfId="1" applyNumberFormat="1" applyFont="1" applyFill="1" applyBorder="1"/>
    <xf numFmtId="9" fontId="0" fillId="8" borderId="17" xfId="0" applyNumberFormat="1" applyFont="1" applyFill="1" applyBorder="1"/>
    <xf numFmtId="0" fontId="0" fillId="0" borderId="17" xfId="0" applyFont="1" applyBorder="1"/>
    <xf numFmtId="43" fontId="0" fillId="0" borderId="17" xfId="1" applyNumberFormat="1" applyFont="1" applyBorder="1"/>
    <xf numFmtId="9" fontId="0" fillId="0" borderId="17" xfId="0" applyNumberFormat="1" applyFont="1" applyBorder="1"/>
    <xf numFmtId="0" fontId="2" fillId="9" borderId="31" xfId="0" applyFont="1" applyFill="1" applyBorder="1"/>
    <xf numFmtId="43" fontId="2" fillId="9" borderId="31" xfId="1" applyNumberFormat="1" applyFont="1" applyFill="1" applyBorder="1"/>
    <xf numFmtId="9" fontId="2" fillId="9" borderId="31" xfId="0" applyNumberFormat="1" applyFont="1" applyFill="1" applyBorder="1"/>
    <xf numFmtId="14" fontId="0" fillId="8" borderId="17" xfId="0" applyNumberFormat="1" applyFont="1" applyFill="1" applyBorder="1"/>
    <xf numFmtId="164" fontId="0" fillId="8" borderId="17" xfId="0" applyNumberFormat="1" applyFont="1" applyFill="1" applyBorder="1"/>
    <xf numFmtId="164" fontId="0" fillId="0" borderId="17" xfId="0" applyNumberFormat="1" applyFont="1" applyBorder="1"/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center"/>
    </xf>
    <xf numFmtId="0" fontId="11" fillId="0" borderId="0" xfId="0" applyFont="1" applyAlignment="1">
      <alignment horizontal="center"/>
    </xf>
    <xf numFmtId="14" fontId="8" fillId="8" borderId="20" xfId="0" applyNumberFormat="1" applyFont="1" applyFill="1" applyBorder="1"/>
    <xf numFmtId="0" fontId="8" fillId="8" borderId="20" xfId="0" applyFont="1" applyFill="1" applyBorder="1"/>
    <xf numFmtId="43" fontId="8" fillId="8" borderId="20" xfId="1" applyNumberFormat="1" applyFont="1" applyFill="1" applyBorder="1"/>
    <xf numFmtId="9" fontId="8" fillId="8" borderId="20" xfId="0" applyNumberFormat="1" applyFont="1" applyFill="1" applyBorder="1"/>
    <xf numFmtId="164" fontId="8" fillId="8" borderId="20" xfId="0" applyNumberFormat="1" applyFont="1" applyFill="1" applyBorder="1"/>
    <xf numFmtId="167" fontId="0" fillId="7" borderId="46" xfId="0" applyNumberFormat="1" applyFont="1" applyFill="1" applyBorder="1"/>
    <xf numFmtId="166" fontId="8" fillId="7" borderId="46" xfId="0" applyNumberFormat="1" applyFont="1" applyFill="1" applyBorder="1"/>
    <xf numFmtId="14" fontId="0" fillId="0" borderId="16" xfId="0" applyNumberFormat="1" applyFont="1" applyBorder="1" applyAlignment="1">
      <alignment horizontal="center"/>
    </xf>
    <xf numFmtId="164" fontId="0" fillId="0" borderId="17" xfId="0" applyNumberFormat="1" applyFont="1" applyBorder="1" applyAlignment="1">
      <alignment horizontal="center"/>
    </xf>
    <xf numFmtId="0" fontId="0" fillId="8" borderId="20" xfId="0" applyFont="1" applyFill="1" applyBorder="1" applyAlignment="1">
      <alignment horizontal="center"/>
    </xf>
    <xf numFmtId="164" fontId="0" fillId="8" borderId="20" xfId="0" applyNumberFormat="1" applyFont="1" applyFill="1" applyBorder="1" applyAlignment="1">
      <alignment horizontal="center"/>
    </xf>
    <xf numFmtId="164" fontId="0" fillId="8" borderId="21" xfId="0" applyNumberFormat="1" applyFont="1" applyFill="1" applyBorder="1" applyAlignment="1">
      <alignment horizontal="center"/>
    </xf>
    <xf numFmtId="164" fontId="0" fillId="8" borderId="45" xfId="0" applyNumberFormat="1" applyFont="1" applyFill="1" applyBorder="1" applyAlignment="1">
      <alignment horizontal="center"/>
    </xf>
    <xf numFmtId="164" fontId="0" fillId="0" borderId="27" xfId="0" applyNumberFormat="1" applyFont="1" applyBorder="1" applyAlignment="1">
      <alignment horizontal="center"/>
    </xf>
    <xf numFmtId="164" fontId="0" fillId="8" borderId="8" xfId="0" applyNumberFormat="1" applyFont="1" applyFill="1" applyBorder="1" applyAlignment="1">
      <alignment horizontal="center"/>
    </xf>
    <xf numFmtId="164" fontId="2" fillId="9" borderId="0" xfId="0" applyNumberFormat="1" applyFont="1" applyFill="1" applyBorder="1" applyAlignment="1">
      <alignment horizontal="center"/>
    </xf>
    <xf numFmtId="0" fontId="0" fillId="0" borderId="0" xfId="0"/>
    <xf numFmtId="49" fontId="0" fillId="0" borderId="0" xfId="0" applyNumberFormat="1"/>
    <xf numFmtId="43" fontId="15" fillId="0" borderId="0" xfId="1" applyFont="1"/>
    <xf numFmtId="0" fontId="0" fillId="7" borderId="48" xfId="0" applyFont="1" applyFill="1" applyBorder="1"/>
    <xf numFmtId="43" fontId="0" fillId="7" borderId="48" xfId="0" applyNumberFormat="1" applyFont="1" applyFill="1" applyBorder="1"/>
    <xf numFmtId="167" fontId="0" fillId="7" borderId="48" xfId="1" applyNumberFormat="1" applyFont="1" applyFill="1" applyBorder="1"/>
    <xf numFmtId="14" fontId="0" fillId="7" borderId="52" xfId="0" applyNumberFormat="1" applyFont="1" applyFill="1" applyBorder="1"/>
    <xf numFmtId="164" fontId="0" fillId="7" borderId="53" xfId="0" applyNumberFormat="1" applyFont="1" applyFill="1" applyBorder="1"/>
    <xf numFmtId="164" fontId="0" fillId="7" borderId="49" xfId="0" applyNumberFormat="1" applyFont="1" applyFill="1" applyBorder="1"/>
    <xf numFmtId="0" fontId="2" fillId="11" borderId="31" xfId="0" applyFont="1" applyFill="1" applyBorder="1"/>
    <xf numFmtId="0" fontId="15" fillId="7" borderId="47" xfId="0" applyFont="1" applyFill="1" applyBorder="1"/>
    <xf numFmtId="43" fontId="15" fillId="7" borderId="47" xfId="0" applyNumberFormat="1" applyFont="1" applyFill="1" applyBorder="1"/>
    <xf numFmtId="164" fontId="15" fillId="7" borderId="50" xfId="0" applyNumberFormat="1" applyFont="1" applyFill="1" applyBorder="1"/>
    <xf numFmtId="170" fontId="0" fillId="7" borderId="46" xfId="0" applyNumberFormat="1" applyFont="1" applyFill="1" applyBorder="1"/>
    <xf numFmtId="170" fontId="15" fillId="7" borderId="47" xfId="0" applyNumberFormat="1" applyFont="1" applyFill="1" applyBorder="1"/>
    <xf numFmtId="14" fontId="0" fillId="7" borderId="51" xfId="0" applyNumberFormat="1" applyFont="1" applyFill="1" applyBorder="1"/>
    <xf numFmtId="164" fontId="0" fillId="7" borderId="50" xfId="0" applyNumberFormat="1" applyFont="1" applyFill="1" applyBorder="1"/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33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6"/>
          <bgColor theme="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[$$-409]* #,##0.00_ ;_-[$$-409]* \-#,##0.00\ ;_-[$$-409]* &quot;-&quot;??_ ;_-@_ "/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/>
        <top style="thin">
          <color theme="6" tint="-0.499984740745262"/>
        </top>
        <bottom style="thin">
          <color theme="6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 [$Bs.S-200A]* #,##0.00_ ;_ [$Bs.S-200A]* \-#,##0.00_ ;_ [$Bs.S-200A]* &quot;-&quot;??_ ;_ @_ "/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/>
        <horizontal/>
      </border>
    </dxf>
    <dxf>
      <border outline="0">
        <top style="thin">
          <color theme="6" tint="-0.499984740745262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</border>
    </dxf>
    <dxf>
      <numFmt numFmtId="164" formatCode="_-[$$-409]* #,##0.00_ ;_-[$$-409]* \-#,##0.00\ ;_-[$$-409]* &quot;-&quot;??_ ;_-@_ "/>
    </dxf>
    <dxf>
      <border outline="0">
        <top style="thin">
          <color theme="4" tint="0.39997558519241921"/>
        </top>
        <bottom style="thin">
          <color indexed="64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$-409]* #,##0_ ;_-[$$-409]* \-#,##0\ ;_-[$$-409]* &quot;-&quot;??_ ;_-@_ "/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fill>
        <patternFill patternType="solid">
          <fgColor indexed="64"/>
          <bgColor theme="0"/>
        </patternFill>
      </fill>
      <border diagonalUp="0" diagonalDown="0" outline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 [$Bs.S-200A]* #,##0.00_ ;_ [$Bs.S-200A]* \-#,##0.00_ ;_ [$Bs.S-200A]* &quot;-&quot;??_ ;_ @_ "/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6"/>
          <bgColor theme="6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_-[$$-409]* #,##0.00_ ;_-[$$-409]* \-#,##0.00\ ;_-[$$-409]* &quot;-&quot;??_ ;_-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$-409]* #,##0_ ;_-[$$-409]* \-#,##0\ ;_-[$$-409]* &quot;-&quot;??_ ;_-@_ "/>
      <fill>
        <patternFill patternType="solid">
          <fgColor indexed="64"/>
          <bgColor theme="0"/>
        </patternFill>
      </fill>
      <border diagonalUp="0" diagonalDown="0" outline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fill>
        <patternFill patternType="solid">
          <fgColor indexed="64"/>
          <bgColor theme="0"/>
        </patternFill>
      </fill>
      <border diagonalUp="0" diagonalDown="0" outline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 [$Bs.S-200A]* #,##0.00_ ;_ [$Bs.S-200A]* \-#,##0.00_ ;_ [$Bs.S-200A]* &quot;-&quot;??_ ;_ @_ "/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6"/>
          <bgColor theme="6"/>
        </patternFill>
      </fill>
    </dxf>
    <dxf>
      <numFmt numFmtId="164" formatCode="_-[$$-409]* #,##0.00_ ;_-[$$-409]* \-#,##0.00\ ;_-[$$-409]* &quot;-&quot;??_ ;_-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_-[$$-409]* #,##0.00_ ;_-[$$-409]* \-#,##0.00\ ;_-[$$-409]* &quot;-&quot;??_ ;_-@_ "/>
      <alignment horizontal="center" vertical="bottom" textRotation="0" wrapText="0" indent="0" justifyLastLine="0" shrinkToFit="0" readingOrder="0"/>
    </dxf>
    <dxf>
      <numFmt numFmtId="164" formatCode="_-[$$-409]* #,##0.00_ ;_-[$$-409]* \-#,##0.00\ ;_-[$$-409]* &quot;-&quot;??_ ;_-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6" formatCode="_-[$$-409]* #,##0_ ;_-[$$-409]* \-#,##0\ ;_-[$$-409]* &quot;-&quot;??_ ;_-@_ "/>
    </dxf>
    <dxf>
      <numFmt numFmtId="166" formatCode="_-[$$-409]* #,##0_ ;_-[$$-409]* \-#,##0\ ;_-[$$-409]* &quot;-&quot;??_ ;_-@_ "/>
    </dxf>
    <dxf>
      <numFmt numFmtId="19" formatCode="d/m/yyyy"/>
    </dxf>
    <dxf>
      <border outline="0">
        <top style="thin">
          <color theme="6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6"/>
          <bgColor theme="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$-409]* #,##0_ ;_-[$$-409]* \-#,##0\ ;_-[$$-409]* &quot;-&quot;??_ ;_-@_ "/>
      <fill>
        <patternFill patternType="solid">
          <fgColor indexed="64"/>
          <bgColor theme="0"/>
        </patternFill>
      </fill>
      <border diagonalUp="0" diagonalDown="0" outline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fill>
        <patternFill patternType="solid">
          <fgColor indexed="64"/>
          <bgColor theme="0"/>
        </patternFill>
      </fill>
      <border diagonalUp="0" diagonalDown="0" outline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_ [$Bs.S-200A]* #,##0.00_ ;_ [$Bs.S-200A]* \-#,##0.00_ ;_ [$Bs.S-200A]* &quot;-&quot;??_ ;_ @_ "/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  <vertical style="thin">
          <color theme="6" tint="-0.499984740745262"/>
        </vertical>
        <horizontal style="thin">
          <color theme="6" tint="-0.499984740745262"/>
        </horizontal>
      </border>
    </dxf>
    <dxf>
      <border diagonalUp="0" diagonalDown="0">
        <left style="thin">
          <color theme="6" tint="-0.499984740745262"/>
        </left>
        <right style="thin">
          <color theme="6" tint="-0.499984740745262"/>
        </right>
        <top style="thin">
          <color theme="6" tint="-0.499984740745262"/>
        </top>
        <bottom style="thin">
          <color theme="6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6"/>
          <bgColor theme="6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 * #,##0.00_ ;_ * \-#,##0.00_ ;_ * &quot;-&quot;??_ ;_ @_ 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/yyyy"/>
    </dxf>
    <dxf>
      <numFmt numFmtId="19" formatCode="d/m/yyyy"/>
    </dxf>
    <dxf>
      <numFmt numFmtId="166" formatCode="_-[$$-409]* #,##0_ ;_-[$$-409]* \-#,##0\ ;_-[$$-409]* &quot;-&quot;??_ ;_-@_ "/>
    </dxf>
    <dxf>
      <numFmt numFmtId="166" formatCode="_-[$$-409]* #,##0_ ;_-[$$-409]* \-#,##0\ ;_-[$$-409]* &quot;-&quot;??_ ;_-@_ "/>
    </dxf>
    <dxf>
      <numFmt numFmtId="19" formatCode="d/m/yyyy"/>
    </dxf>
    <dxf>
      <border outline="0">
        <top style="thin">
          <color theme="6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6"/>
          <bgColor theme="6"/>
        </patternFill>
      </fill>
    </dxf>
    <dxf>
      <numFmt numFmtId="164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9" formatCode="d/m/yyyy"/>
    </dxf>
    <dxf>
      <border outline="0">
        <top style="thin">
          <color theme="6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6"/>
          <bgColor theme="6"/>
        </patternFill>
      </fill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_-[$$-409]* #,##0.00_ ;_-[$$-409]* \-#,##0.00\ ;_-[$$-409]* &quot;-&quot;??_ ;_-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/m/yyyy"/>
    </dxf>
    <dxf>
      <numFmt numFmtId="19" formatCode="d/m/yyyy"/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numFmt numFmtId="164" formatCode="_-[$$-409]* #,##0.00_ ;_-[$$-409]* \-#,##0.00\ ;_-[$$-409]* &quot;-&quot;??_ ;_-@_ "/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numFmt numFmtId="164" formatCode="_-[$$-409]* #,##0.00_ ;_-[$$-409]* \-#,##0.00\ ;_-[$$-409]* &quot;-&quot;??_ ;_-@_ "/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numFmt numFmtId="164" formatCode="_-[$$-409]* #,##0.00_ ;_-[$$-409]* \-#,##0.00\ ;_-[$$-409]* &quot;-&quot;??_ ;_-@_ "/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-[$$-409]* #,##0.00_ ;_-[$$-409]* \-#,##0.00\ ;_-[$$-409]* &quot;-&quot;??_ ;_-@_ "/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_-[$$-409]* #,##0.00_ ;_-[$$-409]* \-#,##0.00\ ;_-[$$-409]* &quot;-&quot;??_ ;_-@_ 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4" formatCode="_-[$$-409]* #,##0.00_ ;_-[$$-409]* \-#,##0.00\ ;_-[$$-409]* &quot;-&quot;??_ ;_-@_ 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2" formatCode="0.00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2" formatCode="0.00"/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numFmt numFmtId="165" formatCode="0.000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4" formatCode="0.00%"/>
    </dxf>
    <dxf>
      <numFmt numFmtId="164" formatCode="_-[$$-409]* #,##0.00_ ;_-[$$-409]* \-#,##0.00\ ;_-[$$-409]* &quot;-&quot;??_ ;_-@_ 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$-409]* #,##0.00_ ;_-[$$-409]* \-#,##0.00\ ;_-[$$-409]* &quot;-&quot;??_ ;_-@_ 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164" formatCode="_-[$$-409]* #,##0.00_ ;_-[$$-409]* \-#,##0.00\ ;_-[$$-409]* &quot;-&quot;??_ ;_-@_ 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[$$-409]* #,##0.00_ ;_-[$$-409]* \-#,##0.00\ ;_-[$$-409]* &quot;-&quot;??_ ;_-@_ 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164" formatCode="_-[$$-409]* #,##0.00_ ;_-[$$-409]* \-#,##0.00\ ;_-[$$-409]* &quot;-&quot;??_ ;_-@_ "/>
    </dxf>
    <dxf>
      <numFmt numFmtId="164" formatCode="_-[$$-409]* #,##0.00_ ;_-[$$-409]* \-#,##0.00\ ;_-[$$-409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3" formatCode="0%"/>
    </dxf>
    <dxf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[$$-409]* #,##0.00_ ;_-[$$-409]* \-#,##0.00\ ;_-[$$-409]* &quot;-&quot;??_ ;_-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[$$-409]* #,##0.00_ ;_-[$$-409]* \-#,##0.00\ ;_-[$$-409]* &quot;-&quot;??_ ;_-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5" formatCode="_ * #,##0.00_ ;_ * \-#,##0.00_ ;_ * &quot;-&quot;??_ ;_ @_ "/>
      <fill>
        <patternFill patternType="solid">
          <fgColor theme="7"/>
          <bgColor theme="7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[$$-409]* #,##0.00_ ;_-[$$-409]* \-#,##0.00\ ;_-[$$-409]* &quot;-&quot;??_ ;_-@_ 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3" formatCode="0%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/m/yyyy"/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top style="thin">
          <color theme="4" tint="0.39997558519241921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5" formatCode="_ * #,##0.00_ ;_ * \-#,##0.00_ ;_ * &quot;-&quot;??_ ;_ @_ "/>
      <fill>
        <patternFill patternType="none">
          <fgColor theme="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-[$$-409]* #,##0.00_ ;_-[$$-409]* \-#,##0.00\ ;_-[$$-409]* &quot;-&quot;??_ ;_-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3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-[$$-409]* #,##0.00_ ;_-[$$-409]* \-#,##0.00\ ;_-[$$-409]* &quot;-&quot;??_ ;_-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5" formatCode="_ * #,##0.00_ ;_ * \-#,##0.0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3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-[$$-409]* #,##0.00_ ;_-[$$-409]* \-#,##0.00\ ;_-[$$-409]* &quot;-&quot;??_ ;_-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5" formatCode="_ * #,##0.00_ ;_ * \-#,##0.0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3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-[$$-409]* #,##0.00_ ;_-[$$-409]* \-#,##0.00\ ;_-[$$-409]* &quot;-&quot;??_ ;_-@_ 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 * #,##0.00_ ;_ * \-#,##0.00_ ;_ * &quot;-&quot;??_ ;_ @_ "/>
      <border outline="0">
        <left style="thin">
          <color indexed="64"/>
        </left>
      </border>
    </dxf>
    <dxf>
      <numFmt numFmtId="0" formatCode="General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/>
        <right/>
        <top/>
        <bottom/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border diagonalUp="0" diagonalDown="0" outline="0">
        <left/>
        <right/>
        <top/>
        <bottom/>
      </border>
    </dxf>
    <dxf>
      <numFmt numFmtId="35" formatCode="_ * #,##0.00_ ;_ * \-#,##0.0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3" formatCode="0%"/>
      <border diagonalUp="0" diagonalDown="0" outline="0">
        <left/>
        <right/>
        <top/>
        <bottom/>
      </border>
    </dxf>
    <dxf>
      <numFmt numFmtId="13" formatCode="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 * #,##0.00_ ;_ * \-#,##0.00_ ;_ * &quot;-&quot;??_ ;_ @_ 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/m/yyyy"/>
      <border diagonalUp="0" diagonalDown="0" outline="0">
        <left/>
        <right/>
        <top/>
        <bottom/>
      </border>
    </dxf>
    <dxf>
      <numFmt numFmtId="19" formatCode="d/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3" tint="0.3999755851924192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A3:J35" totalsRowCount="1" headerRowDxfId="337" headerRowBorderDxfId="336" tableBorderDxfId="335" totalsRowBorderDxfId="334" headerRowCellStyle="Millares">
  <autoFilter ref="A3:J34"/>
  <tableColumns count="10">
    <tableColumn id="1" name="Fecha" dataDxfId="333" totalsRowDxfId="332"/>
    <tableColumn id="2" name="Nro Facturas" dataDxfId="331" totalsRowDxfId="330"/>
    <tableColumn id="3" name="Subtotal" dataDxfId="329" totalsRowDxfId="328" dataCellStyle="Millares"/>
    <tableColumn id="4" name="Impuesto" dataDxfId="327" totalsRowDxfId="326"/>
    <tableColumn id="5" name="Total" dataDxfId="325" totalsRowDxfId="324" dataCellStyle="Millares"/>
    <tableColumn id="6" name="Promedio_Factura" dataDxfId="323" totalsRowDxfId="322" dataCellStyle="Millares">
      <calculatedColumnFormula>+Tabla1[[#This Row],[Total]]/Tabla1[[#This Row],[Nro Facturas]]</calculatedColumnFormula>
    </tableColumn>
    <tableColumn id="7" name="TASA" dataDxfId="321" totalsRowDxfId="320" dataCellStyle="Millares"/>
    <tableColumn id="8" name="SUBTOTAL $" dataDxfId="319" totalsRowDxfId="318">
      <calculatedColumnFormula>+Tabla1[[#This Row],[Subtotal]]/Tabla1[[#This Row],[TASA]]</calculatedColumnFormula>
    </tableColumn>
    <tableColumn id="9" name="IVA $" totalsRowLabel="TOTAL:" dataDxfId="317" totalsRowDxfId="316">
      <calculatedColumnFormula>+Tabla1[[#This Row],[Subtotal]]/Tabla1[[#This Row],[TASA]]</calculatedColumnFormula>
    </tableColumn>
    <tableColumn id="10" name="TOTAL$" totalsRowFunction="custom" dataDxfId="315" totalsRowDxfId="314">
      <calculatedColumnFormula>+Tabla1[[#This Row],[Total]]/Tabla1[[#This Row],[TASA]]</calculatedColumnFormula>
      <totalsRowFormula>SUM(J4:J34)</totalsRow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" name="Tabla2" displayName="Tabla2" ref="A4:F65" totalsRowCount="1">
  <autoFilter ref="A4:F64"/>
  <tableColumns count="6">
    <tableColumn id="1" name="Documento" dataDxfId="204" totalsRowDxfId="203"/>
    <tableColumn id="2" name="Fecha" dataDxfId="202" totalsRowDxfId="201"/>
    <tableColumn id="3" name="Cliente" dataDxfId="200" totalsRowDxfId="199"/>
    <tableColumn id="4" name="Sucursal" dataDxfId="198" totalsRowDxfId="197"/>
    <tableColumn id="5" name="Usuario" totalsRowLabel="TOTAL:" dataDxfId="196" totalsRowDxfId="195"/>
    <tableColumn id="7" name="Total" totalsRowFunction="custom" dataDxfId="194" totalsRowDxfId="193">
      <totalsRowFormula>SUM(F5:F64)</totalsRow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la17" displayName="Tabla17" ref="A70:H117" totalsRowCount="1">
  <autoFilter ref="A70:H116"/>
  <tableColumns count="8">
    <tableColumn id="1" name="Columna1"/>
    <tableColumn id="2" name="Fecha"/>
    <tableColumn id="3" name="Cliente"/>
    <tableColumn id="4" name="ID"/>
    <tableColumn id="5" name="Sucursal"/>
    <tableColumn id="6" name="Usuario"/>
    <tableColumn id="7" name="Vendedor"/>
    <tableColumn id="8" name="Total" totalsRowFunction="custom" totalsRowDxfId="192">
      <totalsRowFormula>H116/VENTAS!J71</totalsRow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1" name="Tabla112" displayName="Tabla112" ref="A123:H175" totalsRowCount="1">
  <autoFilter ref="A123:H174"/>
  <tableColumns count="8">
    <tableColumn id="1" name="Documento" dataDxfId="191"/>
    <tableColumn id="2" name="Fecha" dataDxfId="190"/>
    <tableColumn id="3" name="Cliente" dataDxfId="189"/>
    <tableColumn id="4" name="ID" dataDxfId="188"/>
    <tableColumn id="5" name="Sucursal" dataDxfId="187"/>
    <tableColumn id="6" name="Usuario" dataDxfId="186"/>
    <tableColumn id="7" name="Vendedor" totalsRowLabel="total" dataDxfId="185"/>
    <tableColumn id="8" name="Total" totalsRowFunction="sum" dataDxfId="184" totalsRowDxfId="183" dataCellStyle="Millares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Tabla114" displayName="Tabla114" ref="A180:H219" totalsRowShown="0">
  <autoFilter ref="A180:H219"/>
  <tableColumns count="8">
    <tableColumn id="1" name="Documento"/>
    <tableColumn id="2" name="Fecha"/>
    <tableColumn id="3" name="Cliente"/>
    <tableColumn id="4" name="ID"/>
    <tableColumn id="5" name="Sucursal"/>
    <tableColumn id="6" name="Usuario"/>
    <tableColumn id="7" name="Vendedor"/>
    <tableColumn id="8" name="Total" dataDxfId="18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9" name="Tabla120" displayName="Tabla120" ref="A224:H268" totalsRowShown="0">
  <autoFilter ref="A224:H268"/>
  <tableColumns count="8">
    <tableColumn id="1" name="Documento"/>
    <tableColumn id="2" name="Fecha"/>
    <tableColumn id="3" name="Cliente"/>
    <tableColumn id="4" name="ID"/>
    <tableColumn id="5" name="Sucursal"/>
    <tableColumn id="6" name="Usuario"/>
    <tableColumn id="7" name="Vendedor"/>
    <tableColumn id="8" name="Total" dataDxfId="181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23" name="Tabla124" displayName="Tabla124" ref="A272:H325" totalsRowCount="1">
  <autoFilter ref="A272:H324"/>
  <tableColumns count="8">
    <tableColumn id="1" name="Documento"/>
    <tableColumn id="2" name="Fecha"/>
    <tableColumn id="3" name="Cliente"/>
    <tableColumn id="4" name="ID"/>
    <tableColumn id="5" name="Sucursal"/>
    <tableColumn id="6" name="Usuario"/>
    <tableColumn id="7" name="Vendedor"/>
    <tableColumn id="8" name="Total" totalsRowFunction="custom" dataDxfId="180" totalsRowDxfId="179">
      <totalsRowFormula>SUM(Tabla124[Total])</totalsRow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26" name="Tabla127" displayName="Tabla127" ref="A329:H379" totalsRowShown="0">
  <autoFilter ref="A329:H379"/>
  <tableColumns count="8">
    <tableColumn id="1" name="Documento"/>
    <tableColumn id="2" name="Fecha"/>
    <tableColumn id="3" name="Cliente"/>
    <tableColumn id="4" name="ID"/>
    <tableColumn id="5" name="Sucursal"/>
    <tableColumn id="6" name="Usuario"/>
    <tableColumn id="7" name="Vendedor"/>
    <tableColumn id="8" name="Total" dataDxfId="178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27" name="Tabla128" displayName="Tabla128" ref="A383:H426" totalsRowShown="0">
  <autoFilter ref="A383:H426"/>
  <tableColumns count="8">
    <tableColumn id="1" name="Documento"/>
    <tableColumn id="2" name="Fecha"/>
    <tableColumn id="3" name="Cliente"/>
    <tableColumn id="4" name="ID"/>
    <tableColumn id="5" name="Sucursal"/>
    <tableColumn id="6" name="Usuario"/>
    <tableColumn id="7" name="Vendedor"/>
    <tableColumn id="8" name="Total" dataDxfId="177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4" name="Tabla34" displayName="Tabla34" ref="A430:H467" totalsRowShown="0">
  <autoFilter ref="A430:H467"/>
  <tableColumns count="8">
    <tableColumn id="1" name="Documento" dataDxfId="176"/>
    <tableColumn id="2" name="Fecha" dataDxfId="175"/>
    <tableColumn id="3" name="Cliente" dataDxfId="174"/>
    <tableColumn id="4" name="ID" dataDxfId="173"/>
    <tableColumn id="5" name="Sucursal" dataDxfId="172"/>
    <tableColumn id="6" name="Usuario" dataDxfId="171"/>
    <tableColumn id="7" name="Vendedor" dataDxfId="170"/>
    <tableColumn id="8" name="Total" dataDxfId="169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8" name="Tabla8" displayName="Tabla8" ref="A183:G391" totalsRowShown="0" headerRowDxfId="168" dataDxfId="167">
  <autoFilter ref="A183:G391">
    <filterColumn colId="4">
      <filters>
        <filter val="WILLIAMS TORREALBA"/>
      </filters>
    </filterColumn>
  </autoFilter>
  <tableColumns count="7">
    <tableColumn id="1" name="FECHA " dataDxfId="166"/>
    <tableColumn id="2" name="PRODUCTO " dataDxfId="165"/>
    <tableColumn id="3" name="CANTIDAD" dataDxfId="164"/>
    <tableColumn id="5" name="COSTO UNITARIO" dataDxfId="163" dataCellStyle="Millares"/>
    <tableColumn id="4" name="PERSONAL" dataDxfId="162"/>
    <tableColumn id="6" name="TASA" dataDxfId="161" dataCellStyle="Millares"/>
    <tableColumn id="7" name="DIVISA" dataDxfId="160">
      <calculatedColumnFormula>Tabla8[[#This Row],[COSTO UNITARIO]]/F184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a15" displayName="Tabla15" ref="A39:J71" totalsRowShown="0" headerRowDxfId="313" headerRowBorderDxfId="312" tableBorderDxfId="311" totalsRowBorderDxfId="310">
  <autoFilter ref="A39:J71"/>
  <tableColumns count="10">
    <tableColumn id="1" name="Fecha" dataDxfId="309"/>
    <tableColumn id="2" name="Nro Facturas" dataDxfId="308"/>
    <tableColumn id="3" name="Subtotal" dataDxfId="307"/>
    <tableColumn id="4" name="Impuesto" dataDxfId="306"/>
    <tableColumn id="5" name="Total" dataDxfId="305"/>
    <tableColumn id="6" name="Promedio_Factura" dataDxfId="304">
      <calculatedColumnFormula>+Tabla15[[#This Row],[Total]]/Tabla15[[#This Row],[Nro Facturas]]</calculatedColumnFormula>
    </tableColumn>
    <tableColumn id="7" name="TASA" dataDxfId="303"/>
    <tableColumn id="8" name="SUBTOTAL $" dataDxfId="302">
      <calculatedColumnFormula>+Tabla15[[#This Row],[Subtotal]]/Tabla15[[#This Row],[TASA]]</calculatedColumnFormula>
    </tableColumn>
    <tableColumn id="9" name="IVA $" dataDxfId="301">
      <calculatedColumnFormula>+Tabla15[[#This Row],[Subtotal]]/Tabla15[[#This Row],[TASA]]</calculatedColumnFormula>
    </tableColumn>
    <tableColumn id="10" name="TOTAL$" dataDxfId="300">
      <calculatedColumnFormula>+Tabla15[[#This Row],[Total]]/Tabla15[[#This Row],[TASA]]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" name="Tabla3" displayName="Tabla3" ref="A4:G175" totalsRowShown="0" headerRowDxfId="159" dataDxfId="158">
  <autoFilter ref="A4:G175"/>
  <tableColumns count="7">
    <tableColumn id="1" name="FECHA" dataDxfId="157" totalsRowDxfId="156"/>
    <tableColumn id="2" name="PRODUCTO" dataDxfId="155" totalsRowDxfId="154"/>
    <tableColumn id="4" name="CANTIDAD" dataDxfId="153" totalsRowDxfId="152"/>
    <tableColumn id="5" name="COSTO UNITARIO" dataDxfId="151" totalsRowDxfId="150" dataCellStyle="Millares"/>
    <tableColumn id="3" name="PERSONAL" dataDxfId="149" totalsRowDxfId="148"/>
    <tableColumn id="7" name="Columna1" dataDxfId="147" totalsRowDxfId="146">
      <calculatedColumnFormula>Tabla3[[#This Row],[COSTO UNITARIO]]/J2</calculatedColumnFormula>
    </tableColumn>
    <tableColumn id="8" name="DIVISAS" dataDxfId="145" totalsRowDxfId="144">
      <calculatedColumnFormula>Tabla3[[#This Row],[COSTO UNITARIO]]/F5</calculatedColumnFormula>
    </tableColumn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9" name="Tabla9" displayName="Tabla9" ref="A397:G521" totalsRowShown="0" headerRowDxfId="143" dataDxfId="141" headerRowBorderDxfId="142" tableBorderDxfId="140" totalsRowBorderDxfId="139">
  <autoFilter ref="A397:G521"/>
  <tableColumns count="7">
    <tableColumn id="1" name="FECHA " dataDxfId="138"/>
    <tableColumn id="2" name="PRODUCTO " dataDxfId="137"/>
    <tableColumn id="3" name="CANTIDAD" dataDxfId="136"/>
    <tableColumn id="4" name="COSTO UNITARIO" dataDxfId="135"/>
    <tableColumn id="5" name="PERSONAL" dataDxfId="134"/>
    <tableColumn id="6" name="TASA" dataDxfId="133"/>
    <tableColumn id="7" name="DIVISA" dataDxfId="132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5" name="Tabla5" displayName="Tabla5" ref="A527:G643" totalsRowShown="0" headerRowDxfId="131" dataDxfId="129" headerRowBorderDxfId="130" tableBorderDxfId="128">
  <autoFilter ref="A527:G643"/>
  <tableColumns count="7">
    <tableColumn id="1" name="FECHA " dataDxfId="127"/>
    <tableColumn id="2" name="PRODUCTO " dataDxfId="126"/>
    <tableColumn id="3" name="CANTIDAD" dataDxfId="125"/>
    <tableColumn id="4" name="COSTO UNITARIO" dataDxfId="124"/>
    <tableColumn id="5" name="PERSONAL" dataDxfId="123"/>
    <tableColumn id="6" name="TASA" dataDxfId="122"/>
    <tableColumn id="7" name="DIVISA" dataDxfId="121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14" name="Tabla14" displayName="Tabla14" ref="I527:O538" totalsRowCount="1">
  <autoFilter ref="I527:O537"/>
  <tableColumns count="7">
    <tableColumn id="1" name="FECHA DE PAGO " dataDxfId="120" totalsRowDxfId="119"/>
    <tableColumn id="2" name="TIPO DE MONEDA"/>
    <tableColumn id="4" name="DETALLE"/>
    <tableColumn id="5" name="MONTO (ENTREGA)"/>
    <tableColumn id="6" name="DATOS DEL BENEFICIARIO" totalsRowLabel="TOTAL" totalsRowDxfId="118"/>
    <tableColumn id="7" name="TASA" dataDxfId="117" totalsRowDxfId="116">
      <calculatedColumnFormula>4160000/1000000</calculatedColumnFormula>
    </tableColumn>
    <tableColumn id="8" name="MONTO EN DIVISA" totalsRowFunction="sum" dataDxfId="115" totalsRowDxfId="114"/>
  </tableColumns>
  <tableStyleInfo name="TableStyleLight11" showFirstColumn="0" showLastColumn="0" showRowStripes="1" showColumnStripes="0"/>
</table>
</file>

<file path=xl/tables/table24.xml><?xml version="1.0" encoding="utf-8"?>
<table xmlns="http://schemas.openxmlformats.org/spreadsheetml/2006/main" id="15" name="Tabla16" displayName="Tabla16" ref="A647:G753" totalsRowShown="0" headerRowDxfId="113" dataDxfId="111" headerRowBorderDxfId="112" tableBorderDxfId="110">
  <autoFilter ref="A647:G753"/>
  <tableColumns count="7">
    <tableColumn id="1" name="FECHA " dataDxfId="109"/>
    <tableColumn id="2" name="PRODUCTO " dataDxfId="108"/>
    <tableColumn id="3" name="CANTIDAD" dataDxfId="107"/>
    <tableColumn id="4" name="COSTO UNITARIO" dataDxfId="106"/>
    <tableColumn id="5" name="PERSONAL" dataDxfId="105"/>
    <tableColumn id="6" name="TASA" dataDxfId="104"/>
    <tableColumn id="7" name="DIVISA" dataDxfId="103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12" name="Tabla12" displayName="Tabla12" ref="J397:P410" totalsRowShown="0" headerRowDxfId="102" tableBorderDxfId="101">
  <autoFilter ref="J397:P410"/>
  <tableColumns count="7">
    <tableColumn id="1" name="FECHA DE PAGO " dataDxfId="100"/>
    <tableColumn id="2" name="TIPO DE MONEDA"/>
    <tableColumn id="3" name="DETALLE"/>
    <tableColumn id="4" name="MONTO (ENTREGA)" dataDxfId="99" dataCellStyle="Millares"/>
    <tableColumn id="5" name="DATOS DEL BENEFICIARIO"/>
    <tableColumn id="6" name="TASA"/>
    <tableColumn id="7" name="MONTO EN DIVISA" dataDxfId="98"/>
  </tableColumns>
  <tableStyleInfo name="TableStyleLight11" showFirstColumn="0" showLastColumn="0" showRowStripes="1" showColumnStripes="0"/>
</table>
</file>

<file path=xl/tables/table26.xml><?xml version="1.0" encoding="utf-8"?>
<table xmlns="http://schemas.openxmlformats.org/spreadsheetml/2006/main" id="17" name="Tabla19" displayName="Tabla19" ref="I543:O544" totalsRowShown="0" headerRowDxfId="97" tableBorderDxfId="96">
  <autoFilter ref="I543:O544"/>
  <tableColumns count="7">
    <tableColumn id="1" name="FECHA DE PAGO " dataDxfId="95"/>
    <tableColumn id="2" name="TIPO DE MONEDA"/>
    <tableColumn id="3" name="DETALLE"/>
    <tableColumn id="4" name="MONTO (ENTREGA)" dataDxfId="94"/>
    <tableColumn id="5" name="DATOS DEL BENEFICIARIO"/>
    <tableColumn id="6" name="TASA"/>
    <tableColumn id="7" name="MONTO EN DIVISA" dataDxfId="93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id="20" name="Tabla1421" displayName="Tabla1421" ref="I648:O667" totalsRowCount="1">
  <autoFilter ref="I648:O666"/>
  <tableColumns count="7">
    <tableColumn id="1" name="FECHA DE PAGO " dataDxfId="92" totalsRowDxfId="91"/>
    <tableColumn id="2" name="TIPO DE MONEDA"/>
    <tableColumn id="4" name="DETALLE"/>
    <tableColumn id="5" name="MONTO (ENTREGA)"/>
    <tableColumn id="6" name="DATOS DEL BENEFICIARIO" totalsRowLabel="TOTAL" totalsRowDxfId="90"/>
    <tableColumn id="7" name="TASA" dataDxfId="89" totalsRowDxfId="88">
      <calculatedColumnFormula>311500000/70</calculatedColumnFormula>
    </tableColumn>
    <tableColumn id="8" name="MONTO EN DIVISA" totalsRowFunction="sum" dataDxfId="87" totalsRowDxfId="86"/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id="22" name="Tabla22" displayName="Tabla22" ref="A757:G883" totalsRowShown="0" headerRowDxfId="85" dataDxfId="83" headerRowBorderDxfId="84" tableBorderDxfId="82">
  <autoFilter ref="A757:G883"/>
  <tableColumns count="7">
    <tableColumn id="1" name="FECHA " dataDxfId="81"/>
    <tableColumn id="2" name="PRODUCTO " dataDxfId="80"/>
    <tableColumn id="3" name="CANTIDAD" dataDxfId="79"/>
    <tableColumn id="4" name="COSTO UNITARIO" dataDxfId="78"/>
    <tableColumn id="5" name="PERSONAL" dataDxfId="77"/>
    <tableColumn id="6" name="TASA" dataDxfId="76"/>
    <tableColumn id="7" name="DIVISA" dataDxfId="75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21" name="Tabla21" displayName="Tabla21" ref="I757:O772" totalsRowShown="0" headerRowDxfId="74" dataDxfId="73" tableBorderDxfId="72">
  <autoFilter ref="I757:O772"/>
  <tableColumns count="7">
    <tableColumn id="1" name="FECHA DE PAGO " dataDxfId="71"/>
    <tableColumn id="2" name="TIPO DE MONEDA" dataDxfId="70"/>
    <tableColumn id="3" name="DETALLE" dataDxfId="69"/>
    <tableColumn id="4" name="MONTO (ENTREGA)" dataDxfId="68"/>
    <tableColumn id="5" name="DATOS DEL BENEFICIARIO" dataDxfId="67"/>
    <tableColumn id="6" name="TASA" dataDxfId="66">
      <calculatedColumnFormula>4650000/1000</calculatedColumnFormula>
    </tableColumn>
    <tableColumn id="7" name="MONTO EN DIVISA" dataDxfId="6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7" name="Tabla158" displayName="Tabla158" ref="A78:J109" totalsRowShown="0" headerRowDxfId="299" headerRowBorderDxfId="298" tableBorderDxfId="297" totalsRowBorderDxfId="296">
  <autoFilter ref="A78:J109"/>
  <tableColumns count="10">
    <tableColumn id="1" name="Fecha" dataDxfId="295"/>
    <tableColumn id="2" name="Nro Facturas" dataDxfId="294"/>
    <tableColumn id="3" name="Subtotal" dataDxfId="293"/>
    <tableColumn id="4" name="Impuesto" dataDxfId="292"/>
    <tableColumn id="5" name="Total" dataDxfId="291"/>
    <tableColumn id="6" name="Promedio_Factura" dataDxfId="290">
      <calculatedColumnFormula>+Tabla158[[#This Row],[Total]]/Tabla158[[#This Row],[Nro Facturas]]</calculatedColumnFormula>
    </tableColumn>
    <tableColumn id="7" name="TASA" dataDxfId="289"/>
    <tableColumn id="8" name="SUBTOTAL $" dataDxfId="288">
      <calculatedColumnFormula>+Tabla158[[#This Row],[Subtotal]]/Tabla158[[#This Row],[TASA]]</calculatedColumnFormula>
    </tableColumn>
    <tableColumn id="9" name="IVA $" dataDxfId="287">
      <calculatedColumnFormula>+Tabla158[[#This Row],[Subtotal]]/Tabla158[[#This Row],[TASA]]</calculatedColumnFormula>
    </tableColumn>
    <tableColumn id="10" name="TOTAL$" dataDxfId="286">
      <calculatedColumnFormula>+Tabla158[[#This Row],[Total]]/Tabla158[[#This Row],[TASA]]</calculatedColumnFormula>
    </tableColumn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25" name="Tabla1926" displayName="Tabla1926" ref="I777:O778" totalsRowShown="0" headerRowDxfId="64" tableBorderDxfId="63">
  <autoFilter ref="I777:O778"/>
  <tableColumns count="7">
    <tableColumn id="1" name="FECHA DE PAGO " dataDxfId="62"/>
    <tableColumn id="2" name="TIPO DE MONEDA"/>
    <tableColumn id="3" name="DETALLE"/>
    <tableColumn id="4" name="MONTO (ENTREGA)" dataDxfId="61"/>
    <tableColumn id="5" name="DATOS DEL BENEFICIARIO"/>
    <tableColumn id="6" name="TASA"/>
    <tableColumn id="7" name="MONTO EN DIVISA" dataDxfId="60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id="28" name="Tabla28" displayName="Tabla28" ref="A888:G993" totalsRowCount="1" headerRowDxfId="59" dataDxfId="58">
  <autoFilter ref="A888:G992"/>
  <tableColumns count="7">
    <tableColumn id="1" name="FECHA " dataDxfId="57" totalsRowDxfId="56"/>
    <tableColumn id="2" name="PRODUCTO " dataDxfId="55" totalsRowDxfId="54"/>
    <tableColumn id="3" name="CANTIDAD" dataDxfId="53" totalsRowDxfId="52"/>
    <tableColumn id="4" name="COSTO UNITARIO" dataDxfId="51" totalsRowDxfId="50"/>
    <tableColumn id="5" name="PERSONAL" totalsRowLabel="TOTAL:" dataDxfId="49" totalsRowDxfId="48"/>
    <tableColumn id="6" name="TASA" dataDxfId="47" totalsRowDxfId="46"/>
    <tableColumn id="7" name="DIVISA" totalsRowFunction="sum" dataDxfId="45" totalsRowDxfId="44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id="24" name="Tabla2125" displayName="Tabla2125" ref="J888:P897" totalsRowShown="0" headerRowDxfId="43" dataDxfId="42" tableBorderDxfId="41">
  <autoFilter ref="J888:P897"/>
  <tableColumns count="7">
    <tableColumn id="1" name="FECHA DE PAGO " dataDxfId="40"/>
    <tableColumn id="2" name="TIPO DE MONEDA" dataDxfId="39"/>
    <tableColumn id="3" name="DETALLE" dataDxfId="38"/>
    <tableColumn id="4" name="MONTO (ENTREGA)" dataDxfId="37"/>
    <tableColumn id="5" name="DATOS DEL BENEFICIARIO" dataDxfId="36"/>
    <tableColumn id="6" name="TASA" dataDxfId="35">
      <calculatedColumnFormula>4650000/1000</calculatedColumnFormula>
    </tableColumn>
    <tableColumn id="7" name="MONTO EN DIVISA" dataDxfId="34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id="32" name="Tabla32" displayName="Tabla32" ref="A997:G1149" totalsRowShown="0" headerRowDxfId="33" dataDxfId="32">
  <autoFilter ref="A997:G1149"/>
  <tableColumns count="7">
    <tableColumn id="1" name="FECHA " dataDxfId="31"/>
    <tableColumn id="2" name="PRODUCTO " dataDxfId="30"/>
    <tableColumn id="3" name="CANTIDAD" dataDxfId="29"/>
    <tableColumn id="4" name="COSTO UNITARIO" dataDxfId="28"/>
    <tableColumn id="5" name="PERSONAL" dataDxfId="27"/>
    <tableColumn id="6" name="TASA" dataDxfId="26"/>
    <tableColumn id="7" name="DIVISA" dataDxfId="25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id="31" name="Tabla212532" displayName="Tabla212532" ref="J997:P1012" totalsRowShown="0" headerRowDxfId="24" dataDxfId="23" tableBorderDxfId="22">
  <autoFilter ref="J997:P1012"/>
  <tableColumns count="7">
    <tableColumn id="1" name="FECHA DE PAGO " dataDxfId="21"/>
    <tableColumn id="2" name="TIPO DE MONEDA" dataDxfId="20"/>
    <tableColumn id="3" name="DETALLE" dataDxfId="19"/>
    <tableColumn id="4" name="MONTO (ENTREGA)" dataDxfId="18"/>
    <tableColumn id="5" name="DATOS DEL BENEFICIARIO" dataDxfId="17"/>
    <tableColumn id="6" name="TASA" dataDxfId="16">
      <calculatedColumnFormula>4650000/1000</calculatedColumnFormula>
    </tableColumn>
    <tableColumn id="7" name="MONTO EN DIVISA" dataDxfId="15">
      <calculatedColumnFormula>SUBTOTAL(109,P982:P989)</calculatedColumnFormula>
    </tableColumn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id="33" name="Tabla33" displayName="Tabla33" ref="A1154:G1316" totalsRowShown="0" headerRowDxfId="14" headerRowBorderDxfId="13" tableBorderDxfId="12">
  <autoFilter ref="A1154:G1316"/>
  <tableColumns count="7">
    <tableColumn id="1" name="FECHA "/>
    <tableColumn id="2" name="PRODUCTO "/>
    <tableColumn id="3" name="CANTIDAD"/>
    <tableColumn id="4" name="COSTO UNITARIO"/>
    <tableColumn id="5" name="PERSONAL"/>
    <tableColumn id="6" name="TASA"/>
    <tableColumn id="7" name="DIVISA" dataDxfId="11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id="35" name="Tabla35" displayName="Tabla35" ref="I1154:O1169" totalsRowShown="0" headerRowDxfId="0" headerRowBorderDxfId="9" tableBorderDxfId="10" totalsRowBorderDxfId="8">
  <autoFilter ref="I1154:O1169"/>
  <tableColumns count="7">
    <tableColumn id="1" name="FECHA DE PAGO " dataDxfId="7"/>
    <tableColumn id="2" name="TIPO DE MONEDA" dataDxfId="6"/>
    <tableColumn id="3" name="DETALLE" dataDxfId="5"/>
    <tableColumn id="4" name="MONTO (ENTREGA)" dataDxfId="4"/>
    <tableColumn id="5" name="DATOS DEL BENEFICIARIO" dataDxfId="3"/>
    <tableColumn id="6" name="TASA" dataDxfId="2"/>
    <tableColumn id="7" name="MONTO EN DIVISA" dataDxfId="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0" name="Tabla10" displayName="Tabla10" ref="A116:J148" totalsRowShown="0" headerRowDxfId="285" headerRowBorderDxfId="284" tableBorderDxfId="283" totalsRowBorderDxfId="282" headerRowCellStyle="Millares">
  <autoFilter ref="A116:J148"/>
  <tableColumns count="10">
    <tableColumn id="1" name="Fecha" dataDxfId="281"/>
    <tableColumn id="2" name="Nro Facturas" dataDxfId="280"/>
    <tableColumn id="3" name="Subtotal" dataDxfId="279" dataCellStyle="Millares"/>
    <tableColumn id="4" name="Impuesto" dataDxfId="278"/>
    <tableColumn id="5" name="Total" dataDxfId="277" dataCellStyle="Millares"/>
    <tableColumn id="6" name="Promedio_Factura" dataDxfId="276" dataCellStyle="Millares">
      <calculatedColumnFormula>+Tabla10[[#This Row],[Total]]/Tabla10[[#This Row],[Nro Facturas]]</calculatedColumnFormula>
    </tableColumn>
    <tableColumn id="7" name="TASA" dataDxfId="275" dataCellStyle="Millares"/>
    <tableColumn id="8" name="SUBTOTAL $" dataDxfId="274">
      <calculatedColumnFormula>+Tabla10[[#This Row],[Subtotal]]/Tabla10[[#This Row],[TASA]]</calculatedColumnFormula>
    </tableColumn>
    <tableColumn id="9" name="IVA $" dataDxfId="273">
      <calculatedColumnFormula>Tabla10[[#This Row],[Subtotal]]/Tabla10[[#This Row],[TASA]]</calculatedColumnFormula>
    </tableColumn>
    <tableColumn id="10" name="TOTAL$" dataDxfId="272">
      <calculatedColumnFormula>+Tabla10[[#This Row],[Total]]/Tabla10[[#This Row],[TASA]]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6" name="Tabla18" displayName="Tabla18" ref="A152:J183" totalsRowShown="0" headerRowDxfId="271" dataDxfId="269" headerRowBorderDxfId="270" tableBorderDxfId="268" totalsRowBorderDxfId="267" headerRowCellStyle="Millares">
  <autoFilter ref="A152:J183"/>
  <tableColumns count="10">
    <tableColumn id="1" name="Fecha" dataDxfId="266"/>
    <tableColumn id="2" name="Nro Facturas" dataDxfId="265"/>
    <tableColumn id="3" name="Subtotal" dataDxfId="264" dataCellStyle="Millares"/>
    <tableColumn id="4" name="Impuesto" dataDxfId="263"/>
    <tableColumn id="5" name="Total" dataDxfId="262" dataCellStyle="Millares"/>
    <tableColumn id="6" name="Promedio_Factura" dataDxfId="261" dataCellStyle="Millares"/>
    <tableColumn id="7" name="TASA" dataDxfId="260" dataCellStyle="Millares"/>
    <tableColumn id="8" name="SUBTOTAL $" dataDxfId="259"/>
    <tableColumn id="9" name="IVA $" dataDxfId="258"/>
    <tableColumn id="10" name="TOTAL$" dataDxfId="257">
      <calculatedColumnFormula>Tabla18[[#This Row],[Total]]/Tabla18[[#This Row],[TASA]]</calculatedColumnFormula>
    </tableColumn>
  </tableColumns>
  <tableStyleInfo name="TableStyleLight12" showFirstColumn="0" showLastColumn="0" showRowStripes="1" showColumnStripes="0"/>
</table>
</file>

<file path=xl/tables/table6.xml><?xml version="1.0" encoding="utf-8"?>
<table xmlns="http://schemas.openxmlformats.org/spreadsheetml/2006/main" id="18" name="Tabla20" displayName="Tabla20" ref="A188:J220" totalsRowCount="1" headerRowDxfId="256" headerRowBorderDxfId="255" tableBorderDxfId="254" totalsRowBorderDxfId="253" headerRowCellStyle="Millares">
  <autoFilter ref="A188:J219"/>
  <tableColumns count="10">
    <tableColumn id="1" name="Fecha" dataDxfId="252" totalsRowDxfId="251"/>
    <tableColumn id="2" name="Nro Facturas" dataDxfId="250" totalsRowDxfId="249"/>
    <tableColumn id="3" name="Subtotal" dataDxfId="248" totalsRowDxfId="247" dataCellStyle="Millares"/>
    <tableColumn id="4" name="Impuesto" dataDxfId="246" totalsRowDxfId="245"/>
    <tableColumn id="5" name="Total" dataDxfId="244" totalsRowDxfId="243" dataCellStyle="Millares"/>
    <tableColumn id="6" name="Promedio_Factura" dataDxfId="242" totalsRowDxfId="241" dataCellStyle="Millares"/>
    <tableColumn id="7" name="TASA" totalsRowLabel=" TOTAL " dataDxfId="240" totalsRowDxfId="239" dataCellStyle="Millares"/>
    <tableColumn id="8" name="SUBTOTAL $" totalsRowLabel="total:" dataDxfId="238" totalsRowDxfId="237"/>
    <tableColumn id="9" name="IVA $" dataDxfId="236" totalsRowDxfId="235"/>
    <tableColumn id="10" name="TOTAL$" totalsRowFunction="custom" dataDxfId="234" totalsRowDxfId="233">
      <calculatedColumnFormula>Tabla20[[#This Row],[Total]]/Tabla20[[#This Row],[TASA]]</calculatedColumnFormula>
      <totalsRowFormula>SUM(Tabla20[TOTAL$])</totalsRowFormula>
    </tableColumn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id="29" name="Tabla29" displayName="Tabla29" ref="A225:J257" totalsRowCount="1">
  <autoFilter ref="A225:J256"/>
  <tableColumns count="10">
    <tableColumn id="1" name="Fecha"/>
    <tableColumn id="2" name="total Facturas"/>
    <tableColumn id="3" name="Subtotal" dataDxfId="232" totalsRowDxfId="231" dataCellStyle="Millares"/>
    <tableColumn id="4" name="Impuesto" dataDxfId="230" totalsRowDxfId="229"/>
    <tableColumn id="5" name="Total" dataDxfId="228" totalsRowDxfId="227" dataCellStyle="Millares"/>
    <tableColumn id="6" name="Promedio_Factura"/>
    <tableColumn id="7" name="TASA" totalsRowLabel="TOTAL"/>
    <tableColumn id="8" name="SUBTOTAL $" totalsRowLabel="TOTAL:"/>
    <tableColumn id="9" name="IVA $"/>
    <tableColumn id="10" name="TOTAL$" totalsRowFunction="sum" dataDxfId="226" totalsRowDxfId="225">
      <calculatedColumnFormula>Tabla29[[#This Row],[Total]]/Tabla29[[#This Row],[TASA]]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30" name="Tabla30" displayName="Tabla30" ref="A261:J290" totalsRowShown="0" headerRowDxfId="224" dataDxfId="222" headerRowBorderDxfId="223" tableBorderDxfId="221" totalsRowBorderDxfId="220">
  <autoFilter ref="A261:J290"/>
  <tableColumns count="10">
    <tableColumn id="1" name="Fecha" dataDxfId="219"/>
    <tableColumn id="2" name="total Facturas" dataDxfId="218"/>
    <tableColumn id="3" name="Subtotal" dataDxfId="217" dataCellStyle="Millares"/>
    <tableColumn id="4" name="Impuesto" dataDxfId="216"/>
    <tableColumn id="5" name="Total" dataDxfId="215" dataCellStyle="Millares"/>
    <tableColumn id="6" name="Promedio_Factura" dataDxfId="214"/>
    <tableColumn id="7" name="TASA" dataDxfId="213"/>
    <tableColumn id="8" name="SUBTOTAL $" dataDxfId="212"/>
    <tableColumn id="9" name="IVA $" dataDxfId="211"/>
    <tableColumn id="10" name="TOTAL$" dataDxfId="210">
      <calculatedColumnFormula>Tabla30[[#This Row],[Total]]/Tabla30[[#This Row],[TASA]]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36" name="Tabla36" displayName="Tabla36" ref="A295:J327" totalsRowShown="0">
  <autoFilter ref="A295:J327"/>
  <tableColumns count="10">
    <tableColumn id="1" name="Fecha"/>
    <tableColumn id="2" name="total Facturas"/>
    <tableColumn id="3" name="Subtotal" dataDxfId="209" dataCellStyle="Millares"/>
    <tableColumn id="4" name="Impuesto" dataDxfId="208"/>
    <tableColumn id="5" name="Total" dataDxfId="207" dataCellStyle="Millares"/>
    <tableColumn id="6" name="Promedio_Factura"/>
    <tableColumn id="7" name="TASA" dataDxfId="206"/>
    <tableColumn id="8" name="SUBTOTAL $"/>
    <tableColumn id="9" name="IVA $"/>
    <tableColumn id="10" name="TOTAL$" dataDxfId="205">
      <calculatedColumnFormula>+Tabla36[[#This Row],[Total]]/Tabla36[[#This Row],[TASA]]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6.xml"/><Relationship Id="rId3" Type="http://schemas.openxmlformats.org/officeDocument/2006/relationships/table" Target="../tables/table11.xml"/><Relationship Id="rId7" Type="http://schemas.openxmlformats.org/officeDocument/2006/relationships/table" Target="../tables/table15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4.xml"/><Relationship Id="rId5" Type="http://schemas.openxmlformats.org/officeDocument/2006/relationships/table" Target="../tables/table13.xml"/><Relationship Id="rId10" Type="http://schemas.openxmlformats.org/officeDocument/2006/relationships/table" Target="../tables/table18.xml"/><Relationship Id="rId4" Type="http://schemas.openxmlformats.org/officeDocument/2006/relationships/table" Target="../tables/table12.xml"/><Relationship Id="rId9" Type="http://schemas.openxmlformats.org/officeDocument/2006/relationships/table" Target="../tables/table1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5.xml"/><Relationship Id="rId13" Type="http://schemas.openxmlformats.org/officeDocument/2006/relationships/table" Target="../tables/table30.xml"/><Relationship Id="rId18" Type="http://schemas.openxmlformats.org/officeDocument/2006/relationships/table" Target="../tables/table35.xml"/><Relationship Id="rId3" Type="http://schemas.openxmlformats.org/officeDocument/2006/relationships/table" Target="../tables/table20.xml"/><Relationship Id="rId7" Type="http://schemas.openxmlformats.org/officeDocument/2006/relationships/table" Target="../tables/table24.xml"/><Relationship Id="rId12" Type="http://schemas.openxmlformats.org/officeDocument/2006/relationships/table" Target="../tables/table29.xml"/><Relationship Id="rId17" Type="http://schemas.openxmlformats.org/officeDocument/2006/relationships/table" Target="../tables/table34.xml"/><Relationship Id="rId2" Type="http://schemas.openxmlformats.org/officeDocument/2006/relationships/table" Target="../tables/table19.xml"/><Relationship Id="rId16" Type="http://schemas.openxmlformats.org/officeDocument/2006/relationships/table" Target="../tables/table3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3.xml"/><Relationship Id="rId11" Type="http://schemas.openxmlformats.org/officeDocument/2006/relationships/table" Target="../tables/table28.xml"/><Relationship Id="rId5" Type="http://schemas.openxmlformats.org/officeDocument/2006/relationships/table" Target="../tables/table22.xml"/><Relationship Id="rId15" Type="http://schemas.openxmlformats.org/officeDocument/2006/relationships/table" Target="../tables/table32.xml"/><Relationship Id="rId10" Type="http://schemas.openxmlformats.org/officeDocument/2006/relationships/table" Target="../tables/table27.xml"/><Relationship Id="rId19" Type="http://schemas.openxmlformats.org/officeDocument/2006/relationships/table" Target="../tables/table36.xml"/><Relationship Id="rId4" Type="http://schemas.openxmlformats.org/officeDocument/2006/relationships/table" Target="../tables/table21.xml"/><Relationship Id="rId9" Type="http://schemas.openxmlformats.org/officeDocument/2006/relationships/table" Target="../tables/table26.xml"/><Relationship Id="rId14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9"/>
  <sheetViews>
    <sheetView topLeftCell="A313" zoomScale="80" zoomScaleNormal="80" workbookViewId="0">
      <selection activeCell="J333" sqref="J333"/>
    </sheetView>
  </sheetViews>
  <sheetFormatPr baseColWidth="10" defaultRowHeight="15" x14ac:dyDescent="0.25"/>
  <cols>
    <col min="2" max="2" width="15.42578125" customWidth="1"/>
    <col min="3" max="3" width="14.28515625" style="27" customWidth="1"/>
    <col min="4" max="4" width="11.7109375" style="32" bestFit="1" customWidth="1"/>
    <col min="5" max="5" width="16.5703125" style="27" customWidth="1"/>
    <col min="6" max="6" width="20.140625" hidden="1" customWidth="1"/>
    <col min="7" max="7" width="14.7109375" customWidth="1"/>
    <col min="8" max="8" width="14.28515625" customWidth="1"/>
    <col min="9" max="9" width="0.28515625" hidden="1" customWidth="1"/>
    <col min="10" max="10" width="12" customWidth="1"/>
    <col min="11" max="11" width="12.7109375" bestFit="1" customWidth="1"/>
    <col min="12" max="12" width="14.5703125" bestFit="1" customWidth="1"/>
    <col min="13" max="13" width="16.28515625" bestFit="1" customWidth="1"/>
    <col min="15" max="15" width="16.28515625" bestFit="1" customWidth="1"/>
    <col min="17" max="17" width="17.28515625" bestFit="1" customWidth="1"/>
    <col min="18" max="18" width="15.85546875" bestFit="1" customWidth="1"/>
    <col min="19" max="19" width="12.5703125" bestFit="1" customWidth="1"/>
  </cols>
  <sheetData>
    <row r="1" spans="1:18" ht="28.5" x14ac:dyDescent="0.45">
      <c r="A1" t="s">
        <v>232</v>
      </c>
      <c r="E1" s="36" t="s">
        <v>230</v>
      </c>
      <c r="F1" s="35"/>
      <c r="Q1" s="34" t="s">
        <v>142</v>
      </c>
      <c r="R1" s="36" t="s">
        <v>143</v>
      </c>
    </row>
    <row r="3" spans="1:18" x14ac:dyDescent="0.25">
      <c r="A3" s="2" t="s">
        <v>0</v>
      </c>
      <c r="B3" s="3" t="s">
        <v>1</v>
      </c>
      <c r="C3" s="4" t="s">
        <v>2</v>
      </c>
      <c r="D3" s="30" t="s">
        <v>3</v>
      </c>
      <c r="E3" s="4" t="s">
        <v>4</v>
      </c>
      <c r="F3" s="4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8" x14ac:dyDescent="0.25">
      <c r="A4" s="7">
        <v>44378</v>
      </c>
      <c r="B4" s="1">
        <v>75</v>
      </c>
      <c r="C4" s="8"/>
      <c r="D4" s="29">
        <v>0.16</v>
      </c>
      <c r="E4" s="8">
        <v>656401447.20000005</v>
      </c>
      <c r="F4" s="8">
        <f>+Tabla1[[#This Row],[Total]]/Tabla1[[#This Row],[Nro Facturas]]</f>
        <v>8752019.2960000001</v>
      </c>
      <c r="G4" s="9">
        <v>3230000</v>
      </c>
      <c r="H4" s="82">
        <f>+Tabla1[[#This Row],[Subtotal]]/Tabla1[[#This Row],[TASA]]</f>
        <v>0</v>
      </c>
      <c r="I4" s="82">
        <f>+Tabla1[[#This Row],[Subtotal]]/Tabla1[[#This Row],[TASA]]</f>
        <v>0</v>
      </c>
      <c r="J4" s="84">
        <f>+Tabla1[[#This Row],[Total]]/Tabla1[[#This Row],[TASA]]</f>
        <v>203.2202622910217</v>
      </c>
    </row>
    <row r="5" spans="1:18" x14ac:dyDescent="0.25">
      <c r="A5" s="7">
        <v>44379</v>
      </c>
      <c r="B5" s="1">
        <f>159-3</f>
        <v>156</v>
      </c>
      <c r="C5" s="8"/>
      <c r="D5" s="29">
        <v>0.16</v>
      </c>
      <c r="E5" s="8">
        <v>1957601885.4000001</v>
      </c>
      <c r="F5" s="8">
        <f>+Tabla1[[#This Row],[Total]]/Tabla1[[#This Row],[Nro Facturas]]</f>
        <v>12548730.034615384</v>
      </c>
      <c r="G5" s="9">
        <v>3250000</v>
      </c>
      <c r="H5" s="82">
        <f>+Tabla1[[#This Row],[Subtotal]]/Tabla1[[#This Row],[TASA]]</f>
        <v>0</v>
      </c>
      <c r="I5" s="82">
        <f>+Tabla1[[#This Row],[Subtotal]]/Tabla1[[#This Row],[TASA]]</f>
        <v>0</v>
      </c>
      <c r="J5" s="84">
        <f>+Tabla1[[#This Row],[Total]]/Tabla1[[#This Row],[TASA]]</f>
        <v>602.33904166153854</v>
      </c>
    </row>
    <row r="6" spans="1:18" x14ac:dyDescent="0.25">
      <c r="A6" s="7">
        <v>44380</v>
      </c>
      <c r="B6" s="1">
        <v>185</v>
      </c>
      <c r="C6" s="8"/>
      <c r="D6" s="29">
        <v>0.16</v>
      </c>
      <c r="E6" s="8">
        <v>291204312.80000001</v>
      </c>
      <c r="F6" s="8">
        <f>+Tabla1[[#This Row],[Total]]/Tabla1[[#This Row],[Nro Facturas]]</f>
        <v>1574077.3664864865</v>
      </c>
      <c r="G6" s="9">
        <v>3250000</v>
      </c>
      <c r="H6" s="82">
        <f>+Tabla1[[#This Row],[Subtotal]]/Tabla1[[#This Row],[TASA]]</f>
        <v>0</v>
      </c>
      <c r="I6" s="82">
        <f>+Tabla1[[#This Row],[Subtotal]]/Tabla1[[#This Row],[TASA]]</f>
        <v>0</v>
      </c>
      <c r="J6" s="84">
        <f>+Tabla1[[#This Row],[Total]]/Tabla1[[#This Row],[TASA]]</f>
        <v>89.601327015384612</v>
      </c>
    </row>
    <row r="7" spans="1:18" x14ac:dyDescent="0.25">
      <c r="A7" s="7">
        <v>44381</v>
      </c>
      <c r="B7" s="1">
        <v>146</v>
      </c>
      <c r="C7" s="8"/>
      <c r="D7" s="29">
        <v>0.16</v>
      </c>
      <c r="E7" s="8">
        <v>1955858579</v>
      </c>
      <c r="F7" s="8">
        <f>+Tabla1[[#This Row],[Total]]/Tabla1[[#This Row],[Nro Facturas]]</f>
        <v>13396291.636986302</v>
      </c>
      <c r="G7" s="9">
        <v>3250000</v>
      </c>
      <c r="H7" s="82">
        <f>+Tabla1[[#This Row],[Subtotal]]/Tabla1[[#This Row],[TASA]]</f>
        <v>0</v>
      </c>
      <c r="I7" s="82">
        <f>+Tabla1[[#This Row],[Subtotal]]/Tabla1[[#This Row],[TASA]]</f>
        <v>0</v>
      </c>
      <c r="J7" s="84">
        <f>+Tabla1[[#This Row],[Total]]/Tabla1[[#This Row],[TASA]]</f>
        <v>601.80263969230771</v>
      </c>
    </row>
    <row r="8" spans="1:18" x14ac:dyDescent="0.25">
      <c r="A8" s="7">
        <v>44382</v>
      </c>
      <c r="B8" s="1">
        <v>103</v>
      </c>
      <c r="C8" s="8"/>
      <c r="D8" s="29">
        <v>0.16</v>
      </c>
      <c r="E8" s="8">
        <v>1029778951</v>
      </c>
      <c r="F8" s="8">
        <f>+Tabla1[[#This Row],[Total]]/Tabla1[[#This Row],[Nro Facturas]]</f>
        <v>9997853.8932038844</v>
      </c>
      <c r="G8" s="9">
        <v>3250000</v>
      </c>
      <c r="H8" s="82">
        <f>+Tabla1[[#This Row],[Subtotal]]/Tabla1[[#This Row],[TASA]]</f>
        <v>0</v>
      </c>
      <c r="I8" s="82">
        <f>+Tabla1[[#This Row],[Subtotal]]/Tabla1[[#This Row],[TASA]]</f>
        <v>0</v>
      </c>
      <c r="J8" s="84">
        <f>+Tabla1[[#This Row],[Total]]/Tabla1[[#This Row],[TASA]]</f>
        <v>316.85506184615383</v>
      </c>
    </row>
    <row r="9" spans="1:18" x14ac:dyDescent="0.25">
      <c r="A9" s="7">
        <v>44383</v>
      </c>
      <c r="B9" s="1">
        <v>65</v>
      </c>
      <c r="C9" s="8"/>
      <c r="D9" s="29">
        <v>0.16</v>
      </c>
      <c r="E9" s="8">
        <v>441438708</v>
      </c>
      <c r="F9" s="8">
        <f>+Tabla1[[#This Row],[Total]]/Tabla1[[#This Row],[Nro Facturas]]</f>
        <v>6791364.7384615382</v>
      </c>
      <c r="G9" s="9">
        <v>3250000</v>
      </c>
      <c r="H9" s="82">
        <f>+Tabla1[[#This Row],[Subtotal]]/Tabla1[[#This Row],[TASA]]</f>
        <v>0</v>
      </c>
      <c r="I9" s="82">
        <f>+Tabla1[[#This Row],[Subtotal]]/Tabla1[[#This Row],[TASA]]</f>
        <v>0</v>
      </c>
      <c r="J9" s="84">
        <f>+Tabla1[[#This Row],[Total]]/Tabla1[[#This Row],[TASA]]</f>
        <v>135.82729476923078</v>
      </c>
    </row>
    <row r="10" spans="1:18" x14ac:dyDescent="0.25">
      <c r="A10" s="7">
        <v>44384</v>
      </c>
      <c r="B10" s="1">
        <v>90</v>
      </c>
      <c r="C10" s="8"/>
      <c r="D10" s="29">
        <v>0.16</v>
      </c>
      <c r="E10" s="8">
        <v>1069572969</v>
      </c>
      <c r="F10" s="8">
        <f>+Tabla1[[#This Row],[Total]]/Tabla1[[#This Row],[Nro Facturas]]</f>
        <v>11884144.1</v>
      </c>
      <c r="G10" s="9">
        <v>3250000</v>
      </c>
      <c r="H10" s="82">
        <f>+Tabla1[[#This Row],[Subtotal]]/Tabla1[[#This Row],[TASA]]</f>
        <v>0</v>
      </c>
      <c r="I10" s="82">
        <f>+Tabla1[[#This Row],[Subtotal]]/Tabla1[[#This Row],[TASA]]</f>
        <v>0</v>
      </c>
      <c r="J10" s="84">
        <f>+Tabla1[[#This Row],[Total]]/Tabla1[[#This Row],[TASA]]</f>
        <v>329.09937507692308</v>
      </c>
    </row>
    <row r="11" spans="1:18" x14ac:dyDescent="0.25">
      <c r="A11" s="7">
        <v>44385</v>
      </c>
      <c r="B11" s="1">
        <v>74</v>
      </c>
      <c r="C11" s="8"/>
      <c r="D11" s="29">
        <v>0.16</v>
      </c>
      <c r="E11" s="8">
        <v>732309280</v>
      </c>
      <c r="F11" s="8">
        <f>+Tabla1[[#This Row],[Total]]/Tabla1[[#This Row],[Nro Facturas]]</f>
        <v>9896071.3513513505</v>
      </c>
      <c r="G11" s="9">
        <v>3250000</v>
      </c>
      <c r="H11" s="82">
        <f>+Tabla1[[#This Row],[Subtotal]]/Tabla1[[#This Row],[TASA]]</f>
        <v>0</v>
      </c>
      <c r="I11" s="82">
        <f>+Tabla1[[#This Row],[Subtotal]]/Tabla1[[#This Row],[TASA]]</f>
        <v>0</v>
      </c>
      <c r="J11" s="84">
        <f>+Tabla1[[#This Row],[Total]]/Tabla1[[#This Row],[TASA]]</f>
        <v>225.32593230769231</v>
      </c>
    </row>
    <row r="12" spans="1:18" x14ac:dyDescent="0.25">
      <c r="A12" s="7">
        <v>44386</v>
      </c>
      <c r="B12" s="1">
        <v>135</v>
      </c>
      <c r="C12" s="8"/>
      <c r="D12" s="29">
        <v>0.16</v>
      </c>
      <c r="E12" s="8">
        <v>1861684595</v>
      </c>
      <c r="F12" s="8">
        <f>+Tabla1[[#This Row],[Total]]/Tabla1[[#This Row],[Nro Facturas]]</f>
        <v>13790256.259259259</v>
      </c>
      <c r="G12" s="9">
        <v>3270000</v>
      </c>
      <c r="H12" s="82">
        <f>+Tabla1[[#This Row],[Subtotal]]/Tabla1[[#This Row],[TASA]]</f>
        <v>0</v>
      </c>
      <c r="I12" s="82">
        <f>+Tabla1[[#This Row],[Subtotal]]/Tabla1[[#This Row],[TASA]]</f>
        <v>0</v>
      </c>
      <c r="J12" s="84">
        <f>+Tabla1[[#This Row],[Total]]/Tabla1[[#This Row],[TASA]]</f>
        <v>569.32250611620793</v>
      </c>
    </row>
    <row r="13" spans="1:18" x14ac:dyDescent="0.25">
      <c r="A13" s="7">
        <v>44387</v>
      </c>
      <c r="B13" s="1">
        <v>181</v>
      </c>
      <c r="C13" s="8"/>
      <c r="D13" s="29">
        <v>0.16</v>
      </c>
      <c r="E13" s="8">
        <v>2892946027</v>
      </c>
      <c r="F13" s="8">
        <f>+Tabla1[[#This Row],[Total]]/Tabla1[[#This Row],[Nro Facturas]]</f>
        <v>15983127.220994474</v>
      </c>
      <c r="G13" s="9">
        <v>3270000</v>
      </c>
      <c r="H13" s="82">
        <f>+Tabla1[[#This Row],[Subtotal]]/Tabla1[[#This Row],[TASA]]</f>
        <v>0</v>
      </c>
      <c r="I13" s="82">
        <f>+Tabla1[[#This Row],[Subtotal]]/Tabla1[[#This Row],[TASA]]</f>
        <v>0</v>
      </c>
      <c r="J13" s="84">
        <f>+Tabla1[[#This Row],[Total]]/Tabla1[[#This Row],[TASA]]</f>
        <v>884.69297461773704</v>
      </c>
    </row>
    <row r="14" spans="1:18" x14ac:dyDescent="0.25">
      <c r="A14" s="7">
        <v>44388</v>
      </c>
      <c r="B14" s="1">
        <v>120</v>
      </c>
      <c r="C14" s="8"/>
      <c r="D14" s="29">
        <v>0.16</v>
      </c>
      <c r="E14" s="8">
        <v>1601238823</v>
      </c>
      <c r="F14" s="8">
        <f>+Tabla1[[#This Row],[Total]]/Tabla1[[#This Row],[Nro Facturas]]</f>
        <v>13343656.858333332</v>
      </c>
      <c r="G14" s="9">
        <v>3270000</v>
      </c>
      <c r="H14" s="82">
        <f>+Tabla1[[#This Row],[Subtotal]]/Tabla1[[#This Row],[TASA]]</f>
        <v>0</v>
      </c>
      <c r="I14" s="82">
        <f>+Tabla1[[#This Row],[Subtotal]]/Tabla1[[#This Row],[TASA]]</f>
        <v>0</v>
      </c>
      <c r="J14" s="84">
        <f>+Tabla1[[#This Row],[Total]]/Tabla1[[#This Row],[TASA]]</f>
        <v>489.67548103975537</v>
      </c>
      <c r="L14" s="27"/>
    </row>
    <row r="15" spans="1:18" x14ac:dyDescent="0.25">
      <c r="A15" s="7">
        <v>44389</v>
      </c>
      <c r="B15" s="1">
        <v>56</v>
      </c>
      <c r="C15" s="8"/>
      <c r="D15" s="29">
        <v>0.16</v>
      </c>
      <c r="E15" s="8">
        <v>464635020.80000001</v>
      </c>
      <c r="F15" s="8">
        <f>+Tabla1[[#This Row],[Total]]/Tabla1[[#This Row],[Nro Facturas]]</f>
        <v>8297053.9428571435</v>
      </c>
      <c r="G15" s="9">
        <v>3270000</v>
      </c>
      <c r="H15" s="82">
        <f>+Tabla1[[#This Row],[Subtotal]]/Tabla1[[#This Row],[TASA]]</f>
        <v>0</v>
      </c>
      <c r="I15" s="82">
        <f>+Tabla1[[#This Row],[Subtotal]]/Tabla1[[#This Row],[TASA]]</f>
        <v>0</v>
      </c>
      <c r="J15" s="84">
        <f>+Tabla1[[#This Row],[Total]]/Tabla1[[#This Row],[TASA]]</f>
        <v>142.09022042813456</v>
      </c>
      <c r="L15" s="71"/>
    </row>
    <row r="16" spans="1:18" x14ac:dyDescent="0.25">
      <c r="A16" s="7">
        <v>44390</v>
      </c>
      <c r="B16" s="1">
        <v>9</v>
      </c>
      <c r="C16" s="8"/>
      <c r="D16" s="29">
        <v>0.16</v>
      </c>
      <c r="E16" s="8">
        <v>62448600.859999999</v>
      </c>
      <c r="F16" s="8">
        <f>+Tabla1[[#This Row],[Total]]/Tabla1[[#This Row],[Nro Facturas]]</f>
        <v>6938733.428888889</v>
      </c>
      <c r="G16" s="9">
        <v>3350000</v>
      </c>
      <c r="H16" s="82">
        <f>+Tabla1[[#This Row],[Subtotal]]/Tabla1[[#This Row],[TASA]]</f>
        <v>0</v>
      </c>
      <c r="I16" s="82">
        <f>+Tabla1[[#This Row],[Subtotal]]/Tabla1[[#This Row],[TASA]]</f>
        <v>0</v>
      </c>
      <c r="J16" s="84">
        <f>+Tabla1[[#This Row],[Total]]/Tabla1[[#This Row],[TASA]]</f>
        <v>18.641373391044777</v>
      </c>
    </row>
    <row r="17" spans="1:12" x14ac:dyDescent="0.25">
      <c r="A17" s="7">
        <v>44391</v>
      </c>
      <c r="B17" s="1"/>
      <c r="C17" s="8"/>
      <c r="D17" s="29"/>
      <c r="E17" s="8">
        <v>245305813.44999999</v>
      </c>
      <c r="F17" s="8" t="e">
        <f>+Tabla1[[#This Row],[Total]]/Tabla1[[#This Row],[Nro Facturas]]</f>
        <v>#DIV/0!</v>
      </c>
      <c r="G17" s="9">
        <v>3400000</v>
      </c>
      <c r="H17" s="82">
        <f>+Tabla1[[#This Row],[Subtotal]]/Tabla1[[#This Row],[TASA]]</f>
        <v>0</v>
      </c>
      <c r="I17" s="82">
        <f>+Tabla1[[#This Row],[Subtotal]]/Tabla1[[#This Row],[TASA]]</f>
        <v>0</v>
      </c>
      <c r="J17" s="84">
        <f>+Tabla1[[#This Row],[Total]]/Tabla1[[#This Row],[TASA]]</f>
        <v>72.148768661764706</v>
      </c>
    </row>
    <row r="18" spans="1:12" x14ac:dyDescent="0.25">
      <c r="A18" s="7">
        <v>44392</v>
      </c>
      <c r="B18" s="1">
        <v>110</v>
      </c>
      <c r="C18" s="8"/>
      <c r="D18" s="29">
        <v>0.16</v>
      </c>
      <c r="E18" s="8">
        <v>1165506798.23</v>
      </c>
      <c r="F18" s="8">
        <f>+Tabla1[[#This Row],[Total]]/Tabla1[[#This Row],[Nro Facturas]]</f>
        <v>10595516.347545454</v>
      </c>
      <c r="G18" s="9">
        <v>3500000</v>
      </c>
      <c r="H18" s="82">
        <f>+Tabla1[[#This Row],[Subtotal]]/Tabla1[[#This Row],[TASA]]</f>
        <v>0</v>
      </c>
      <c r="I18" s="82">
        <f>+Tabla1[[#This Row],[Subtotal]]/Tabla1[[#This Row],[TASA]]</f>
        <v>0</v>
      </c>
      <c r="J18" s="84">
        <f>+Tabla1[[#This Row],[Total]]/Tabla1[[#This Row],[TASA]]</f>
        <v>333.00194235142857</v>
      </c>
      <c r="L18" s="71"/>
    </row>
    <row r="19" spans="1:12" x14ac:dyDescent="0.25">
      <c r="A19" s="7">
        <v>44393</v>
      </c>
      <c r="B19" s="1">
        <v>185</v>
      </c>
      <c r="C19" s="8">
        <v>257275870.59999999</v>
      </c>
      <c r="D19" s="29">
        <v>0.16</v>
      </c>
      <c r="E19" s="8">
        <v>2919924013</v>
      </c>
      <c r="F19" s="8">
        <f>+Tabla1[[#This Row],[Total]]/Tabla1[[#This Row],[Nro Facturas]]</f>
        <v>15783373.043243242</v>
      </c>
      <c r="G19" s="9">
        <v>3600000</v>
      </c>
      <c r="H19" s="82">
        <f>+Tabla1[[#This Row],[Subtotal]]/Tabla1[[#This Row],[TASA]]</f>
        <v>71.465519611111105</v>
      </c>
      <c r="I19" s="82">
        <f>+Tabla1[[#This Row],[Subtotal]]/Tabla1[[#This Row],[TASA]]</f>
        <v>71.465519611111105</v>
      </c>
      <c r="J19" s="84">
        <f>+Tabla1[[#This Row],[Total]]/Tabla1[[#This Row],[TASA]]</f>
        <v>811.09000361111111</v>
      </c>
    </row>
    <row r="20" spans="1:12" x14ac:dyDescent="0.25">
      <c r="A20" s="7">
        <v>44394</v>
      </c>
      <c r="B20" s="1">
        <v>219</v>
      </c>
      <c r="C20" s="8">
        <v>40344827.579999998</v>
      </c>
      <c r="D20" s="29">
        <v>0.16</v>
      </c>
      <c r="E20" s="8">
        <v>3740853000</v>
      </c>
      <c r="F20" s="8">
        <f>+Tabla1[[#This Row],[Total]]/Tabla1[[#This Row],[Nro Facturas]]</f>
        <v>17081520.547945205</v>
      </c>
      <c r="G20" s="9">
        <v>3650000</v>
      </c>
      <c r="H20" s="82">
        <f>+Tabla1[[#This Row],[Subtotal]]/Tabla1[[#This Row],[TASA]]</f>
        <v>11.053377419178082</v>
      </c>
      <c r="I20" s="82">
        <f>+Tabla1[[#This Row],[Subtotal]]/Tabla1[[#This Row],[TASA]]</f>
        <v>11.053377419178082</v>
      </c>
      <c r="J20" s="84">
        <f>+Tabla1[[#This Row],[Total]]/Tabla1[[#This Row],[TASA]]</f>
        <v>1024.8912328767124</v>
      </c>
    </row>
    <row r="21" spans="1:12" x14ac:dyDescent="0.25">
      <c r="A21" s="7">
        <v>44395</v>
      </c>
      <c r="B21" s="1">
        <v>266</v>
      </c>
      <c r="C21" s="8">
        <v>35649698.270000003</v>
      </c>
      <c r="D21" s="29">
        <v>0.16</v>
      </c>
      <c r="E21" s="8">
        <v>6193196150</v>
      </c>
      <c r="F21" s="8">
        <f>+Tabla1[[#This Row],[Total]]/Tabla1[[#This Row],[Nro Facturas]]</f>
        <v>23282692.293233082</v>
      </c>
      <c r="G21" s="9">
        <v>3650000</v>
      </c>
      <c r="H21" s="82">
        <f>+Tabla1[[#This Row],[Subtotal]]/Tabla1[[#This Row],[TASA]]</f>
        <v>9.7670406219178094</v>
      </c>
      <c r="I21" s="82">
        <f>+Tabla1[[#This Row],[Subtotal]]/Tabla1[[#This Row],[TASA]]</f>
        <v>9.7670406219178094</v>
      </c>
      <c r="J21" s="84">
        <f>+Tabla1[[#This Row],[Total]]/Tabla1[[#This Row],[TASA]]</f>
        <v>1696.7660684931507</v>
      </c>
    </row>
    <row r="22" spans="1:12" x14ac:dyDescent="0.25">
      <c r="A22" s="7">
        <v>44396</v>
      </c>
      <c r="B22" s="1">
        <v>85</v>
      </c>
      <c r="C22" s="8"/>
      <c r="D22" s="29">
        <v>0.16</v>
      </c>
      <c r="E22" s="8">
        <v>619522500</v>
      </c>
      <c r="F22" s="8">
        <f>+Tabla1[[#This Row],[Total]]/Tabla1[[#This Row],[Nro Facturas]]</f>
        <v>7288500</v>
      </c>
      <c r="G22" s="9">
        <v>3650000</v>
      </c>
      <c r="H22" s="82">
        <f>+Tabla1[[#This Row],[Subtotal]]/Tabla1[[#This Row],[TASA]]</f>
        <v>0</v>
      </c>
      <c r="I22" s="82">
        <f>+Tabla1[[#This Row],[Subtotal]]/Tabla1[[#This Row],[TASA]]</f>
        <v>0</v>
      </c>
      <c r="J22" s="84">
        <f>+Tabla1[[#This Row],[Total]]/Tabla1[[#This Row],[TASA]]</f>
        <v>169.73219178082192</v>
      </c>
    </row>
    <row r="23" spans="1:12" x14ac:dyDescent="0.25">
      <c r="A23" s="7">
        <v>44397</v>
      </c>
      <c r="B23" s="1">
        <v>97</v>
      </c>
      <c r="C23" s="8"/>
      <c r="D23" s="29">
        <v>0.16</v>
      </c>
      <c r="E23" s="8">
        <v>1098603000</v>
      </c>
      <c r="F23" s="8">
        <f>+Tabla1[[#This Row],[Total]]/Tabla1[[#This Row],[Nro Facturas]]</f>
        <v>11325804.12371134</v>
      </c>
      <c r="G23" s="9">
        <v>3750000</v>
      </c>
      <c r="H23" s="82">
        <f>+Tabla1[[#This Row],[Subtotal]]/Tabla1[[#This Row],[TASA]]</f>
        <v>0</v>
      </c>
      <c r="I23" s="82">
        <f>+Tabla1[[#This Row],[Subtotal]]/Tabla1[[#This Row],[TASA]]</f>
        <v>0</v>
      </c>
      <c r="J23" s="84">
        <f>+Tabla1[[#This Row],[Total]]/Tabla1[[#This Row],[TASA]]</f>
        <v>292.96080000000001</v>
      </c>
    </row>
    <row r="24" spans="1:12" x14ac:dyDescent="0.25">
      <c r="A24" s="7">
        <v>44398</v>
      </c>
      <c r="B24" s="1">
        <v>85</v>
      </c>
      <c r="C24" s="8">
        <v>41702155.18</v>
      </c>
      <c r="D24" s="29">
        <v>0.16</v>
      </c>
      <c r="E24" s="8">
        <v>999153844.82000005</v>
      </c>
      <c r="F24" s="8">
        <f>+Tabla1[[#This Row],[Total]]/Tabla1[[#This Row],[Nro Facturas]]</f>
        <v>11754751.115529412</v>
      </c>
      <c r="G24" s="9">
        <v>3850000</v>
      </c>
      <c r="H24" s="82">
        <f>+Tabla1[[#This Row],[Subtotal]]/Tabla1[[#This Row],[TASA]]</f>
        <v>10.831728618181819</v>
      </c>
      <c r="I24" s="82">
        <f>+Tabla1[[#This Row],[Subtotal]]/Tabla1[[#This Row],[TASA]]</f>
        <v>10.831728618181819</v>
      </c>
      <c r="J24" s="84">
        <f>+Tabla1[[#This Row],[Total]]/Tabla1[[#This Row],[TASA]]</f>
        <v>259.52047917402598</v>
      </c>
    </row>
    <row r="25" spans="1:12" x14ac:dyDescent="0.25">
      <c r="A25" s="7">
        <v>44399</v>
      </c>
      <c r="B25" s="1">
        <v>104</v>
      </c>
      <c r="C25" s="8"/>
      <c r="D25" s="29">
        <v>0.16</v>
      </c>
      <c r="E25" s="8">
        <v>1493839500</v>
      </c>
      <c r="F25" s="8">
        <f>+Tabla1[[#This Row],[Total]]/Tabla1[[#This Row],[Nro Facturas]]</f>
        <v>14363841.346153846</v>
      </c>
      <c r="G25" s="9">
        <v>3950000</v>
      </c>
      <c r="H25" s="82">
        <f>+Tabla1[[#This Row],[Subtotal]]/Tabla1[[#This Row],[TASA]]</f>
        <v>0</v>
      </c>
      <c r="I25" s="82">
        <f>+Tabla1[[#This Row],[Subtotal]]/Tabla1[[#This Row],[TASA]]</f>
        <v>0</v>
      </c>
      <c r="J25" s="84">
        <f>+Tabla1[[#This Row],[Total]]/Tabla1[[#This Row],[TASA]]</f>
        <v>378.18721518987343</v>
      </c>
    </row>
    <row r="26" spans="1:12" x14ac:dyDescent="0.25">
      <c r="A26" s="7">
        <v>44400</v>
      </c>
      <c r="B26" s="1">
        <v>131</v>
      </c>
      <c r="C26" s="8">
        <v>19202586.210000001</v>
      </c>
      <c r="D26" s="29">
        <v>0.16</v>
      </c>
      <c r="E26" s="8">
        <v>2544973655</v>
      </c>
      <c r="F26" s="8">
        <f>+Tabla1[[#This Row],[Total]]/Tabla1[[#This Row],[Nro Facturas]]</f>
        <v>19427279.809160307</v>
      </c>
      <c r="G26" s="9">
        <v>4050000</v>
      </c>
      <c r="H26" s="82">
        <f>+Tabla1[[#This Row],[Subtotal]]/Tabla1[[#This Row],[TASA]]</f>
        <v>4.7413793111111113</v>
      </c>
      <c r="I26" s="82">
        <f>+Tabla1[[#This Row],[Subtotal]]/Tabla1[[#This Row],[TASA]]</f>
        <v>4.7413793111111113</v>
      </c>
      <c r="J26" s="84">
        <f>+Tabla1[[#This Row],[Total]]/Tabla1[[#This Row],[TASA]]</f>
        <v>628.3885567901234</v>
      </c>
    </row>
    <row r="27" spans="1:12" x14ac:dyDescent="0.25">
      <c r="A27" s="7">
        <v>44401</v>
      </c>
      <c r="B27" s="1">
        <v>179</v>
      </c>
      <c r="C27" s="8">
        <v>69827587.069999993</v>
      </c>
      <c r="D27" s="29">
        <v>0.16</v>
      </c>
      <c r="E27" s="8">
        <v>4635304039</v>
      </c>
      <c r="F27" s="8">
        <f>+Tabla1[[#This Row],[Total]]/Tabla1[[#This Row],[Nro Facturas]]</f>
        <v>25895553.290502794</v>
      </c>
      <c r="G27" s="9">
        <v>4050000</v>
      </c>
      <c r="H27" s="82">
        <f>+Tabla1[[#This Row],[Subtotal]]/Tabla1[[#This Row],[TASA]]</f>
        <v>17.241379523456789</v>
      </c>
      <c r="I27" s="82">
        <f>+Tabla1[[#This Row],[Subtotal]]/Tabla1[[#This Row],[TASA]]</f>
        <v>17.241379523456789</v>
      </c>
      <c r="J27" s="84">
        <f>+Tabla1[[#This Row],[Total]]/Tabla1[[#This Row],[TASA]]</f>
        <v>1144.5195158024692</v>
      </c>
    </row>
    <row r="28" spans="1:12" x14ac:dyDescent="0.25">
      <c r="A28" s="7">
        <v>44402</v>
      </c>
      <c r="B28" s="1">
        <v>125</v>
      </c>
      <c r="C28" s="8"/>
      <c r="D28" s="29">
        <v>0.16</v>
      </c>
      <c r="E28" s="8">
        <v>1887033035</v>
      </c>
      <c r="F28" s="8">
        <f>+Tabla1[[#This Row],[Total]]/Tabla1[[#This Row],[Nro Facturas]]</f>
        <v>15096264.279999999</v>
      </c>
      <c r="G28" s="9">
        <v>4050000</v>
      </c>
      <c r="H28" s="82">
        <f>+Tabla1[[#This Row],[Subtotal]]/Tabla1[[#This Row],[TASA]]</f>
        <v>0</v>
      </c>
      <c r="I28" s="82">
        <f>+Tabla1[[#This Row],[Subtotal]]/Tabla1[[#This Row],[TASA]]</f>
        <v>0</v>
      </c>
      <c r="J28" s="84">
        <f>+Tabla1[[#This Row],[Total]]/Tabla1[[#This Row],[TASA]]</f>
        <v>465.93408271604937</v>
      </c>
    </row>
    <row r="29" spans="1:12" x14ac:dyDescent="0.25">
      <c r="A29" s="7">
        <v>44403</v>
      </c>
      <c r="B29" s="1">
        <v>98</v>
      </c>
      <c r="C29" s="8"/>
      <c r="D29" s="29">
        <v>0.16</v>
      </c>
      <c r="E29" s="8">
        <v>1097852611</v>
      </c>
      <c r="F29" s="8">
        <f>+Tabla1[[#This Row],[Total]]/Tabla1[[#This Row],[Nro Facturas]]</f>
        <v>11202577.663265307</v>
      </c>
      <c r="G29" s="9">
        <v>4120000</v>
      </c>
      <c r="H29" s="82">
        <f>+Tabla1[[#This Row],[Subtotal]]/Tabla1[[#This Row],[TASA]]</f>
        <v>0</v>
      </c>
      <c r="I29" s="82">
        <f>+Tabla1[[#This Row],[Subtotal]]/Tabla1[[#This Row],[TASA]]</f>
        <v>0</v>
      </c>
      <c r="J29" s="84">
        <f>+Tabla1[[#This Row],[Total]]/Tabla1[[#This Row],[TASA]]</f>
        <v>266.46908033980583</v>
      </c>
    </row>
    <row r="30" spans="1:12" x14ac:dyDescent="0.25">
      <c r="A30" s="7">
        <v>44404</v>
      </c>
      <c r="B30" s="1">
        <v>63</v>
      </c>
      <c r="C30" s="8">
        <v>2983017.24</v>
      </c>
      <c r="D30" s="29">
        <v>0.16</v>
      </c>
      <c r="E30" s="8">
        <v>744235000</v>
      </c>
      <c r="F30" s="8">
        <f>+Tabla1[[#This Row],[Total]]/Tabla1[[#This Row],[Nro Facturas]]</f>
        <v>11813253.968253968</v>
      </c>
      <c r="G30" s="9">
        <v>4190000</v>
      </c>
      <c r="H30" s="82">
        <f>+Tabla1[[#This Row],[Subtotal]]/Tabla1[[#This Row],[TASA]]</f>
        <v>0.71193728878281626</v>
      </c>
      <c r="I30" s="82">
        <f>+Tabla1[[#This Row],[Subtotal]]/Tabla1[[#This Row],[TASA]]</f>
        <v>0.71193728878281626</v>
      </c>
      <c r="J30" s="84">
        <f>+Tabla1[[#This Row],[Total]]/Tabla1[[#This Row],[TASA]]</f>
        <v>177.62171837708831</v>
      </c>
    </row>
    <row r="31" spans="1:12" x14ac:dyDescent="0.25">
      <c r="A31" s="7">
        <v>44405</v>
      </c>
      <c r="B31" s="1">
        <v>65</v>
      </c>
      <c r="C31" s="8"/>
      <c r="D31" s="29">
        <v>0.16</v>
      </c>
      <c r="E31" s="8">
        <v>593380800</v>
      </c>
      <c r="F31" s="8">
        <f>+Tabla1[[#This Row],[Total]]/Tabla1[[#This Row],[Nro Facturas]]</f>
        <v>9128935.384615384</v>
      </c>
      <c r="G31" s="9">
        <v>4190000</v>
      </c>
      <c r="H31" s="82">
        <f>+Tabla1[[#This Row],[Subtotal]]/Tabla1[[#This Row],[TASA]]</f>
        <v>0</v>
      </c>
      <c r="I31" s="82">
        <f>+Tabla1[[#This Row],[Subtotal]]/Tabla1[[#This Row],[TASA]]</f>
        <v>0</v>
      </c>
      <c r="J31" s="84">
        <f>+Tabla1[[#This Row],[Total]]/Tabla1[[#This Row],[TASA]]</f>
        <v>141.61832935560858</v>
      </c>
    </row>
    <row r="32" spans="1:12" x14ac:dyDescent="0.25">
      <c r="A32" s="7">
        <v>44406</v>
      </c>
      <c r="B32" s="1">
        <v>89</v>
      </c>
      <c r="C32" s="8">
        <v>32397241.379999999</v>
      </c>
      <c r="D32" s="29">
        <v>0.16</v>
      </c>
      <c r="E32" s="8">
        <v>1531786200</v>
      </c>
      <c r="F32" s="8">
        <f>+Tabla1[[#This Row],[Total]]/Tabla1[[#This Row],[Nro Facturas]]</f>
        <v>17211080.898876406</v>
      </c>
      <c r="G32" s="9">
        <v>4125000</v>
      </c>
      <c r="H32" s="82">
        <f>+Tabla1[[#This Row],[Subtotal]]/Tabla1[[#This Row],[TASA]]</f>
        <v>7.8538766981818178</v>
      </c>
      <c r="I32" s="82">
        <f>+Tabla1[[#This Row],[Subtotal]]/Tabla1[[#This Row],[TASA]]</f>
        <v>7.8538766981818178</v>
      </c>
      <c r="J32" s="84">
        <f>+Tabla1[[#This Row],[Total]]/Tabla1[[#This Row],[TASA]]</f>
        <v>371.3421090909091</v>
      </c>
    </row>
    <row r="33" spans="1:10" x14ac:dyDescent="0.25">
      <c r="A33" s="7">
        <v>44407</v>
      </c>
      <c r="B33" s="1">
        <v>194</v>
      </c>
      <c r="C33" s="8">
        <v>52241379.310000002</v>
      </c>
      <c r="D33" s="29">
        <v>0.16</v>
      </c>
      <c r="E33" s="8">
        <v>3785275151</v>
      </c>
      <c r="F33" s="8">
        <f>+Tabla1[[#This Row],[Total]]/Tabla1[[#This Row],[Nro Facturas]]</f>
        <v>19511727.582474228</v>
      </c>
      <c r="G33" s="8">
        <v>4040000</v>
      </c>
      <c r="H33" s="82">
        <f>+Tabla1[[#This Row],[Subtotal]]/Tabla1[[#This Row],[TASA]]</f>
        <v>12.931034482673267</v>
      </c>
      <c r="I33" s="82">
        <f>+Tabla1[[#This Row],[Subtotal]]/Tabla1[[#This Row],[TASA]]</f>
        <v>12.931034482673267</v>
      </c>
      <c r="J33" s="84">
        <f>+Tabla1[[#This Row],[Total]]/Tabla1[[#This Row],[TASA]]</f>
        <v>936.94929480198016</v>
      </c>
    </row>
    <row r="34" spans="1:10" x14ac:dyDescent="0.25">
      <c r="A34" s="12">
        <v>44408</v>
      </c>
      <c r="B34" s="10">
        <v>219</v>
      </c>
      <c r="C34" s="11">
        <v>175328275.86000001</v>
      </c>
      <c r="D34" s="31">
        <v>0.16</v>
      </c>
      <c r="E34" s="11">
        <v>3989850476</v>
      </c>
      <c r="F34" s="8">
        <f>+Tabla1[[#This Row],[Total]]/Tabla1[[#This Row],[Nro Facturas]]</f>
        <v>18218495.324200913</v>
      </c>
      <c r="G34" s="11">
        <v>4040000</v>
      </c>
      <c r="H34" s="83">
        <f>+Tabla1[[#This Row],[Subtotal]]/Tabla1[[#This Row],[TASA]]</f>
        <v>43.398088084158417</v>
      </c>
      <c r="I34" s="83">
        <f>+Tabla1[[#This Row],[Subtotal]]/Tabla1[[#This Row],[TASA]]</f>
        <v>43.398088084158417</v>
      </c>
      <c r="J34" s="85">
        <f>+Tabla1[[#This Row],[Total]]/Tabla1[[#This Row],[TASA]]</f>
        <v>987.58675148514851</v>
      </c>
    </row>
    <row r="35" spans="1:10" x14ac:dyDescent="0.25">
      <c r="A35" s="66"/>
      <c r="B35" s="64"/>
      <c r="C35" s="80"/>
      <c r="D35" s="67"/>
      <c r="E35" s="80"/>
      <c r="F35" s="80"/>
      <c r="G35" s="81"/>
      <c r="H35" s="68"/>
      <c r="I35" s="69" t="s">
        <v>223</v>
      </c>
      <c r="J35" s="65">
        <f>SUM(J4:J34)</f>
        <v>14767.221631151202</v>
      </c>
    </row>
    <row r="36" spans="1:10" s="13" customFormat="1" x14ac:dyDescent="0.25">
      <c r="A36" s="66"/>
      <c r="B36" s="64"/>
      <c r="C36" s="121" t="s">
        <v>232</v>
      </c>
      <c r="D36" s="67"/>
      <c r="E36" s="80"/>
      <c r="F36" s="80"/>
      <c r="G36" s="81"/>
      <c r="H36" s="68"/>
      <c r="I36" s="68"/>
      <c r="J36" s="119"/>
    </row>
    <row r="37" spans="1:10" ht="28.5" x14ac:dyDescent="0.45">
      <c r="A37" s="64"/>
      <c r="E37" s="33" t="s">
        <v>239</v>
      </c>
    </row>
    <row r="39" spans="1:10" x14ac:dyDescent="0.25">
      <c r="A39" s="2" t="s">
        <v>0</v>
      </c>
      <c r="B39" s="3" t="s">
        <v>1</v>
      </c>
      <c r="C39" s="4" t="s">
        <v>2</v>
      </c>
      <c r="D39" s="30" t="s">
        <v>3</v>
      </c>
      <c r="E39" s="4" t="s">
        <v>4</v>
      </c>
      <c r="F39" s="4" t="s">
        <v>5</v>
      </c>
      <c r="G39" s="5" t="s">
        <v>6</v>
      </c>
      <c r="H39" s="5" t="s">
        <v>7</v>
      </c>
      <c r="I39" s="5" t="s">
        <v>8</v>
      </c>
      <c r="J39" s="6" t="s">
        <v>9</v>
      </c>
    </row>
    <row r="40" spans="1:10" x14ac:dyDescent="0.25">
      <c r="A40" s="7">
        <v>44409</v>
      </c>
      <c r="B40" s="1">
        <v>130</v>
      </c>
      <c r="C40" s="8">
        <v>282327586.22000003</v>
      </c>
      <c r="D40" s="29">
        <v>0.16</v>
      </c>
      <c r="E40" s="8">
        <v>2239803750</v>
      </c>
      <c r="F40" s="8">
        <f>+Tabla15[[#This Row],[Total]]/Tabla15[[#This Row],[Nro Facturas]]</f>
        <v>17229259.615384616</v>
      </c>
      <c r="G40" s="9">
        <v>4000000</v>
      </c>
      <c r="H40" s="1">
        <f>+Tabla15[[#This Row],[Subtotal]]/Tabla15[[#This Row],[TASA]]</f>
        <v>70.581896555</v>
      </c>
      <c r="I40" s="1">
        <f>+Tabla15[[#This Row],[Subtotal]]/Tabla15[[#This Row],[TASA]]</f>
        <v>70.581896555</v>
      </c>
      <c r="J40" s="120">
        <f>+Tabla15[[#This Row],[Total]]/Tabla15[[#This Row],[TASA]]</f>
        <v>559.95093750000001</v>
      </c>
    </row>
    <row r="41" spans="1:10" x14ac:dyDescent="0.25">
      <c r="A41" s="7">
        <v>44410</v>
      </c>
      <c r="B41" s="1">
        <v>84</v>
      </c>
      <c r="C41" s="8"/>
      <c r="D41" s="29">
        <v>0.16</v>
      </c>
      <c r="E41" s="8">
        <v>1312534420</v>
      </c>
      <c r="F41" s="8">
        <f>+Tabla15[[#This Row],[Total]]/Tabla15[[#This Row],[Nro Facturas]]</f>
        <v>15625409.761904761</v>
      </c>
      <c r="G41" s="9">
        <v>4015000</v>
      </c>
      <c r="H41" s="1">
        <f>+Tabla15[[#This Row],[Subtotal]]/Tabla15[[#This Row],[TASA]]</f>
        <v>0</v>
      </c>
      <c r="I41" s="1">
        <f>+Tabla15[[#This Row],[Subtotal]]/Tabla15[[#This Row],[TASA]]</f>
        <v>0</v>
      </c>
      <c r="J41" s="120">
        <f>+Tabla15[[#This Row],[Total]]/Tabla15[[#This Row],[TASA]]</f>
        <v>326.90770112079701</v>
      </c>
    </row>
    <row r="42" spans="1:10" x14ac:dyDescent="0.25">
      <c r="A42" s="7">
        <v>44411</v>
      </c>
      <c r="B42" s="1">
        <v>122</v>
      </c>
      <c r="C42" s="8">
        <v>69342672.420000002</v>
      </c>
      <c r="D42" s="29">
        <v>0.16</v>
      </c>
      <c r="E42" s="8">
        <v>2408727870</v>
      </c>
      <c r="F42" s="8">
        <f>+Tabla15[[#This Row],[Total]]/Tabla15[[#This Row],[Nro Facturas]]</f>
        <v>19743671.065573771</v>
      </c>
      <c r="G42" s="9">
        <v>4015000</v>
      </c>
      <c r="H42" s="1">
        <f>+Tabla15[[#This Row],[Subtotal]]/Tabla15[[#This Row],[TASA]]</f>
        <v>17.270902221668742</v>
      </c>
      <c r="I42" s="1">
        <f>+Tabla15[[#This Row],[Subtotal]]/Tabla15[[#This Row],[TASA]]</f>
        <v>17.270902221668742</v>
      </c>
      <c r="J42" s="120">
        <f>+Tabla15[[#This Row],[Total]]/Tabla15[[#This Row],[TASA]]</f>
        <v>599.93222166874227</v>
      </c>
    </row>
    <row r="43" spans="1:10" x14ac:dyDescent="0.25">
      <c r="A43" s="7">
        <v>44412</v>
      </c>
      <c r="B43" s="1">
        <v>110</v>
      </c>
      <c r="C43" s="8"/>
      <c r="D43" s="29">
        <v>0.16</v>
      </c>
      <c r="E43" s="8">
        <v>1648125900</v>
      </c>
      <c r="F43" s="8">
        <f>+Tabla15[[#This Row],[Total]]/Tabla15[[#This Row],[Nro Facturas]]</f>
        <v>14982962.727272727</v>
      </c>
      <c r="G43" s="9">
        <v>4015000</v>
      </c>
      <c r="H43" s="1">
        <f>+Tabla15[[#This Row],[Subtotal]]/Tabla15[[#This Row],[TASA]]</f>
        <v>0</v>
      </c>
      <c r="I43" s="1">
        <f>+Tabla15[[#This Row],[Subtotal]]/Tabla15[[#This Row],[TASA]]</f>
        <v>0</v>
      </c>
      <c r="J43" s="120">
        <f>+Tabla15[[#This Row],[Total]]/Tabla15[[#This Row],[TASA]]</f>
        <v>410.49212951432128</v>
      </c>
    </row>
    <row r="44" spans="1:10" x14ac:dyDescent="0.25">
      <c r="A44" s="7">
        <v>44413</v>
      </c>
      <c r="B44" s="1">
        <v>91</v>
      </c>
      <c r="C44" s="8"/>
      <c r="D44" s="29">
        <v>0.16</v>
      </c>
      <c r="E44" s="8">
        <v>1638378510</v>
      </c>
      <c r="F44" s="8">
        <f>+Tabla15[[#This Row],[Total]]/Tabla15[[#This Row],[Nro Facturas]]</f>
        <v>18004159.45054945</v>
      </c>
      <c r="G44" s="9">
        <v>4040000</v>
      </c>
      <c r="H44" s="1">
        <f>+Tabla15[[#This Row],[Subtotal]]/Tabla15[[#This Row],[TASA]]</f>
        <v>0</v>
      </c>
      <c r="I44" s="1">
        <f>+Tabla15[[#This Row],[Subtotal]]/Tabla15[[#This Row],[TASA]]</f>
        <v>0</v>
      </c>
      <c r="J44" s="120">
        <f>+Tabla15[[#This Row],[Total]]/Tabla15[[#This Row],[TASA]]</f>
        <v>405.53923514851488</v>
      </c>
    </row>
    <row r="45" spans="1:10" x14ac:dyDescent="0.25">
      <c r="A45" s="7">
        <v>44414</v>
      </c>
      <c r="B45" s="1">
        <v>180</v>
      </c>
      <c r="C45" s="8">
        <v>46228448.280000001</v>
      </c>
      <c r="D45" s="29">
        <v>0.16</v>
      </c>
      <c r="E45" s="8">
        <v>3904055861</v>
      </c>
      <c r="F45" s="8">
        <f>+Tabla15[[#This Row],[Total]]/Tabla15[[#This Row],[Nro Facturas]]</f>
        <v>21689199.227777779</v>
      </c>
      <c r="G45" s="9">
        <v>4050000</v>
      </c>
      <c r="H45" s="1">
        <f>+Tabla15[[#This Row],[Subtotal]]/Tabla15[[#This Row],[TASA]]</f>
        <v>11.414431674074075</v>
      </c>
      <c r="I45" s="1">
        <f>+Tabla15[[#This Row],[Subtotal]]/Tabla15[[#This Row],[TASA]]</f>
        <v>11.414431674074075</v>
      </c>
      <c r="J45" s="120">
        <f>+Tabla15[[#This Row],[Total]]/Tabla15[[#This Row],[TASA]]</f>
        <v>963.96441012345679</v>
      </c>
    </row>
    <row r="46" spans="1:10" x14ac:dyDescent="0.25">
      <c r="A46" s="7">
        <v>44415</v>
      </c>
      <c r="B46" s="1">
        <v>202</v>
      </c>
      <c r="C46" s="8">
        <v>114504310.34999999</v>
      </c>
      <c r="D46" s="29">
        <v>0.16</v>
      </c>
      <c r="E46" s="8">
        <v>4198122990</v>
      </c>
      <c r="F46" s="8">
        <f>+Tabla15[[#This Row],[Total]]/Tabla15[[#This Row],[Nro Facturas]]</f>
        <v>20782787.07920792</v>
      </c>
      <c r="G46" s="9">
        <v>4050000</v>
      </c>
      <c r="H46" s="1">
        <f>+Tabla15[[#This Row],[Subtotal]]/Tabla15[[#This Row],[TASA]]</f>
        <v>28.27266922222222</v>
      </c>
      <c r="I46" s="1">
        <f>+Tabla15[[#This Row],[Subtotal]]/Tabla15[[#This Row],[TASA]]</f>
        <v>28.27266922222222</v>
      </c>
      <c r="J46" s="120">
        <f>+Tabla15[[#This Row],[Total]]/Tabla15[[#This Row],[TASA]]</f>
        <v>1036.5735777777777</v>
      </c>
    </row>
    <row r="47" spans="1:10" x14ac:dyDescent="0.25">
      <c r="A47" s="7">
        <v>44416</v>
      </c>
      <c r="B47" s="1">
        <v>179</v>
      </c>
      <c r="C47" s="8"/>
      <c r="D47" s="29">
        <v>0.16</v>
      </c>
      <c r="E47" s="8">
        <v>3710778330</v>
      </c>
      <c r="F47" s="8">
        <f>+Tabla15[[#This Row],[Total]]/Tabla15[[#This Row],[Nro Facturas]]</f>
        <v>20730605.195530728</v>
      </c>
      <c r="G47" s="9">
        <v>4050000</v>
      </c>
      <c r="H47" s="1">
        <f>+Tabla15[[#This Row],[Subtotal]]/Tabla15[[#This Row],[TASA]]</f>
        <v>0</v>
      </c>
      <c r="I47" s="1">
        <f>+Tabla15[[#This Row],[Subtotal]]/Tabla15[[#This Row],[TASA]]</f>
        <v>0</v>
      </c>
      <c r="J47" s="120">
        <f>+Tabla15[[#This Row],[Total]]/Tabla15[[#This Row],[TASA]]</f>
        <v>916.24156296296292</v>
      </c>
    </row>
    <row r="48" spans="1:10" x14ac:dyDescent="0.25">
      <c r="A48" s="7">
        <v>44417</v>
      </c>
      <c r="B48" s="1">
        <v>81</v>
      </c>
      <c r="C48" s="8"/>
      <c r="D48" s="29">
        <v>0.16</v>
      </c>
      <c r="E48" s="8">
        <v>1015855400</v>
      </c>
      <c r="F48" s="8">
        <f>+Tabla15[[#This Row],[Total]]/Tabla15[[#This Row],[Nro Facturas]]</f>
        <v>12541424.691358024</v>
      </c>
      <c r="G48" s="9">
        <v>4110000</v>
      </c>
      <c r="H48" s="1">
        <f>+Tabla15[[#This Row],[Subtotal]]/Tabla15[[#This Row],[TASA]]</f>
        <v>0</v>
      </c>
      <c r="I48" s="1">
        <f>+Tabla15[[#This Row],[Subtotal]]/Tabla15[[#This Row],[TASA]]</f>
        <v>0</v>
      </c>
      <c r="J48" s="120">
        <f>+Tabla15[[#This Row],[Total]]/Tabla15[[#This Row],[TASA]]</f>
        <v>247.16676399026764</v>
      </c>
    </row>
    <row r="49" spans="1:13" x14ac:dyDescent="0.25">
      <c r="A49" s="7">
        <v>44418</v>
      </c>
      <c r="B49" s="1">
        <v>73</v>
      </c>
      <c r="C49" s="8"/>
      <c r="D49" s="29">
        <v>0.16</v>
      </c>
      <c r="E49" s="8">
        <v>1018745900</v>
      </c>
      <c r="F49" s="8">
        <f>+Tabla15[[#This Row],[Total]]/Tabla15[[#This Row],[Nro Facturas]]</f>
        <v>13955423.287671233</v>
      </c>
      <c r="G49" s="9">
        <v>4110000</v>
      </c>
      <c r="H49" s="1">
        <f>+Tabla15[[#This Row],[Subtotal]]/Tabla15[[#This Row],[TASA]]</f>
        <v>0</v>
      </c>
      <c r="I49" s="1">
        <f>+Tabla15[[#This Row],[Subtotal]]/Tabla15[[#This Row],[TASA]]</f>
        <v>0</v>
      </c>
      <c r="J49" s="120">
        <f>+Tabla15[[#This Row],[Total]]/Tabla15[[#This Row],[TASA]]</f>
        <v>247.8700486618005</v>
      </c>
    </row>
    <row r="50" spans="1:13" x14ac:dyDescent="0.25">
      <c r="A50" s="7">
        <v>44419</v>
      </c>
      <c r="B50" s="1">
        <v>61</v>
      </c>
      <c r="C50" s="8">
        <v>9283017.2400000002</v>
      </c>
      <c r="D50" s="29">
        <v>0.16</v>
      </c>
      <c r="E50" s="8">
        <v>1102736200</v>
      </c>
      <c r="F50" s="8">
        <f>+Tabla15[[#This Row],[Total]]/Tabla15[[#This Row],[Nro Facturas]]</f>
        <v>18077642.622950818</v>
      </c>
      <c r="G50" s="9">
        <v>4140000</v>
      </c>
      <c r="H50" s="1">
        <f>+Tabla15[[#This Row],[Subtotal]]/Tabla15[[#This Row],[TASA]]</f>
        <v>2.2422746956521742</v>
      </c>
      <c r="I50" s="1">
        <f>+Tabla15[[#This Row],[Subtotal]]/Tabla15[[#This Row],[TASA]]</f>
        <v>2.2422746956521742</v>
      </c>
      <c r="J50" s="120">
        <f>+Tabla15[[#This Row],[Total]]/Tabla15[[#This Row],[TASA]]</f>
        <v>266.36140096618357</v>
      </c>
    </row>
    <row r="51" spans="1:13" x14ac:dyDescent="0.25">
      <c r="A51" s="7">
        <v>44420</v>
      </c>
      <c r="B51" s="1">
        <v>84</v>
      </c>
      <c r="C51" s="8">
        <v>23310344.829999998</v>
      </c>
      <c r="D51" s="29">
        <v>0.16</v>
      </c>
      <c r="E51" s="8">
        <v>940546600</v>
      </c>
      <c r="F51" s="8">
        <f>+Tabla15[[#This Row],[Total]]/Tabla15[[#This Row],[Nro Facturas]]</f>
        <v>11196983.333333334</v>
      </c>
      <c r="G51" s="9">
        <v>4140000</v>
      </c>
      <c r="H51" s="1">
        <f>+Tabla15[[#This Row],[Subtotal]]/Tabla15[[#This Row],[TASA]]</f>
        <v>5.6305180748792267</v>
      </c>
      <c r="I51" s="1">
        <f>+Tabla15[[#This Row],[Subtotal]]/Tabla15[[#This Row],[TASA]]</f>
        <v>5.6305180748792267</v>
      </c>
      <c r="J51" s="120">
        <f>+Tabla15[[#This Row],[Total]]/Tabla15[[#This Row],[TASA]]</f>
        <v>227.18516908212561</v>
      </c>
    </row>
    <row r="52" spans="1:13" x14ac:dyDescent="0.25">
      <c r="A52" s="7">
        <v>44421</v>
      </c>
      <c r="B52" s="1">
        <v>253</v>
      </c>
      <c r="C52" s="8">
        <v>214137931.02000001</v>
      </c>
      <c r="D52" s="29">
        <v>0.16</v>
      </c>
      <c r="E52" s="8">
        <v>4901617450</v>
      </c>
      <c r="F52" s="8">
        <f>+Tabla15[[#This Row],[Total]]/Tabla15[[#This Row],[Nro Facturas]]</f>
        <v>19373982.015810277</v>
      </c>
      <c r="G52" s="9">
        <v>4140000</v>
      </c>
      <c r="H52" s="1">
        <f>+Tabla15[[#This Row],[Subtotal]]/Tabla15[[#This Row],[TASA]]</f>
        <v>51.724137927536233</v>
      </c>
      <c r="I52" s="1">
        <f>+Tabla15[[#This Row],[Subtotal]]/Tabla15[[#This Row],[TASA]]</f>
        <v>51.724137927536233</v>
      </c>
      <c r="J52" s="120">
        <f>+Tabla15[[#This Row],[Total]]/Tabla15[[#This Row],[TASA]]</f>
        <v>1183.9655676328503</v>
      </c>
    </row>
    <row r="53" spans="1:13" x14ac:dyDescent="0.25">
      <c r="A53" s="7">
        <v>44422</v>
      </c>
      <c r="B53" s="1">
        <v>222</v>
      </c>
      <c r="C53" s="8">
        <v>79214051.730000004</v>
      </c>
      <c r="D53" s="29">
        <v>0.16</v>
      </c>
      <c r="E53" s="8">
        <v>4782201200</v>
      </c>
      <c r="F53" s="8">
        <f>+Tabla15[[#This Row],[Total]]/Tabla15[[#This Row],[Nro Facturas]]</f>
        <v>21541446.846846845</v>
      </c>
      <c r="G53" s="9">
        <v>4140000</v>
      </c>
      <c r="H53" s="1">
        <f>+Tabla15[[#This Row],[Subtotal]]/Tabla15[[#This Row],[TASA]]</f>
        <v>19.133828920289854</v>
      </c>
      <c r="I53" s="1">
        <f>+Tabla15[[#This Row],[Subtotal]]/Tabla15[[#This Row],[TASA]]</f>
        <v>19.133828920289854</v>
      </c>
      <c r="J53" s="120">
        <f>+Tabla15[[#This Row],[Total]]/Tabla15[[#This Row],[TASA]]</f>
        <v>1155.1210628019323</v>
      </c>
      <c r="L53" t="s">
        <v>318</v>
      </c>
      <c r="M53" s="118">
        <f>SUM(J40:J59)</f>
        <v>11944.022052725119</v>
      </c>
    </row>
    <row r="54" spans="1:13" x14ac:dyDescent="0.25">
      <c r="A54" s="7">
        <v>44423</v>
      </c>
      <c r="B54" s="1">
        <v>174</v>
      </c>
      <c r="C54" s="8">
        <v>46620689.659999996</v>
      </c>
      <c r="D54" s="29">
        <v>0.16</v>
      </c>
      <c r="E54" s="8">
        <v>3730847900</v>
      </c>
      <c r="F54" s="8">
        <f>+Tabla15[[#This Row],[Total]]/Tabla15[[#This Row],[Nro Facturas]]</f>
        <v>21441654.597701151</v>
      </c>
      <c r="G54" s="9">
        <v>4140000</v>
      </c>
      <c r="H54" s="1">
        <f>+Tabla15[[#This Row],[Subtotal]]/Tabla15[[#This Row],[TASA]]</f>
        <v>11.261036149758453</v>
      </c>
      <c r="I54" s="1">
        <f>+Tabla15[[#This Row],[Subtotal]]/Tabla15[[#This Row],[TASA]]</f>
        <v>11.261036149758453</v>
      </c>
      <c r="J54" s="120">
        <f>+Tabla15[[#This Row],[Total]]/Tabla15[[#This Row],[TASA]]</f>
        <v>901.1709903381643</v>
      </c>
    </row>
    <row r="55" spans="1:13" x14ac:dyDescent="0.25">
      <c r="A55" s="7">
        <v>44424</v>
      </c>
      <c r="B55" s="1">
        <v>104</v>
      </c>
      <c r="C55" s="8"/>
      <c r="D55" s="29">
        <v>0.16</v>
      </c>
      <c r="E55" s="8">
        <v>1372659600</v>
      </c>
      <c r="F55" s="8">
        <f>+Tabla15[[#This Row],[Total]]/Tabla15[[#This Row],[Nro Facturas]]</f>
        <v>13198650</v>
      </c>
      <c r="G55" s="9">
        <v>4140000</v>
      </c>
      <c r="H55" s="1">
        <f>+Tabla15[[#This Row],[Subtotal]]/Tabla15[[#This Row],[TASA]]</f>
        <v>0</v>
      </c>
      <c r="I55" s="1">
        <f>+Tabla15[[#This Row],[Subtotal]]/Tabla15[[#This Row],[TASA]]</f>
        <v>0</v>
      </c>
      <c r="J55" s="120">
        <f>+Tabla15[[#This Row],[Total]]/Tabla15[[#This Row],[TASA]]</f>
        <v>331.56028985507248</v>
      </c>
    </row>
    <row r="56" spans="1:13" x14ac:dyDescent="0.25">
      <c r="A56" s="7">
        <v>44425</v>
      </c>
      <c r="B56" s="1">
        <v>107</v>
      </c>
      <c r="C56" s="8"/>
      <c r="D56" s="29">
        <v>0.16</v>
      </c>
      <c r="E56" s="8">
        <v>1585206206</v>
      </c>
      <c r="F56" s="8">
        <f>+Tabla15[[#This Row],[Total]]/Tabla15[[#This Row],[Nro Facturas]]</f>
        <v>14815011.271028038</v>
      </c>
      <c r="G56" s="9">
        <v>4140000</v>
      </c>
      <c r="H56" s="1">
        <f>+Tabla15[[#This Row],[Subtotal]]/Tabla15[[#This Row],[TASA]]</f>
        <v>0</v>
      </c>
      <c r="I56" s="1">
        <f>+Tabla15[[#This Row],[Subtotal]]/Tabla15[[#This Row],[TASA]]</f>
        <v>0</v>
      </c>
      <c r="J56" s="120">
        <f>+Tabla15[[#This Row],[Total]]/Tabla15[[#This Row],[TASA]]</f>
        <v>382.90004975845409</v>
      </c>
    </row>
    <row r="57" spans="1:13" x14ac:dyDescent="0.25">
      <c r="A57" s="7">
        <v>44426</v>
      </c>
      <c r="B57" s="1">
        <v>102</v>
      </c>
      <c r="C57" s="8"/>
      <c r="D57" s="29">
        <v>0.16</v>
      </c>
      <c r="E57" s="8">
        <v>1428345400</v>
      </c>
      <c r="F57" s="8">
        <f>+Tabla15[[#This Row],[Total]]/Tabla15[[#This Row],[Nro Facturas]]</f>
        <v>14003386.274509804</v>
      </c>
      <c r="G57" s="9">
        <v>4140000</v>
      </c>
      <c r="H57" s="1">
        <f>+Tabla15[[#This Row],[Subtotal]]/Tabla15[[#This Row],[TASA]]</f>
        <v>0</v>
      </c>
      <c r="I57" s="1">
        <f>+Tabla15[[#This Row],[Subtotal]]/Tabla15[[#This Row],[TASA]]</f>
        <v>0</v>
      </c>
      <c r="J57" s="120">
        <f>+Tabla15[[#This Row],[Total]]/Tabla15[[#This Row],[TASA]]</f>
        <v>345.01096618357485</v>
      </c>
    </row>
    <row r="58" spans="1:13" x14ac:dyDescent="0.25">
      <c r="A58" s="7">
        <v>44427</v>
      </c>
      <c r="B58" s="1">
        <v>116</v>
      </c>
      <c r="C58" s="8"/>
      <c r="D58" s="29">
        <v>0.16</v>
      </c>
      <c r="E58" s="8">
        <v>1996015300</v>
      </c>
      <c r="F58" s="8">
        <f>+Tabla15[[#This Row],[Total]]/Tabla15[[#This Row],[Nro Facturas]]</f>
        <v>17207028.44827586</v>
      </c>
      <c r="G58" s="9">
        <v>4140000</v>
      </c>
      <c r="H58" s="1">
        <f>+Tabla15[[#This Row],[Subtotal]]/Tabla15[[#This Row],[TASA]]</f>
        <v>0</v>
      </c>
      <c r="I58" s="1">
        <f>+Tabla15[[#This Row],[Subtotal]]/Tabla15[[#This Row],[TASA]]</f>
        <v>0</v>
      </c>
      <c r="J58" s="120">
        <f>+Tabla15[[#This Row],[Total]]/Tabla15[[#This Row],[TASA]]</f>
        <v>482.12929951690819</v>
      </c>
      <c r="M58" s="27"/>
    </row>
    <row r="59" spans="1:13" x14ac:dyDescent="0.25">
      <c r="A59" s="7">
        <v>44428</v>
      </c>
      <c r="B59" s="1">
        <v>199</v>
      </c>
      <c r="C59" s="8">
        <v>142241379.31999999</v>
      </c>
      <c r="D59" s="29">
        <v>0.16</v>
      </c>
      <c r="E59" s="8">
        <v>3935162006</v>
      </c>
      <c r="F59" s="8">
        <f>+Tabla15[[#This Row],[Total]]/Tabla15[[#This Row],[Nro Facturas]]</f>
        <v>19774683.44723618</v>
      </c>
      <c r="G59" s="9">
        <v>4125000</v>
      </c>
      <c r="H59" s="1">
        <f>+Tabla15[[#This Row],[Subtotal]]/Tabla15[[#This Row],[TASA]]</f>
        <v>34.4827586230303</v>
      </c>
      <c r="I59" s="1">
        <f>+Tabla15[[#This Row],[Subtotal]]/Tabla15[[#This Row],[TASA]]</f>
        <v>34.4827586230303</v>
      </c>
      <c r="J59" s="120">
        <f>+Tabla15[[#This Row],[Total]]/Tabla15[[#This Row],[TASA]]</f>
        <v>953.97866812121208</v>
      </c>
      <c r="M59" s="71"/>
    </row>
    <row r="60" spans="1:13" x14ac:dyDescent="0.25">
      <c r="A60" s="7">
        <v>44429</v>
      </c>
      <c r="B60" s="1">
        <v>260</v>
      </c>
      <c r="C60" s="8">
        <v>364886465.54000002</v>
      </c>
      <c r="D60" s="29">
        <v>0.16</v>
      </c>
      <c r="E60" s="8">
        <v>6078076150</v>
      </c>
      <c r="F60" s="8">
        <f>+Tabla15[[#This Row],[Total]]/Tabla15[[#This Row],[Nro Facturas]]</f>
        <v>23377215.96153846</v>
      </c>
      <c r="G60" s="9">
        <v>4125000</v>
      </c>
      <c r="H60" s="1">
        <f>+Tabla15[[#This Row],[Subtotal]]/Tabla15[[#This Row],[TASA]]</f>
        <v>88.457324979393945</v>
      </c>
      <c r="I60" s="1">
        <f>+Tabla15[[#This Row],[Subtotal]]/Tabla15[[#This Row],[TASA]]</f>
        <v>88.457324979393945</v>
      </c>
      <c r="J60" s="120">
        <f>+Tabla15[[#This Row],[Total]]/Tabla15[[#This Row],[TASA]]</f>
        <v>1473.4730060606062</v>
      </c>
    </row>
    <row r="61" spans="1:13" x14ac:dyDescent="0.25">
      <c r="A61" s="7">
        <v>44430</v>
      </c>
      <c r="B61" s="1">
        <v>176</v>
      </c>
      <c r="C61" s="8">
        <v>142241379.31999999</v>
      </c>
      <c r="D61" s="29">
        <v>0.16</v>
      </c>
      <c r="E61" s="8">
        <v>3919698900</v>
      </c>
      <c r="F61" s="8">
        <f>+Tabla15[[#This Row],[Total]]/Tabla15[[#This Row],[Nro Facturas]]</f>
        <v>22271016.477272727</v>
      </c>
      <c r="G61" s="9">
        <v>4125000</v>
      </c>
      <c r="H61" s="1">
        <f>+Tabla15[[#This Row],[Subtotal]]/Tabla15[[#This Row],[TASA]]</f>
        <v>34.4827586230303</v>
      </c>
      <c r="I61" s="1">
        <f>+Tabla15[[#This Row],[Subtotal]]/Tabla15[[#This Row],[TASA]]</f>
        <v>34.4827586230303</v>
      </c>
      <c r="J61" s="120">
        <f>+Tabla15[[#This Row],[Total]]/Tabla15[[#This Row],[TASA]]</f>
        <v>950.23003636363637</v>
      </c>
    </row>
    <row r="62" spans="1:13" x14ac:dyDescent="0.25">
      <c r="A62" s="7">
        <v>44431</v>
      </c>
      <c r="B62" s="1">
        <v>65</v>
      </c>
      <c r="C62" s="8"/>
      <c r="D62" s="29">
        <v>0.16</v>
      </c>
      <c r="E62" s="8">
        <v>742075801</v>
      </c>
      <c r="F62" s="8">
        <f>+Tabla15[[#This Row],[Total]]/Tabla15[[#This Row],[Nro Facturas]]</f>
        <v>11416550.784615384</v>
      </c>
      <c r="G62" s="9">
        <v>4125000</v>
      </c>
      <c r="H62" s="1">
        <f>+Tabla15[[#This Row],[Subtotal]]/Tabla15[[#This Row],[TASA]]</f>
        <v>0</v>
      </c>
      <c r="I62" s="1">
        <f>+Tabla15[[#This Row],[Subtotal]]/Tabla15[[#This Row],[TASA]]</f>
        <v>0</v>
      </c>
      <c r="J62" s="120">
        <f>+Tabla15[[#This Row],[Total]]/Tabla15[[#This Row],[TASA]]</f>
        <v>179.89716387878786</v>
      </c>
    </row>
    <row r="63" spans="1:13" x14ac:dyDescent="0.25">
      <c r="A63" s="7">
        <v>44432</v>
      </c>
      <c r="B63" s="1">
        <v>83</v>
      </c>
      <c r="C63" s="8"/>
      <c r="D63" s="29">
        <v>0.16</v>
      </c>
      <c r="E63" s="8">
        <v>1252870300</v>
      </c>
      <c r="F63" s="8">
        <f>+Tabla15[[#This Row],[Total]]/Tabla15[[#This Row],[Nro Facturas]]</f>
        <v>15094822.891566265</v>
      </c>
      <c r="G63" s="9">
        <v>4150000</v>
      </c>
      <c r="H63" s="1">
        <f>+Tabla15[[#This Row],[Subtotal]]/Tabla15[[#This Row],[TASA]]</f>
        <v>0</v>
      </c>
      <c r="I63" s="1">
        <f>+Tabla15[[#This Row],[Subtotal]]/Tabla15[[#This Row],[TASA]]</f>
        <v>0</v>
      </c>
      <c r="J63" s="120">
        <f>+Tabla15[[#This Row],[Total]]/Tabla15[[#This Row],[TASA]]</f>
        <v>301.89645783132528</v>
      </c>
    </row>
    <row r="64" spans="1:13" x14ac:dyDescent="0.25">
      <c r="A64" s="7">
        <v>44433</v>
      </c>
      <c r="B64" s="1">
        <v>96</v>
      </c>
      <c r="C64" s="8"/>
      <c r="D64" s="29">
        <v>0.16</v>
      </c>
      <c r="E64" s="8">
        <v>1223761100</v>
      </c>
      <c r="F64" s="8">
        <f>+Tabla15[[#This Row],[Total]]/Tabla15[[#This Row],[Nro Facturas]]</f>
        <v>12747511.458333334</v>
      </c>
      <c r="G64" s="9">
        <v>4150000</v>
      </c>
      <c r="H64" s="1">
        <f>+Tabla15[[#This Row],[Subtotal]]/Tabla15[[#This Row],[TASA]]</f>
        <v>0</v>
      </c>
      <c r="I64" s="1">
        <f>+Tabla15[[#This Row],[Subtotal]]/Tabla15[[#This Row],[TASA]]</f>
        <v>0</v>
      </c>
      <c r="J64" s="120">
        <f>+Tabla15[[#This Row],[Total]]/Tabla15[[#This Row],[TASA]]</f>
        <v>294.88219277108436</v>
      </c>
    </row>
    <row r="65" spans="1:12" x14ac:dyDescent="0.25">
      <c r="A65" s="7">
        <v>44434</v>
      </c>
      <c r="B65" s="1">
        <v>148</v>
      </c>
      <c r="C65" s="8"/>
      <c r="D65" s="29">
        <v>0.16</v>
      </c>
      <c r="E65" s="8">
        <v>2642151951</v>
      </c>
      <c r="F65" s="8">
        <f>+Tabla15[[#This Row],[Total]]/Tabla15[[#This Row],[Nro Facturas]]</f>
        <v>17852378.047297299</v>
      </c>
      <c r="G65" s="9">
        <v>4150000</v>
      </c>
      <c r="H65" s="1">
        <f>+Tabla15[[#This Row],[Subtotal]]/Tabla15[[#This Row],[TASA]]</f>
        <v>0</v>
      </c>
      <c r="I65" s="1">
        <f>+Tabla15[[#This Row],[Subtotal]]/Tabla15[[#This Row],[TASA]]</f>
        <v>0</v>
      </c>
      <c r="J65" s="120">
        <f>+Tabla15[[#This Row],[Total]]/Tabla15[[#This Row],[TASA]]</f>
        <v>636.66312072289156</v>
      </c>
    </row>
    <row r="66" spans="1:12" x14ac:dyDescent="0.25">
      <c r="A66" s="7">
        <v>44435</v>
      </c>
      <c r="B66" s="1">
        <v>189</v>
      </c>
      <c r="C66" s="8">
        <v>214655172.41999999</v>
      </c>
      <c r="D66" s="29">
        <v>0.16</v>
      </c>
      <c r="E66" s="8">
        <v>4299210800</v>
      </c>
      <c r="F66" s="8">
        <f>+Tabla15[[#This Row],[Total]]/Tabla15[[#This Row],[Nro Facturas]]</f>
        <v>22747147.08994709</v>
      </c>
      <c r="G66" s="9">
        <v>4150000</v>
      </c>
      <c r="H66" s="1">
        <f>+Tabla15[[#This Row],[Subtotal]]/Tabla15[[#This Row],[TASA]]</f>
        <v>51.72413793253012</v>
      </c>
      <c r="I66" s="1">
        <f>+Tabla15[[#This Row],[Subtotal]]/Tabla15[[#This Row],[TASA]]</f>
        <v>51.72413793253012</v>
      </c>
      <c r="J66" s="120">
        <f>+Tabla15[[#This Row],[Total]]/Tabla15[[#This Row],[TASA]]</f>
        <v>1035.9544096385541</v>
      </c>
    </row>
    <row r="67" spans="1:12" x14ac:dyDescent="0.25">
      <c r="A67" s="7">
        <v>44436</v>
      </c>
      <c r="B67" s="1">
        <v>246</v>
      </c>
      <c r="C67" s="8">
        <v>214655172.41999999</v>
      </c>
      <c r="D67" s="29">
        <v>0.16</v>
      </c>
      <c r="E67" s="8">
        <v>4722772050</v>
      </c>
      <c r="F67" s="8">
        <f>+Tabla15[[#This Row],[Total]]/Tabla15[[#This Row],[Nro Facturas]]</f>
        <v>19198260.36585366</v>
      </c>
      <c r="G67" s="9">
        <v>4150000</v>
      </c>
      <c r="H67" s="1">
        <f>+Tabla15[[#This Row],[Subtotal]]/Tabla15[[#This Row],[TASA]]</f>
        <v>51.72413793253012</v>
      </c>
      <c r="I67" s="1">
        <f>+Tabla15[[#This Row],[Subtotal]]/Tabla15[[#This Row],[TASA]]</f>
        <v>51.72413793253012</v>
      </c>
      <c r="J67" s="120">
        <f>+Tabla15[[#This Row],[Total]]/Tabla15[[#This Row],[TASA]]</f>
        <v>1138.0173614457831</v>
      </c>
    </row>
    <row r="68" spans="1:12" x14ac:dyDescent="0.25">
      <c r="A68" s="7">
        <v>44437</v>
      </c>
      <c r="B68" s="1">
        <v>168</v>
      </c>
      <c r="C68" s="8">
        <v>286206896.56</v>
      </c>
      <c r="D68" s="29">
        <v>0.16</v>
      </c>
      <c r="E68" s="8">
        <v>4053110100</v>
      </c>
      <c r="F68" s="8">
        <f>+Tabla15[[#This Row],[Total]]/Tabla15[[#This Row],[Nro Facturas]]</f>
        <v>24125655.357142858</v>
      </c>
      <c r="G68" s="9">
        <v>4150000</v>
      </c>
      <c r="H68" s="1">
        <f>+Tabla15[[#This Row],[Subtotal]]/Tabla15[[#This Row],[TASA]]</f>
        <v>68.965517243373498</v>
      </c>
      <c r="I68" s="1">
        <f>+Tabla15[[#This Row],[Subtotal]]/Tabla15[[#This Row],[TASA]]</f>
        <v>68.965517243373498</v>
      </c>
      <c r="J68" s="120">
        <f>+Tabla15[[#This Row],[Total]]/Tabla15[[#This Row],[TASA]]</f>
        <v>976.65303614457832</v>
      </c>
    </row>
    <row r="69" spans="1:12" x14ac:dyDescent="0.25">
      <c r="A69" s="7">
        <v>44438</v>
      </c>
      <c r="B69" s="1">
        <v>121</v>
      </c>
      <c r="C69" s="8"/>
      <c r="D69" s="29">
        <v>0.16</v>
      </c>
      <c r="E69" s="8">
        <v>1519572200</v>
      </c>
      <c r="F69" s="8">
        <f>+Tabla15[[#This Row],[Total]]/Tabla15[[#This Row],[Nro Facturas]]</f>
        <v>12558447.933884298</v>
      </c>
      <c r="G69" s="9">
        <v>4150000</v>
      </c>
      <c r="H69" s="1">
        <f>+Tabla15[[#This Row],[Subtotal]]/Tabla15[[#This Row],[TASA]]</f>
        <v>0</v>
      </c>
      <c r="I69" s="1">
        <f>+Tabla15[[#This Row],[Subtotal]]/Tabla15[[#This Row],[TASA]]</f>
        <v>0</v>
      </c>
      <c r="J69" s="120">
        <f>+Tabla15[[#This Row],[Total]]/Tabla15[[#This Row],[TASA]]</f>
        <v>366.16197590361446</v>
      </c>
    </row>
    <row r="70" spans="1:12" x14ac:dyDescent="0.25">
      <c r="A70" s="7">
        <v>44439</v>
      </c>
      <c r="B70" s="10">
        <v>155</v>
      </c>
      <c r="C70" s="11"/>
      <c r="D70" s="31">
        <v>0.16</v>
      </c>
      <c r="E70" s="11">
        <v>2233968506</v>
      </c>
      <c r="F70" s="8">
        <f>+Tabla15[[#This Row],[Total]]/Tabla15[[#This Row],[Nro Facturas]]</f>
        <v>14412700.038709678</v>
      </c>
      <c r="G70" s="9">
        <v>4150000</v>
      </c>
      <c r="H70" s="1">
        <f>+Tabla15[[#This Row],[Subtotal]]/Tabla15[[#This Row],[TASA]]</f>
        <v>0</v>
      </c>
      <c r="I70" s="1">
        <f>+Tabla15[[#This Row],[Subtotal]]/Tabla15[[#This Row],[TASA]]</f>
        <v>0</v>
      </c>
      <c r="J70" s="120">
        <f>+Tabla15[[#This Row],[Total]]/Tabla15[[#This Row],[TASA]]</f>
        <v>538.3056640963855</v>
      </c>
    </row>
    <row r="71" spans="1:12" x14ac:dyDescent="0.25">
      <c r="A71" s="12"/>
      <c r="B71" s="10"/>
      <c r="C71" s="11"/>
      <c r="D71" s="31"/>
      <c r="E71" s="11"/>
      <c r="F71" s="129"/>
      <c r="G71" s="130"/>
      <c r="H71" s="131"/>
      <c r="I71" s="131" t="s">
        <v>223</v>
      </c>
      <c r="J71" s="132">
        <f>SUBTOTAL(109,J40:J70)</f>
        <v>19836.156477582361</v>
      </c>
      <c r="L71" s="133"/>
    </row>
    <row r="76" spans="1:12" x14ac:dyDescent="0.25">
      <c r="B76" t="s">
        <v>415</v>
      </c>
      <c r="D76" s="175">
        <v>44440</v>
      </c>
    </row>
    <row r="77" spans="1:12" x14ac:dyDescent="0.25">
      <c r="C77"/>
      <c r="D77"/>
      <c r="E77"/>
    </row>
    <row r="78" spans="1:12" x14ac:dyDescent="0.25">
      <c r="A78" s="2" t="s">
        <v>0</v>
      </c>
      <c r="B78" s="3" t="s">
        <v>1</v>
      </c>
      <c r="C78" s="4" t="s">
        <v>2</v>
      </c>
      <c r="D78" s="30" t="s">
        <v>3</v>
      </c>
      <c r="E78" s="4" t="s">
        <v>4</v>
      </c>
      <c r="F78" s="4" t="s">
        <v>5</v>
      </c>
      <c r="G78" s="5" t="s">
        <v>6</v>
      </c>
      <c r="H78" s="5" t="s">
        <v>7</v>
      </c>
      <c r="I78" s="5" t="s">
        <v>8</v>
      </c>
      <c r="J78" s="6" t="s">
        <v>9</v>
      </c>
    </row>
    <row r="79" spans="1:12" x14ac:dyDescent="0.25">
      <c r="A79" s="7">
        <v>44440</v>
      </c>
      <c r="B79" s="1">
        <v>161</v>
      </c>
      <c r="C79" s="8">
        <v>214655172.41999999</v>
      </c>
      <c r="D79" s="29">
        <v>0.16</v>
      </c>
      <c r="E79" s="8">
        <v>2640670506</v>
      </c>
      <c r="F79" s="8">
        <f>+Tabla158[[#This Row],[Total]]/Tabla158[[#This Row],[Nro Facturas]]</f>
        <v>16401680.161490683</v>
      </c>
      <c r="G79" s="9">
        <v>4150000</v>
      </c>
      <c r="H79" s="1">
        <f>+Tabla158[[#This Row],[Subtotal]]/Tabla158[[#This Row],[TASA]]</f>
        <v>51.72413793253012</v>
      </c>
      <c r="I79" s="1">
        <f>+Tabla158[[#This Row],[Subtotal]]/Tabla158[[#This Row],[TASA]]</f>
        <v>51.72413793253012</v>
      </c>
      <c r="J79" s="120">
        <f>+Tabla158[[#This Row],[Total]]/Tabla158[[#This Row],[TASA]]</f>
        <v>636.30614602409639</v>
      </c>
    </row>
    <row r="80" spans="1:12" x14ac:dyDescent="0.25">
      <c r="A80" s="7">
        <v>44441</v>
      </c>
      <c r="B80" s="1">
        <v>99</v>
      </c>
      <c r="C80" s="8"/>
      <c r="D80" s="29">
        <v>0.16</v>
      </c>
      <c r="E80" s="8">
        <v>1586389806</v>
      </c>
      <c r="F80" s="8">
        <f>+Tabla158[[#This Row],[Total]]/Tabla158[[#This Row],[Nro Facturas]]</f>
        <v>16024139.454545455</v>
      </c>
      <c r="G80" s="9">
        <v>4100000</v>
      </c>
      <c r="H80" s="1">
        <f>+Tabla158[[#This Row],[Subtotal]]/Tabla158[[#This Row],[TASA]]</f>
        <v>0</v>
      </c>
      <c r="I80" s="1">
        <f>+Tabla158[[#This Row],[Subtotal]]/Tabla158[[#This Row],[TASA]]</f>
        <v>0</v>
      </c>
      <c r="J80" s="120">
        <f>+Tabla158[[#This Row],[Total]]/Tabla158[[#This Row],[TASA]]</f>
        <v>386.92434292682924</v>
      </c>
    </row>
    <row r="81" spans="1:13" x14ac:dyDescent="0.25">
      <c r="A81" s="7">
        <v>44442</v>
      </c>
      <c r="B81" s="1">
        <v>243</v>
      </c>
      <c r="C81" s="8">
        <v>13773706.9</v>
      </c>
      <c r="D81" s="29">
        <v>0.16</v>
      </c>
      <c r="E81" s="8">
        <v>5479417200</v>
      </c>
      <c r="F81" s="8">
        <f>+Tabla158[[#This Row],[Total]]/Tabla158[[#This Row],[Nro Facturas]]</f>
        <v>22549041.975308642</v>
      </c>
      <c r="G81" s="9">
        <v>4100000</v>
      </c>
      <c r="H81" s="1">
        <f>+Tabla158[[#This Row],[Subtotal]]/Tabla158[[#This Row],[TASA]]</f>
        <v>3.3594407073170731</v>
      </c>
      <c r="I81" s="1">
        <f>+Tabla158[[#This Row],[Subtotal]]/Tabla158[[#This Row],[TASA]]</f>
        <v>3.3594407073170731</v>
      </c>
      <c r="J81" s="120">
        <f>+Tabla158[[#This Row],[Total]]/Tabla158[[#This Row],[TASA]]</f>
        <v>1336.4432195121951</v>
      </c>
    </row>
    <row r="82" spans="1:13" x14ac:dyDescent="0.25">
      <c r="A82" s="7">
        <v>44443</v>
      </c>
      <c r="B82" s="1">
        <v>308</v>
      </c>
      <c r="C82" s="8">
        <v>13773706.9</v>
      </c>
      <c r="D82" s="29">
        <v>0.16</v>
      </c>
      <c r="E82" s="8">
        <v>6181661456</v>
      </c>
      <c r="F82" s="8">
        <f>+Tabla158[[#This Row],[Total]]/Tabla158[[#This Row],[Nro Facturas]]</f>
        <v>20070329.402597401</v>
      </c>
      <c r="G82" s="9">
        <v>4100000</v>
      </c>
      <c r="H82" s="1">
        <f>+Tabla158[[#This Row],[Subtotal]]/Tabla158[[#This Row],[TASA]]</f>
        <v>3.3594407073170731</v>
      </c>
      <c r="I82" s="1">
        <f>+Tabla158[[#This Row],[Subtotal]]/Tabla158[[#This Row],[TASA]]</f>
        <v>3.3594407073170731</v>
      </c>
      <c r="J82" s="120">
        <f>+Tabla158[[#This Row],[Total]]/Tabla158[[#This Row],[TASA]]</f>
        <v>1507.7223063414633</v>
      </c>
    </row>
    <row r="83" spans="1:13" x14ac:dyDescent="0.25">
      <c r="A83" s="7">
        <v>44444</v>
      </c>
      <c r="B83" s="1">
        <v>98</v>
      </c>
      <c r="C83" s="8"/>
      <c r="D83" s="29">
        <v>0.16</v>
      </c>
      <c r="E83" s="8">
        <v>1047980802</v>
      </c>
      <c r="F83" s="8">
        <f>+Tabla158[[#This Row],[Total]]/Tabla158[[#This Row],[Nro Facturas]]</f>
        <v>10693681.653061224</v>
      </c>
      <c r="G83" s="9">
        <v>4100000</v>
      </c>
      <c r="H83" s="1">
        <f>+Tabla158[[#This Row],[Subtotal]]/Tabla158[[#This Row],[TASA]]</f>
        <v>0</v>
      </c>
      <c r="I83" s="1">
        <f>+Tabla158[[#This Row],[Subtotal]]/Tabla158[[#This Row],[TASA]]</f>
        <v>0</v>
      </c>
      <c r="J83" s="120">
        <f>+Tabla158[[#This Row],[Total]]/Tabla158[[#This Row],[TASA]]</f>
        <v>255.60507365853658</v>
      </c>
    </row>
    <row r="84" spans="1:13" x14ac:dyDescent="0.25">
      <c r="A84" s="7">
        <v>44445</v>
      </c>
      <c r="B84" s="1">
        <v>91</v>
      </c>
      <c r="C84" s="8"/>
      <c r="D84" s="29">
        <v>0.16</v>
      </c>
      <c r="E84" s="8">
        <v>1609566300</v>
      </c>
      <c r="F84" s="8">
        <f>+Tabla158[[#This Row],[Total]]/Tabla158[[#This Row],[Nro Facturas]]</f>
        <v>17687541.758241758</v>
      </c>
      <c r="G84" s="9">
        <v>4060000</v>
      </c>
      <c r="H84" s="1">
        <f>+Tabla158[[#This Row],[Subtotal]]/Tabla158[[#This Row],[TASA]]</f>
        <v>0</v>
      </c>
      <c r="I84" s="1">
        <f>+Tabla158[[#This Row],[Subtotal]]/Tabla158[[#This Row],[TASA]]</f>
        <v>0</v>
      </c>
      <c r="J84" s="120">
        <f>+Tabla158[[#This Row],[Total]]/Tabla158[[#This Row],[TASA]]</f>
        <v>396.4449014778325</v>
      </c>
    </row>
    <row r="85" spans="1:13" x14ac:dyDescent="0.25">
      <c r="A85" s="7">
        <v>44446</v>
      </c>
      <c r="B85" s="1">
        <v>86</v>
      </c>
      <c r="C85" s="8"/>
      <c r="D85" s="29">
        <v>0.16</v>
      </c>
      <c r="E85" s="8">
        <v>1192971900</v>
      </c>
      <c r="F85" s="8">
        <f>+Tabla158[[#This Row],[Total]]/Tabla158[[#This Row],[Nro Facturas]]</f>
        <v>13871766.279069768</v>
      </c>
      <c r="G85" s="9">
        <v>4060000</v>
      </c>
      <c r="H85" s="1">
        <f>+Tabla158[[#This Row],[Subtotal]]/Tabla158[[#This Row],[TASA]]</f>
        <v>0</v>
      </c>
      <c r="I85" s="1">
        <f>+Tabla158[[#This Row],[Subtotal]]/Tabla158[[#This Row],[TASA]]</f>
        <v>0</v>
      </c>
      <c r="J85" s="120">
        <f>+Tabla158[[#This Row],[Total]]/Tabla158[[#This Row],[TASA]]</f>
        <v>293.83544334975369</v>
      </c>
    </row>
    <row r="86" spans="1:13" x14ac:dyDescent="0.25">
      <c r="A86" s="7">
        <v>44447</v>
      </c>
      <c r="B86" s="1">
        <v>118</v>
      </c>
      <c r="C86" s="8">
        <v>13773706.9</v>
      </c>
      <c r="D86" s="29">
        <v>0.16</v>
      </c>
      <c r="E86" s="8">
        <v>1799215843.0999999</v>
      </c>
      <c r="F86" s="8">
        <f>+Tabla158[[#This Row],[Total]]/Tabla158[[#This Row],[Nro Facturas]]</f>
        <v>15247591.890677966</v>
      </c>
      <c r="G86" s="9">
        <v>4072000</v>
      </c>
      <c r="H86" s="1">
        <f>+Tabla158[[#This Row],[Subtotal]]/Tabla158[[#This Row],[TASA]]</f>
        <v>3.3825409872298624</v>
      </c>
      <c r="I86" s="1">
        <f>+Tabla158[[#This Row],[Subtotal]]/Tabla158[[#This Row],[TASA]]</f>
        <v>3.3825409872298624</v>
      </c>
      <c r="J86" s="120">
        <f>+Tabla158[[#This Row],[Total]]/Tabla158[[#This Row],[TASA]]</f>
        <v>441.85064909135559</v>
      </c>
      <c r="L86" t="s">
        <v>318</v>
      </c>
      <c r="M86" s="118">
        <f>SUM(J79:J98)</f>
        <v>12451.543911900486</v>
      </c>
    </row>
    <row r="87" spans="1:13" x14ac:dyDescent="0.25">
      <c r="A87" s="7">
        <v>44448</v>
      </c>
      <c r="B87" s="1">
        <v>216</v>
      </c>
      <c r="C87" s="8"/>
      <c r="D87" s="29">
        <v>0.16</v>
      </c>
      <c r="E87" s="8">
        <v>4427510500</v>
      </c>
      <c r="F87" s="8">
        <f>+Tabla158[[#This Row],[Total]]/Tabla158[[#This Row],[Nro Facturas]]</f>
        <v>20497733.796296295</v>
      </c>
      <c r="G87" s="9">
        <v>4072000</v>
      </c>
      <c r="H87" s="1">
        <f>+Tabla158[[#This Row],[Subtotal]]/Tabla158[[#This Row],[TASA]]</f>
        <v>0</v>
      </c>
      <c r="I87" s="1">
        <f>+Tabla158[[#This Row],[Subtotal]]/Tabla158[[#This Row],[TASA]]</f>
        <v>0</v>
      </c>
      <c r="J87" s="120">
        <f>+Tabla158[[#This Row],[Total]]/Tabla158[[#This Row],[TASA]]</f>
        <v>1087.3061149312377</v>
      </c>
    </row>
    <row r="88" spans="1:13" x14ac:dyDescent="0.25">
      <c r="A88" s="7">
        <v>44449</v>
      </c>
      <c r="B88" s="1"/>
      <c r="C88" s="8"/>
      <c r="D88" s="29">
        <v>0.16</v>
      </c>
      <c r="E88" s="8"/>
      <c r="F88" s="8" t="e">
        <f>+Tabla158[[#This Row],[Total]]/Tabla158[[#This Row],[Nro Facturas]]</f>
        <v>#DIV/0!</v>
      </c>
      <c r="G88" s="9">
        <v>4072000</v>
      </c>
      <c r="H88" s="1">
        <f>+Tabla158[[#This Row],[Subtotal]]/Tabla158[[#This Row],[TASA]]</f>
        <v>0</v>
      </c>
      <c r="I88" s="1">
        <f>+Tabla158[[#This Row],[Subtotal]]/Tabla158[[#This Row],[TASA]]</f>
        <v>0</v>
      </c>
      <c r="J88" s="120">
        <f>+Tabla158[[#This Row],[Total]]/Tabla158[[#This Row],[TASA]]</f>
        <v>0</v>
      </c>
    </row>
    <row r="89" spans="1:13" x14ac:dyDescent="0.25">
      <c r="A89" s="7">
        <v>44450</v>
      </c>
      <c r="B89" s="1">
        <v>286</v>
      </c>
      <c r="C89" s="8">
        <v>13773706.9</v>
      </c>
      <c r="D89" s="29">
        <v>0.16</v>
      </c>
      <c r="E89" s="8">
        <v>6939979950</v>
      </c>
      <c r="F89" s="8">
        <f>+Tabla158[[#This Row],[Total]]/Tabla158[[#This Row],[Nro Facturas]]</f>
        <v>24265664.160839159</v>
      </c>
      <c r="G89" s="9">
        <v>4072000</v>
      </c>
      <c r="H89" s="1">
        <f>+Tabla158[[#This Row],[Subtotal]]/Tabla158[[#This Row],[TASA]]</f>
        <v>3.3825409872298624</v>
      </c>
      <c r="I89" s="1">
        <f>+Tabla158[[#This Row],[Subtotal]]/Tabla158[[#This Row],[TASA]]</f>
        <v>3.3825409872298624</v>
      </c>
      <c r="J89" s="120">
        <f>+Tabla158[[#This Row],[Total]]/Tabla158[[#This Row],[TASA]]</f>
        <v>1704.3172765225934</v>
      </c>
    </row>
    <row r="90" spans="1:13" x14ac:dyDescent="0.25">
      <c r="A90" s="7">
        <v>44451</v>
      </c>
      <c r="B90" s="1">
        <v>175</v>
      </c>
      <c r="C90" s="8">
        <v>27907241.379999999</v>
      </c>
      <c r="D90" s="29">
        <v>0.16</v>
      </c>
      <c r="E90" s="8">
        <v>3485804000</v>
      </c>
      <c r="F90" s="8">
        <f>+Tabla158[[#This Row],[Total]]/Tabla158[[#This Row],[Nro Facturas]]</f>
        <v>19918880</v>
      </c>
      <c r="G90" s="9">
        <v>4072000</v>
      </c>
      <c r="H90" s="1">
        <f>+Tabla158[[#This Row],[Subtotal]]/Tabla158[[#This Row],[TASA]]</f>
        <v>6.8534482760314344</v>
      </c>
      <c r="I90" s="1">
        <f>+Tabla158[[#This Row],[Subtotal]]/Tabla158[[#This Row],[TASA]]</f>
        <v>6.8534482760314344</v>
      </c>
      <c r="J90" s="120">
        <f>+Tabla158[[#This Row],[Total]]/Tabla158[[#This Row],[TASA]]</f>
        <v>856.04223968565816</v>
      </c>
    </row>
    <row r="91" spans="1:13" x14ac:dyDescent="0.25">
      <c r="A91" s="7">
        <v>44452</v>
      </c>
      <c r="B91" s="1">
        <v>79</v>
      </c>
      <c r="C91" s="8">
        <v>55814482.759999998</v>
      </c>
      <c r="D91" s="29">
        <v>0.16</v>
      </c>
      <c r="E91" s="8">
        <v>1560638650</v>
      </c>
      <c r="F91" s="8">
        <f>+Tabla158[[#This Row],[Total]]/Tabla158[[#This Row],[Nro Facturas]]</f>
        <v>19754919.620253164</v>
      </c>
      <c r="G91" s="9">
        <v>4072000</v>
      </c>
      <c r="H91" s="1">
        <f>+Tabla158[[#This Row],[Subtotal]]/Tabla158[[#This Row],[TASA]]</f>
        <v>13.706896552062869</v>
      </c>
      <c r="I91" s="1">
        <f>+Tabla158[[#This Row],[Subtotal]]/Tabla158[[#This Row],[TASA]]</f>
        <v>13.706896552062869</v>
      </c>
      <c r="J91" s="120">
        <f>+Tabla158[[#This Row],[Total]]/Tabla158[[#This Row],[TASA]]</f>
        <v>383.26096512770135</v>
      </c>
    </row>
    <row r="92" spans="1:13" x14ac:dyDescent="0.25">
      <c r="A92" s="7">
        <v>44453</v>
      </c>
      <c r="B92" s="1">
        <v>116</v>
      </c>
      <c r="C92" s="8">
        <v>27907241.379999999</v>
      </c>
      <c r="D92" s="29">
        <v>0.16</v>
      </c>
      <c r="E92" s="8">
        <v>1664906350</v>
      </c>
      <c r="F92" s="8">
        <f>+Tabla158[[#This Row],[Total]]/Tabla158[[#This Row],[Nro Facturas]]</f>
        <v>14352640.948275862</v>
      </c>
      <c r="G92" s="9">
        <v>4060000</v>
      </c>
      <c r="H92" s="1">
        <f>+Tabla158[[#This Row],[Subtotal]]/Tabla158[[#This Row],[TASA]]</f>
        <v>6.8737047733990142</v>
      </c>
      <c r="I92" s="1">
        <f>+Tabla158[[#This Row],[Subtotal]]/Tabla158[[#This Row],[TASA]]</f>
        <v>6.8737047733990142</v>
      </c>
      <c r="J92" s="120">
        <f>+Tabla158[[#This Row],[Total]]/Tabla158[[#This Row],[TASA]]</f>
        <v>410.07545566502461</v>
      </c>
    </row>
    <row r="93" spans="1:13" x14ac:dyDescent="0.25">
      <c r="A93" s="7">
        <v>44454</v>
      </c>
      <c r="B93" s="1">
        <v>105</v>
      </c>
      <c r="C93" s="8">
        <v>32372400</v>
      </c>
      <c r="D93" s="29">
        <v>0.16</v>
      </c>
      <c r="E93" s="8">
        <v>1920287250</v>
      </c>
      <c r="F93" s="8">
        <f>+Tabla158[[#This Row],[Total]]/Tabla158[[#This Row],[Nro Facturas]]</f>
        <v>18288450</v>
      </c>
      <c r="G93" s="9">
        <v>4060000</v>
      </c>
      <c r="H93" s="1">
        <f>+Tabla158[[#This Row],[Subtotal]]/Tabla158[[#This Row],[TASA]]</f>
        <v>7.9734975369458132</v>
      </c>
      <c r="I93" s="1">
        <f>+Tabla158[[#This Row],[Subtotal]]/Tabla158[[#This Row],[TASA]]</f>
        <v>7.9734975369458132</v>
      </c>
      <c r="J93" s="120">
        <f>+Tabla158[[#This Row],[Total]]/Tabla158[[#This Row],[TASA]]</f>
        <v>472.9771551724138</v>
      </c>
    </row>
    <row r="94" spans="1:13" x14ac:dyDescent="0.25">
      <c r="A94" s="7">
        <v>44455</v>
      </c>
      <c r="B94" s="1">
        <v>96</v>
      </c>
      <c r="C94" s="8">
        <v>32760000</v>
      </c>
      <c r="D94" s="29">
        <v>0.16</v>
      </c>
      <c r="E94" s="8">
        <v>1910000156</v>
      </c>
      <c r="F94" s="8">
        <f>+Tabla158[[#This Row],[Total]]/Tabla158[[#This Row],[Nro Facturas]]</f>
        <v>19895834.958333332</v>
      </c>
      <c r="G94" s="9">
        <v>4060000</v>
      </c>
      <c r="H94" s="1">
        <f>+Tabla158[[#This Row],[Subtotal]]/Tabla158[[#This Row],[TASA]]</f>
        <v>8.068965517241379</v>
      </c>
      <c r="I94" s="1">
        <f>+Tabla158[[#This Row],[Subtotal]]/Tabla158[[#This Row],[TASA]]</f>
        <v>8.068965517241379</v>
      </c>
      <c r="J94" s="120">
        <f>+Tabla158[[#This Row],[Total]]/Tabla158[[#This Row],[TASA]]</f>
        <v>470.4433881773399</v>
      </c>
    </row>
    <row r="95" spans="1:13" x14ac:dyDescent="0.25">
      <c r="A95" s="7">
        <v>44456</v>
      </c>
      <c r="B95" s="1">
        <v>107</v>
      </c>
      <c r="C95" s="8">
        <v>49747241.380000003</v>
      </c>
      <c r="D95" s="29">
        <v>0.16</v>
      </c>
      <c r="E95" s="8">
        <v>1626990400</v>
      </c>
      <c r="F95" s="8">
        <f>+Tabla158[[#This Row],[Total]]/Tabla158[[#This Row],[Nro Facturas]]</f>
        <v>15205517.757009346</v>
      </c>
      <c r="G95" s="9">
        <v>4060000</v>
      </c>
      <c r="H95" s="1">
        <f>+Tabla158[[#This Row],[Subtotal]]/Tabla158[[#This Row],[TASA]]</f>
        <v>12.253015118226601</v>
      </c>
      <c r="I95" s="1">
        <f>+Tabla158[[#This Row],[Subtotal]]/Tabla158[[#This Row],[TASA]]</f>
        <v>12.253015118226601</v>
      </c>
      <c r="J95" s="120">
        <f>+Tabla158[[#This Row],[Total]]/Tabla158[[#This Row],[TASA]]</f>
        <v>400.73655172413794</v>
      </c>
    </row>
    <row r="96" spans="1:13" x14ac:dyDescent="0.25">
      <c r="A96" s="7">
        <v>44457</v>
      </c>
      <c r="B96" s="1">
        <v>133</v>
      </c>
      <c r="C96" s="8">
        <v>38827241.380000003</v>
      </c>
      <c r="D96" s="29">
        <v>0.16</v>
      </c>
      <c r="E96" s="8">
        <v>2560238351</v>
      </c>
      <c r="F96" s="8">
        <f>+Tabla158[[#This Row],[Total]]/Tabla158[[#This Row],[Nro Facturas]]</f>
        <v>19249912.413533833</v>
      </c>
      <c r="G96" s="9">
        <v>4060000</v>
      </c>
      <c r="H96" s="1">
        <f>+Tabla158[[#This Row],[Subtotal]]/Tabla158[[#This Row],[TASA]]</f>
        <v>9.5633599458128078</v>
      </c>
      <c r="I96" s="1">
        <f>+Tabla158[[#This Row],[Subtotal]]/Tabla158[[#This Row],[TASA]]</f>
        <v>9.5633599458128078</v>
      </c>
      <c r="J96" s="120">
        <f>+Tabla158[[#This Row],[Total]]/Tabla158[[#This Row],[TASA]]</f>
        <v>630.60057906403938</v>
      </c>
    </row>
    <row r="97" spans="1:10" x14ac:dyDescent="0.25">
      <c r="A97" s="7">
        <v>44458</v>
      </c>
      <c r="B97" s="1">
        <v>111</v>
      </c>
      <c r="C97" s="8">
        <v>10920000</v>
      </c>
      <c r="D97" s="29">
        <v>0.16</v>
      </c>
      <c r="E97" s="8">
        <v>2246323280</v>
      </c>
      <c r="F97" s="8">
        <f>+Tabla158[[#This Row],[Total]]/Tabla158[[#This Row],[Nro Facturas]]</f>
        <v>20237146.666666668</v>
      </c>
      <c r="G97" s="9">
        <v>4060000</v>
      </c>
      <c r="H97" s="1">
        <f>+Tabla158[[#This Row],[Subtotal]]/Tabla158[[#This Row],[TASA]]</f>
        <v>2.6896551724137931</v>
      </c>
      <c r="I97" s="1">
        <f>+Tabla158[[#This Row],[Subtotal]]/Tabla158[[#This Row],[TASA]]</f>
        <v>2.6896551724137931</v>
      </c>
      <c r="J97" s="120">
        <f>+Tabla158[[#This Row],[Total]]/Tabla158[[#This Row],[TASA]]</f>
        <v>553.28159605911333</v>
      </c>
    </row>
    <row r="98" spans="1:10" x14ac:dyDescent="0.25">
      <c r="A98" s="7">
        <v>44459</v>
      </c>
      <c r="B98" s="1">
        <v>71</v>
      </c>
      <c r="C98" s="8">
        <v>41680948.280000001</v>
      </c>
      <c r="D98" s="29">
        <v>0.16</v>
      </c>
      <c r="E98" s="8">
        <v>923124260</v>
      </c>
      <c r="F98" s="8">
        <f>+Tabla158[[#This Row],[Total]]/Tabla158[[#This Row],[Nro Facturas]]</f>
        <v>13001750.14084507</v>
      </c>
      <c r="G98" s="9">
        <v>4060000</v>
      </c>
      <c r="H98" s="1">
        <f>+Tabla158[[#This Row],[Subtotal]]/Tabla158[[#This Row],[TASA]]</f>
        <v>10.266243418719212</v>
      </c>
      <c r="I98" s="1">
        <f>+Tabla158[[#This Row],[Subtotal]]/Tabla158[[#This Row],[TASA]]</f>
        <v>10.266243418719212</v>
      </c>
      <c r="J98" s="120">
        <f>+Tabla158[[#This Row],[Total]]/Tabla158[[#This Row],[TASA]]</f>
        <v>227.37050738916255</v>
      </c>
    </row>
    <row r="99" spans="1:10" x14ac:dyDescent="0.25">
      <c r="A99" s="7">
        <v>44460</v>
      </c>
      <c r="B99" s="1">
        <v>83</v>
      </c>
      <c r="C99" s="8">
        <v>64744800</v>
      </c>
      <c r="D99" s="29">
        <v>0.16</v>
      </c>
      <c r="E99" s="8">
        <v>1144827900</v>
      </c>
      <c r="F99" s="8">
        <f>+Tabla158[[#This Row],[Total]]/Tabla158[[#This Row],[Nro Facturas]]</f>
        <v>13793107.228915663</v>
      </c>
      <c r="G99" s="9">
        <v>4060000</v>
      </c>
      <c r="H99" s="1">
        <f>+Tabla158[[#This Row],[Subtotal]]/Tabla158[[#This Row],[TASA]]</f>
        <v>15.946995073891626</v>
      </c>
      <c r="I99" s="1">
        <f>+Tabla158[[#This Row],[Subtotal]]/Tabla158[[#This Row],[TASA]]</f>
        <v>15.946995073891626</v>
      </c>
      <c r="J99" s="120">
        <f>+Tabla158[[#This Row],[Total]]/Tabla158[[#This Row],[TASA]]</f>
        <v>281.97731527093595</v>
      </c>
    </row>
    <row r="100" spans="1:10" x14ac:dyDescent="0.25">
      <c r="A100" s="7">
        <v>44461</v>
      </c>
      <c r="B100" s="1">
        <v>71</v>
      </c>
      <c r="C100" s="8">
        <v>27907241.379999999</v>
      </c>
      <c r="D100" s="29">
        <v>0.16</v>
      </c>
      <c r="E100" s="8">
        <v>1111010650</v>
      </c>
      <c r="F100" s="8">
        <f>+Tabla158[[#This Row],[Total]]/Tabla158[[#This Row],[Nro Facturas]]</f>
        <v>15648037.323943662</v>
      </c>
      <c r="G100" s="9">
        <v>4060000</v>
      </c>
      <c r="H100" s="1">
        <f>+Tabla158[[#This Row],[Subtotal]]/Tabla158[[#This Row],[TASA]]</f>
        <v>6.8737047733990142</v>
      </c>
      <c r="I100" s="1">
        <f>+Tabla158[[#This Row],[Subtotal]]/Tabla158[[#This Row],[TASA]]</f>
        <v>6.8737047733990142</v>
      </c>
      <c r="J100" s="120">
        <f>+Tabla158[[#This Row],[Total]]/Tabla158[[#This Row],[TASA]]</f>
        <v>273.64794334975369</v>
      </c>
    </row>
    <row r="101" spans="1:10" x14ac:dyDescent="0.25">
      <c r="A101" s="7">
        <v>44462</v>
      </c>
      <c r="B101" s="1">
        <v>79</v>
      </c>
      <c r="C101" s="8">
        <v>55814482.759999998</v>
      </c>
      <c r="D101" s="29">
        <v>0.16</v>
      </c>
      <c r="E101" s="8">
        <v>858285700</v>
      </c>
      <c r="F101" s="8">
        <f>+Tabla158[[#This Row],[Total]]/Tabla158[[#This Row],[Nro Facturas]]</f>
        <v>10864375.949367089</v>
      </c>
      <c r="G101" s="9">
        <v>4060000</v>
      </c>
      <c r="H101" s="1">
        <f>+Tabla158[[#This Row],[Subtotal]]/Tabla158[[#This Row],[TASA]]</f>
        <v>13.747409546798028</v>
      </c>
      <c r="I101" s="1">
        <f>+Tabla158[[#This Row],[Subtotal]]/Tabla158[[#This Row],[TASA]]</f>
        <v>13.747409546798028</v>
      </c>
      <c r="J101" s="120">
        <f>+Tabla158[[#This Row],[Total]]/Tabla158[[#This Row],[TASA]]</f>
        <v>211.40041871921181</v>
      </c>
    </row>
    <row r="102" spans="1:10" x14ac:dyDescent="0.25">
      <c r="A102" s="7">
        <v>44463</v>
      </c>
      <c r="B102" s="1">
        <v>157</v>
      </c>
      <c r="C102" s="8">
        <v>39338275.859999999</v>
      </c>
      <c r="D102" s="29">
        <v>0.16</v>
      </c>
      <c r="E102" s="8">
        <v>2175175200</v>
      </c>
      <c r="F102" s="8">
        <f>+Tabla158[[#This Row],[Total]]/Tabla158[[#This Row],[Nro Facturas]]</f>
        <v>13854619.108280255</v>
      </c>
      <c r="G102" s="9">
        <v>4060000</v>
      </c>
      <c r="H102" s="1">
        <f>+Tabla158[[#This Row],[Subtotal]]/Tabla158[[#This Row],[TASA]]</f>
        <v>9.689230507389162</v>
      </c>
      <c r="I102" s="1">
        <f>+Tabla158[[#This Row],[Subtotal]]/Tabla158[[#This Row],[TASA]]</f>
        <v>9.689230507389162</v>
      </c>
      <c r="J102" s="120">
        <f>+Tabla158[[#This Row],[Total]]/Tabla158[[#This Row],[TASA]]</f>
        <v>535.75743842364534</v>
      </c>
    </row>
    <row r="103" spans="1:10" x14ac:dyDescent="0.25">
      <c r="A103" s="7">
        <v>44464</v>
      </c>
      <c r="B103" s="1">
        <v>180</v>
      </c>
      <c r="C103" s="8">
        <v>149581810.33000001</v>
      </c>
      <c r="D103" s="29">
        <v>0.16</v>
      </c>
      <c r="E103" s="8">
        <v>3291361900</v>
      </c>
      <c r="F103" s="8">
        <f>+Tabla158[[#This Row],[Total]]/Tabla158[[#This Row],[Nro Facturas]]</f>
        <v>18285343.888888888</v>
      </c>
      <c r="G103" s="9">
        <v>4250000</v>
      </c>
      <c r="H103" s="1">
        <f>+Tabla158[[#This Row],[Subtotal]]/Tabla158[[#This Row],[TASA]]</f>
        <v>35.19572007764706</v>
      </c>
      <c r="I103" s="1">
        <f>+Tabla158[[#This Row],[Subtotal]]/Tabla158[[#This Row],[TASA]]</f>
        <v>35.19572007764706</v>
      </c>
      <c r="J103" s="120">
        <f>+Tabla158[[#This Row],[Total]]/Tabla158[[#This Row],[TASA]]</f>
        <v>774.4380941176471</v>
      </c>
    </row>
    <row r="104" spans="1:10" x14ac:dyDescent="0.25">
      <c r="A104" s="7">
        <v>44465</v>
      </c>
      <c r="B104" s="1">
        <v>167</v>
      </c>
      <c r="C104" s="8">
        <v>145635775.84999999</v>
      </c>
      <c r="D104" s="29">
        <v>0.16</v>
      </c>
      <c r="E104" s="8">
        <v>2757916000</v>
      </c>
      <c r="F104" s="8">
        <f>+Tabla158[[#This Row],[Total]]/Tabla158[[#This Row],[Nro Facturas]]</f>
        <v>16514467.065868264</v>
      </c>
      <c r="G104" s="9">
        <v>4250000</v>
      </c>
      <c r="H104" s="1">
        <f>+Tabla158[[#This Row],[Subtotal]]/Tabla158[[#This Row],[TASA]]</f>
        <v>34.267241376470587</v>
      </c>
      <c r="I104" s="1">
        <f>+Tabla158[[#This Row],[Subtotal]]/Tabla158[[#This Row],[TASA]]</f>
        <v>34.267241376470587</v>
      </c>
      <c r="J104" s="120">
        <f>+Tabla158[[#This Row],[Total]]/Tabla158[[#This Row],[TASA]]</f>
        <v>648.92141176470591</v>
      </c>
    </row>
    <row r="105" spans="1:10" x14ac:dyDescent="0.25">
      <c r="A105" s="7">
        <v>44466</v>
      </c>
      <c r="B105" s="1">
        <v>81</v>
      </c>
      <c r="C105" s="8"/>
      <c r="D105" s="29">
        <v>0.16</v>
      </c>
      <c r="E105" s="8">
        <f>1016047500-83555000</f>
        <v>932492500</v>
      </c>
      <c r="F105" s="8">
        <f>+Tabla158[[#This Row],[Total]]/Tabla158[[#This Row],[Nro Facturas]]</f>
        <v>11512253.086419754</v>
      </c>
      <c r="G105" s="9">
        <v>4250000</v>
      </c>
      <c r="H105" s="1">
        <f>+Tabla158[[#This Row],[Subtotal]]/Tabla158[[#This Row],[TASA]]</f>
        <v>0</v>
      </c>
      <c r="I105" s="1">
        <f>+Tabla158[[#This Row],[Subtotal]]/Tabla158[[#This Row],[TASA]]</f>
        <v>0</v>
      </c>
      <c r="J105" s="120">
        <f>+Tabla158[[#This Row],[Total]]/Tabla158[[#This Row],[TASA]]</f>
        <v>219.41</v>
      </c>
    </row>
    <row r="106" spans="1:10" x14ac:dyDescent="0.25">
      <c r="A106" s="7">
        <v>44467</v>
      </c>
      <c r="B106" s="1">
        <v>67</v>
      </c>
      <c r="C106" s="8"/>
      <c r="D106" s="29">
        <v>0.16</v>
      </c>
      <c r="E106" s="8">
        <f>980050000-102510000</f>
        <v>877540000</v>
      </c>
      <c r="F106" s="8">
        <f>+Tabla158[[#This Row],[Total]]/Tabla158[[#This Row],[Nro Facturas]]</f>
        <v>13097611.940298507</v>
      </c>
      <c r="G106" s="9">
        <v>4250000</v>
      </c>
      <c r="H106" s="1">
        <f>+Tabla158[[#This Row],[Subtotal]]/Tabla158[[#This Row],[TASA]]</f>
        <v>0</v>
      </c>
      <c r="I106" s="1">
        <f>+Tabla158[[#This Row],[Subtotal]]/Tabla158[[#This Row],[TASA]]</f>
        <v>0</v>
      </c>
      <c r="J106" s="120">
        <f>+Tabla158[[#This Row],[Total]]/Tabla158[[#This Row],[TASA]]</f>
        <v>206.48</v>
      </c>
    </row>
    <row r="107" spans="1:10" x14ac:dyDescent="0.25">
      <c r="A107" s="7">
        <v>44468</v>
      </c>
      <c r="B107" s="1">
        <v>95</v>
      </c>
      <c r="C107" s="8"/>
      <c r="D107" s="29">
        <v>0.16</v>
      </c>
      <c r="E107" s="8">
        <v>1196074200</v>
      </c>
      <c r="F107" s="8">
        <f>+Tabla158[[#This Row],[Total]]/Tabla158[[#This Row],[Nro Facturas]]</f>
        <v>12590254.736842105</v>
      </c>
      <c r="G107" s="9">
        <v>4200000</v>
      </c>
      <c r="H107" s="1">
        <f>+Tabla158[[#This Row],[Subtotal]]/Tabla158[[#This Row],[TASA]]</f>
        <v>0</v>
      </c>
      <c r="I107" s="1">
        <f>+Tabla158[[#This Row],[Subtotal]]/Tabla158[[#This Row],[TASA]]</f>
        <v>0</v>
      </c>
      <c r="J107" s="120">
        <f>+Tabla158[[#This Row],[Total]]/Tabla158[[#This Row],[TASA]]</f>
        <v>284.77957142857144</v>
      </c>
    </row>
    <row r="108" spans="1:10" x14ac:dyDescent="0.25">
      <c r="A108" s="7">
        <v>44469</v>
      </c>
      <c r="B108" s="1">
        <v>73</v>
      </c>
      <c r="C108" s="8"/>
      <c r="D108" s="29">
        <v>0.16</v>
      </c>
      <c r="E108" s="8">
        <v>973485600</v>
      </c>
      <c r="F108" s="8">
        <f>+Tabla158[[#This Row],[Total]]/Tabla158[[#This Row],[Nro Facturas]]</f>
        <v>13335419.178082192</v>
      </c>
      <c r="G108" s="9">
        <v>4440000</v>
      </c>
      <c r="H108" s="1">
        <f>+Tabla158[[#This Row],[Subtotal]]/Tabla158[[#This Row],[TASA]]</f>
        <v>0</v>
      </c>
      <c r="I108" s="1">
        <f>+Tabla158[[#This Row],[Subtotal]]/Tabla158[[#This Row],[TASA]]</f>
        <v>0</v>
      </c>
      <c r="J108" s="120">
        <f>+Tabla158[[#This Row],[Total]]/Tabla158[[#This Row],[TASA]]</f>
        <v>219.25351351351352</v>
      </c>
    </row>
    <row r="109" spans="1:10" x14ac:dyDescent="0.25">
      <c r="A109" s="12"/>
      <c r="B109" s="10"/>
      <c r="C109" s="11"/>
      <c r="D109" s="31"/>
      <c r="E109" s="11"/>
      <c r="F109" s="129"/>
      <c r="G109" s="130"/>
      <c r="H109" s="131"/>
      <c r="I109" s="131" t="s">
        <v>223</v>
      </c>
      <c r="J109" s="132">
        <f>SUBTOTAL(109,J79:J108)</f>
        <v>16107.60961848847</v>
      </c>
    </row>
    <row r="113" spans="1:10" ht="61.5" x14ac:dyDescent="0.9">
      <c r="E113" s="194" t="s">
        <v>502</v>
      </c>
    </row>
    <row r="114" spans="1:10" x14ac:dyDescent="0.25">
      <c r="B114" t="s">
        <v>451</v>
      </c>
      <c r="E114" s="27" t="s">
        <v>536</v>
      </c>
      <c r="J114" s="169"/>
    </row>
    <row r="115" spans="1:10" ht="15.75" customHeight="1" x14ac:dyDescent="0.25"/>
    <row r="116" spans="1:10" ht="12.75" customHeight="1" x14ac:dyDescent="0.25">
      <c r="A116" s="2" t="s">
        <v>0</v>
      </c>
      <c r="B116" s="3" t="s">
        <v>1</v>
      </c>
      <c r="C116" s="4" t="s">
        <v>2</v>
      </c>
      <c r="D116" s="30" t="s">
        <v>3</v>
      </c>
      <c r="E116" s="4" t="s">
        <v>4</v>
      </c>
      <c r="F116" s="4" t="s">
        <v>5</v>
      </c>
      <c r="G116" s="5" t="s">
        <v>6</v>
      </c>
      <c r="H116" s="5" t="s">
        <v>7</v>
      </c>
      <c r="I116" s="5" t="s">
        <v>8</v>
      </c>
      <c r="J116" s="6" t="s">
        <v>9</v>
      </c>
    </row>
    <row r="117" spans="1:10" x14ac:dyDescent="0.25">
      <c r="A117" s="7">
        <v>44470</v>
      </c>
      <c r="B117" s="1">
        <v>120</v>
      </c>
      <c r="C117" s="8">
        <v>98.7</v>
      </c>
      <c r="D117" s="29">
        <v>0.16</v>
      </c>
      <c r="E117" s="8">
        <v>2823.6</v>
      </c>
      <c r="F117" s="8">
        <f>+Tabla10[[#This Row],[Total]]/Tabla10[[#This Row],[Nro Facturas]]</f>
        <v>23.529999999999998</v>
      </c>
      <c r="G117" s="9">
        <v>5.2</v>
      </c>
      <c r="H117" s="1">
        <f>+Tabla10[[#This Row],[Subtotal]]/Tabla10[[#This Row],[TASA]]</f>
        <v>18.98076923076923</v>
      </c>
      <c r="I117" s="1">
        <f>Tabla10[[#This Row],[Subtotal]]/Tabla10[[#This Row],[TASA]]</f>
        <v>18.98076923076923</v>
      </c>
      <c r="J117" s="120">
        <f>+Tabla10[[#This Row],[Total]]/Tabla10[[#This Row],[TASA]]</f>
        <v>543</v>
      </c>
    </row>
    <row r="118" spans="1:10" x14ac:dyDescent="0.25">
      <c r="A118" s="7">
        <v>44471</v>
      </c>
      <c r="B118" s="1">
        <v>145</v>
      </c>
      <c r="C118" s="8">
        <v>139.18</v>
      </c>
      <c r="D118" s="29">
        <v>0.16</v>
      </c>
      <c r="E118" s="8">
        <v>2740.76</v>
      </c>
      <c r="F118" s="8">
        <f>+Tabla10[[#This Row],[Total]]/Tabla10[[#This Row],[Nro Facturas]]</f>
        <v>18.901793103448277</v>
      </c>
      <c r="G118" s="9">
        <v>4.2</v>
      </c>
      <c r="H118" s="1">
        <f>+Tabla10[[#This Row],[Subtotal]]/Tabla10[[#This Row],[TASA]]</f>
        <v>33.138095238095239</v>
      </c>
      <c r="I118" s="1">
        <f>Tabla10[[#This Row],[Subtotal]]/Tabla10[[#This Row],[TASA]]</f>
        <v>33.138095238095239</v>
      </c>
      <c r="J118" s="120">
        <f>+Tabla10[[#This Row],[Total]]/Tabla10[[#This Row],[TASA]]</f>
        <v>652.56190476190477</v>
      </c>
    </row>
    <row r="119" spans="1:10" x14ac:dyDescent="0.25">
      <c r="A119" s="7">
        <v>44472</v>
      </c>
      <c r="B119" s="1">
        <v>118</v>
      </c>
      <c r="C119" s="8">
        <v>53.14</v>
      </c>
      <c r="D119" s="29">
        <v>0.16</v>
      </c>
      <c r="E119" s="8">
        <v>2156.13</v>
      </c>
      <c r="F119" s="8">
        <f>+Tabla10[[#This Row],[Total]]/Tabla10[[#This Row],[Nro Facturas]]</f>
        <v>18.272288135593222</v>
      </c>
      <c r="G119" s="9">
        <v>4.2</v>
      </c>
      <c r="H119" s="1">
        <f>+Tabla10[[#This Row],[Subtotal]]/Tabla10[[#This Row],[TASA]]</f>
        <v>12.652380952380952</v>
      </c>
      <c r="I119" s="1">
        <f>Tabla10[[#This Row],[Subtotal]]/Tabla10[[#This Row],[TASA]]</f>
        <v>12.652380952380952</v>
      </c>
      <c r="J119" s="120">
        <f>+Tabla10[[#This Row],[Total]]/Tabla10[[#This Row],[TASA]]</f>
        <v>513.36428571428576</v>
      </c>
    </row>
    <row r="120" spans="1:10" x14ac:dyDescent="0.25">
      <c r="A120" s="7">
        <v>44473</v>
      </c>
      <c r="B120" s="1">
        <v>64</v>
      </c>
      <c r="C120" s="8">
        <v>28.65</v>
      </c>
      <c r="D120" s="29">
        <v>0.16</v>
      </c>
      <c r="E120" s="8">
        <v>869.2</v>
      </c>
      <c r="F120" s="8">
        <f>+Tabla10[[#This Row],[Total]]/Tabla10[[#This Row],[Nro Facturas]]</f>
        <v>13.581250000000001</v>
      </c>
      <c r="G120" s="9">
        <v>4.18</v>
      </c>
      <c r="H120" s="1">
        <f>+Tabla10[[#This Row],[Subtotal]]/Tabla10[[#This Row],[TASA]]</f>
        <v>6.8540669856459333</v>
      </c>
      <c r="I120" s="1">
        <f>Tabla10[[#This Row],[Subtotal]]/Tabla10[[#This Row],[TASA]]</f>
        <v>6.8540669856459333</v>
      </c>
      <c r="J120" s="120">
        <f>+Tabla10[[#This Row],[Total]]/Tabla10[[#This Row],[TASA]]</f>
        <v>207.94258373205744</v>
      </c>
    </row>
    <row r="121" spans="1:10" x14ac:dyDescent="0.25">
      <c r="A121" s="7">
        <v>44474</v>
      </c>
      <c r="B121" s="1">
        <v>107</v>
      </c>
      <c r="C121" s="8">
        <v>57.3</v>
      </c>
      <c r="D121" s="29">
        <v>0.16</v>
      </c>
      <c r="E121" s="8">
        <v>1800</v>
      </c>
      <c r="F121" s="8">
        <f>+Tabla10[[#This Row],[Total]]/Tabla10[[#This Row],[Nro Facturas]]</f>
        <v>16.822429906542055</v>
      </c>
      <c r="G121" s="9">
        <v>4.18</v>
      </c>
      <c r="H121" s="1">
        <f>+Tabla10[[#This Row],[Subtotal]]/Tabla10[[#This Row],[TASA]]</f>
        <v>13.708133971291867</v>
      </c>
      <c r="I121" s="1">
        <f>Tabla10[[#This Row],[Subtotal]]/Tabla10[[#This Row],[TASA]]</f>
        <v>13.708133971291867</v>
      </c>
      <c r="J121" s="120">
        <f>+Tabla10[[#This Row],[Total]]/Tabla10[[#This Row],[TASA]]</f>
        <v>430.62200956937801</v>
      </c>
    </row>
    <row r="122" spans="1:10" x14ac:dyDescent="0.25">
      <c r="A122" s="7">
        <v>44475</v>
      </c>
      <c r="B122" s="1">
        <v>71</v>
      </c>
      <c r="C122" s="8">
        <v>57.3</v>
      </c>
      <c r="D122" s="29">
        <v>0.16</v>
      </c>
      <c r="E122" s="8">
        <v>889.06</v>
      </c>
      <c r="F122" s="8">
        <f>+Tabla10[[#This Row],[Total]]/Tabla10[[#This Row],[Nro Facturas]]</f>
        <v>12.521971830985915</v>
      </c>
      <c r="G122" s="9">
        <v>4.1900000000000004</v>
      </c>
      <c r="H122" s="1">
        <f>+Tabla10[[#This Row],[Subtotal]]/Tabla10[[#This Row],[TASA]]</f>
        <v>13.67541766109785</v>
      </c>
      <c r="I122" s="1">
        <f>Tabla10[[#This Row],[Subtotal]]/Tabla10[[#This Row],[TASA]]</f>
        <v>13.67541766109785</v>
      </c>
      <c r="J122" s="120">
        <f>+Tabla10[[#This Row],[Total]]/Tabla10[[#This Row],[TASA]]</f>
        <v>212.18615751789972</v>
      </c>
    </row>
    <row r="123" spans="1:10" x14ac:dyDescent="0.25">
      <c r="A123" s="7">
        <v>44476</v>
      </c>
      <c r="B123" s="1">
        <v>66</v>
      </c>
      <c r="C123" s="8">
        <v>97.24</v>
      </c>
      <c r="D123" s="29">
        <v>0.16</v>
      </c>
      <c r="E123" s="8">
        <v>961.46</v>
      </c>
      <c r="F123" s="8">
        <f>+Tabla10[[#This Row],[Total]]/Tabla10[[#This Row],[Nro Facturas]]</f>
        <v>14.567575757575758</v>
      </c>
      <c r="G123" s="9">
        <v>4.17</v>
      </c>
      <c r="H123" s="1">
        <f>+Tabla10[[#This Row],[Subtotal]]/Tabla10[[#This Row],[TASA]]</f>
        <v>23.318944844124701</v>
      </c>
      <c r="I123" s="1">
        <f>Tabla10[[#This Row],[Subtotal]]/Tabla10[[#This Row],[TASA]]</f>
        <v>23.318944844124701</v>
      </c>
      <c r="J123" s="120">
        <f>+Tabla10[[#This Row],[Total]]/Tabla10[[#This Row],[TASA]]</f>
        <v>230.56594724220625</v>
      </c>
    </row>
    <row r="124" spans="1:10" x14ac:dyDescent="0.25">
      <c r="A124" s="7">
        <v>44477</v>
      </c>
      <c r="B124" s="1">
        <v>114</v>
      </c>
      <c r="C124" s="8">
        <v>97.53</v>
      </c>
      <c r="D124" s="29">
        <v>0.16</v>
      </c>
      <c r="E124" s="8">
        <v>2285.8000000000002</v>
      </c>
      <c r="F124" s="8">
        <f>+Tabla10[[#This Row],[Total]]/Tabla10[[#This Row],[Nro Facturas]]</f>
        <v>20.050877192982458</v>
      </c>
      <c r="G124" s="9">
        <v>4.17</v>
      </c>
      <c r="H124" s="1">
        <f>+Tabla10[[#This Row],[Subtotal]]/Tabla10[[#This Row],[TASA]]</f>
        <v>23.388489208633093</v>
      </c>
      <c r="I124" s="1">
        <f>Tabla10[[#This Row],[Subtotal]]/Tabla10[[#This Row],[TASA]]</f>
        <v>23.388489208633093</v>
      </c>
      <c r="J124" s="120">
        <f>+Tabla10[[#This Row],[Total]]/Tabla10[[#This Row],[TASA]]</f>
        <v>548.15347721822548</v>
      </c>
    </row>
    <row r="125" spans="1:10" x14ac:dyDescent="0.25">
      <c r="A125" s="7">
        <v>44478</v>
      </c>
      <c r="B125" s="10">
        <v>159</v>
      </c>
      <c r="C125" s="11">
        <v>101.62</v>
      </c>
      <c r="D125" s="29">
        <v>0.16</v>
      </c>
      <c r="E125" s="11">
        <v>3104.09</v>
      </c>
      <c r="F125" s="11">
        <f>+Tabla10[[#This Row],[Total]]/Tabla10[[#This Row],[Nro Facturas]]</f>
        <v>19.522578616352202</v>
      </c>
      <c r="G125" s="181">
        <v>4.16</v>
      </c>
      <c r="H125" s="10">
        <f>+Tabla10[[#This Row],[Subtotal]]/Tabla10[[#This Row],[TASA]]</f>
        <v>24.427884615384617</v>
      </c>
      <c r="I125" s="10">
        <f>Tabla10[[#This Row],[Subtotal]]/Tabla10[[#This Row],[TASA]]</f>
        <v>24.427884615384617</v>
      </c>
      <c r="J125" s="132">
        <f>+Tabla10[[#This Row],[Total]]/Tabla10[[#This Row],[TASA]]</f>
        <v>746.17548076923083</v>
      </c>
    </row>
    <row r="126" spans="1:10" x14ac:dyDescent="0.25">
      <c r="A126" s="7">
        <v>44479</v>
      </c>
      <c r="B126" s="1">
        <v>179</v>
      </c>
      <c r="C126" s="182">
        <v>23.02</v>
      </c>
      <c r="D126" s="29">
        <v>0.16</v>
      </c>
      <c r="E126" s="182">
        <v>3661.9</v>
      </c>
      <c r="F126" s="183">
        <f>+Tabla10[[#This Row],[Total]]/Tabla10[[#This Row],[Nro Facturas]]</f>
        <v>20.457541899441342</v>
      </c>
      <c r="G126" s="184">
        <v>4.16</v>
      </c>
      <c r="H126" s="185">
        <f>+Tabla10[[#This Row],[Subtotal]]/Tabla10[[#This Row],[TASA]]</f>
        <v>5.5336538461538458</v>
      </c>
      <c r="I126" s="185">
        <f>Tabla10[[#This Row],[Subtotal]]/Tabla10[[#This Row],[TASA]]</f>
        <v>5.5336538461538458</v>
      </c>
      <c r="J126" s="120">
        <f>+Tabla10[[#This Row],[Total]]/Tabla10[[#This Row],[TASA]]</f>
        <v>880.26442307692309</v>
      </c>
    </row>
    <row r="127" spans="1:10" x14ac:dyDescent="0.25">
      <c r="A127" s="7">
        <v>44480</v>
      </c>
      <c r="B127" s="1">
        <v>90</v>
      </c>
      <c r="C127" s="182"/>
      <c r="D127" s="29">
        <v>0.16</v>
      </c>
      <c r="E127" s="182">
        <v>1684.17</v>
      </c>
      <c r="F127" s="183">
        <f>+Tabla10[[#This Row],[Total]]/Tabla10[[#This Row],[Nro Facturas]]</f>
        <v>18.713000000000001</v>
      </c>
      <c r="G127" s="184">
        <v>4.16</v>
      </c>
      <c r="H127" s="185">
        <f>+Tabla10[[#This Row],[Subtotal]]/Tabla10[[#This Row],[TASA]]</f>
        <v>0</v>
      </c>
      <c r="I127" s="185">
        <f>Tabla10[[#This Row],[Subtotal]]/Tabla10[[#This Row],[TASA]]</f>
        <v>0</v>
      </c>
      <c r="J127" s="120">
        <f>+Tabla10[[#This Row],[Total]]/Tabla10[[#This Row],[TASA]]</f>
        <v>404.84855769230768</v>
      </c>
    </row>
    <row r="128" spans="1:10" x14ac:dyDescent="0.25">
      <c r="A128" s="7">
        <v>44481</v>
      </c>
      <c r="B128" s="1">
        <v>68</v>
      </c>
      <c r="C128" s="182"/>
      <c r="D128" s="29">
        <v>0.16</v>
      </c>
      <c r="E128" s="182">
        <f>1325.45-136.64</f>
        <v>1188.81</v>
      </c>
      <c r="F128" s="183">
        <f>+Tabla10[[#This Row],[Total]]/Tabla10[[#This Row],[Nro Facturas]]</f>
        <v>17.482499999999998</v>
      </c>
      <c r="G128" s="184">
        <v>4.16</v>
      </c>
      <c r="H128" s="185">
        <f>+Tabla10[[#This Row],[Subtotal]]/Tabla10[[#This Row],[TASA]]</f>
        <v>0</v>
      </c>
      <c r="I128" s="185">
        <f>Tabla10[[#This Row],[Subtotal]]/Tabla10[[#This Row],[TASA]]</f>
        <v>0</v>
      </c>
      <c r="J128" s="120">
        <f>+Tabla10[[#This Row],[Total]]/Tabla10[[#This Row],[TASA]]</f>
        <v>285.77163461538458</v>
      </c>
    </row>
    <row r="129" spans="1:10" x14ac:dyDescent="0.25">
      <c r="A129" s="7">
        <v>44482</v>
      </c>
      <c r="B129" s="1">
        <v>72</v>
      </c>
      <c r="C129" s="182"/>
      <c r="D129" s="29">
        <v>0.16</v>
      </c>
      <c r="E129" s="182">
        <v>1285.42</v>
      </c>
      <c r="F129" s="183">
        <f>+Tabla10[[#This Row],[Total]]/Tabla10[[#This Row],[Nro Facturas]]</f>
        <v>17.853055555555557</v>
      </c>
      <c r="G129" s="184">
        <v>4.16</v>
      </c>
      <c r="H129" s="185">
        <f>+Tabla10[[#This Row],[Subtotal]]/Tabla10[[#This Row],[TASA]]</f>
        <v>0</v>
      </c>
      <c r="I129" s="185">
        <f>Tabla10[[#This Row],[Subtotal]]/Tabla10[[#This Row],[TASA]]</f>
        <v>0</v>
      </c>
      <c r="J129" s="120">
        <f>+Tabla10[[#This Row],[Total]]/Tabla10[[#This Row],[TASA]]</f>
        <v>308.99519230769232</v>
      </c>
    </row>
    <row r="130" spans="1:10" x14ac:dyDescent="0.25">
      <c r="A130" s="7">
        <v>44483</v>
      </c>
      <c r="B130" s="1">
        <v>63</v>
      </c>
      <c r="C130" s="182">
        <v>11.57</v>
      </c>
      <c r="D130" s="29">
        <v>0.16</v>
      </c>
      <c r="E130" s="182">
        <v>1152.53</v>
      </c>
      <c r="F130" s="183">
        <f>+Tabla10[[#This Row],[Total]]/Tabla10[[#This Row],[Nro Facturas]]</f>
        <v>18.294126984126983</v>
      </c>
      <c r="G130" s="184">
        <v>4.18</v>
      </c>
      <c r="H130" s="185">
        <f>+Tabla10[[#This Row],[Subtotal]]/Tabla10[[#This Row],[TASA]]</f>
        <v>2.7679425837320575</v>
      </c>
      <c r="I130" s="185">
        <f>Tabla10[[#This Row],[Subtotal]]/Tabla10[[#This Row],[TASA]]</f>
        <v>2.7679425837320575</v>
      </c>
      <c r="J130" s="120">
        <f>+Tabla10[[#This Row],[Total]]/Tabla10[[#This Row],[TASA]]</f>
        <v>275.72488038277515</v>
      </c>
    </row>
    <row r="131" spans="1:10" x14ac:dyDescent="0.25">
      <c r="A131" s="7">
        <v>44484</v>
      </c>
      <c r="B131" s="1">
        <v>206</v>
      </c>
      <c r="C131" s="182"/>
      <c r="D131" s="29">
        <v>0.16</v>
      </c>
      <c r="E131" s="182">
        <v>3054.81</v>
      </c>
      <c r="F131" s="183">
        <f>+Tabla10[[#This Row],[Total]]/Tabla10[[#This Row],[Nro Facturas]]</f>
        <v>14.829174757281553</v>
      </c>
      <c r="G131" s="184">
        <v>4.16</v>
      </c>
      <c r="H131" s="185">
        <f>+Tabla10[[#This Row],[Subtotal]]/Tabla10[[#This Row],[TASA]]</f>
        <v>0</v>
      </c>
      <c r="I131" s="185">
        <f>Tabla10[[#This Row],[Subtotal]]/Tabla10[[#This Row],[TASA]]</f>
        <v>0</v>
      </c>
      <c r="J131" s="120">
        <f>+Tabla10[[#This Row],[Total]]/Tabla10[[#This Row],[TASA]]</f>
        <v>734.32932692307691</v>
      </c>
    </row>
    <row r="132" spans="1:10" x14ac:dyDescent="0.25">
      <c r="A132" s="7">
        <v>44485</v>
      </c>
      <c r="B132" s="1">
        <f>227-2</f>
        <v>225</v>
      </c>
      <c r="C132" s="182">
        <v>23.14</v>
      </c>
      <c r="D132" s="29">
        <v>0.16</v>
      </c>
      <c r="E132" s="182">
        <f>4844.68-100.52</f>
        <v>4744.16</v>
      </c>
      <c r="F132" s="183">
        <f>+Tabla10[[#This Row],[Total]]/Tabla10[[#This Row],[Nro Facturas]]</f>
        <v>21.085155555555556</v>
      </c>
      <c r="G132" s="184">
        <v>4.16</v>
      </c>
      <c r="H132" s="185">
        <f>+Tabla10[[#This Row],[Subtotal]]/Tabla10[[#This Row],[TASA]]</f>
        <v>5.5625</v>
      </c>
      <c r="I132" s="185">
        <f>Tabla10[[#This Row],[Subtotal]]/Tabla10[[#This Row],[TASA]]</f>
        <v>5.5625</v>
      </c>
      <c r="J132" s="120">
        <f>+Tabla10[[#This Row],[Total]]/Tabla10[[#This Row],[TASA]]</f>
        <v>1140.4230769230769</v>
      </c>
    </row>
    <row r="133" spans="1:10" x14ac:dyDescent="0.25">
      <c r="A133" s="7">
        <v>44486</v>
      </c>
      <c r="B133" s="1">
        <v>176</v>
      </c>
      <c r="C133" s="182">
        <v>34.71</v>
      </c>
      <c r="D133" s="29">
        <v>0.16</v>
      </c>
      <c r="E133" s="182">
        <v>3405.11</v>
      </c>
      <c r="F133" s="183">
        <f>+Tabla10[[#This Row],[Total]]/Tabla10[[#This Row],[Nro Facturas]]</f>
        <v>19.347215909090909</v>
      </c>
      <c r="G133" s="184">
        <v>4.16</v>
      </c>
      <c r="H133" s="185">
        <f>+Tabla10[[#This Row],[Subtotal]]/Tabla10[[#This Row],[TASA]]</f>
        <v>8.34375</v>
      </c>
      <c r="I133" s="185">
        <f>Tabla10[[#This Row],[Subtotal]]/Tabla10[[#This Row],[TASA]]</f>
        <v>8.34375</v>
      </c>
      <c r="J133" s="120">
        <f>+Tabla10[[#This Row],[Total]]/Tabla10[[#This Row],[TASA]]</f>
        <v>818.53605769230774</v>
      </c>
    </row>
    <row r="134" spans="1:10" x14ac:dyDescent="0.25">
      <c r="A134" s="7">
        <v>44487</v>
      </c>
      <c r="B134" s="1">
        <v>69</v>
      </c>
      <c r="C134" s="182">
        <v>34.1</v>
      </c>
      <c r="D134" s="29">
        <v>0.16</v>
      </c>
      <c r="E134" s="182">
        <v>1023.21</v>
      </c>
      <c r="F134" s="183">
        <f>+Tabla10[[#This Row],[Total]]/Tabla10[[#This Row],[Nro Facturas]]</f>
        <v>14.829130434782609</v>
      </c>
      <c r="G134" s="184">
        <v>4.16</v>
      </c>
      <c r="H134" s="185">
        <f>+Tabla10[[#This Row],[Subtotal]]/Tabla10[[#This Row],[TASA]]</f>
        <v>8.197115384615385</v>
      </c>
      <c r="I134" s="185">
        <f>Tabla10[[#This Row],[Subtotal]]/Tabla10[[#This Row],[TASA]]</f>
        <v>8.197115384615385</v>
      </c>
      <c r="J134" s="120">
        <f>+Tabla10[[#This Row],[Total]]/Tabla10[[#This Row],[TASA]]</f>
        <v>245.96394230769232</v>
      </c>
    </row>
    <row r="135" spans="1:10" x14ac:dyDescent="0.25">
      <c r="A135" s="12">
        <v>44488</v>
      </c>
      <c r="B135" s="10">
        <v>82</v>
      </c>
      <c r="C135" s="186">
        <v>23.14</v>
      </c>
      <c r="D135" s="31">
        <v>0.16</v>
      </c>
      <c r="E135" s="186">
        <v>1468.99</v>
      </c>
      <c r="F135" s="187">
        <f>+Tabla10[[#This Row],[Total]]/Tabla10[[#This Row],[Nro Facturas]]</f>
        <v>17.914512195121951</v>
      </c>
      <c r="G135" s="188">
        <v>4.16</v>
      </c>
      <c r="H135" s="131">
        <f>+Tabla10[[#This Row],[Subtotal]]/Tabla10[[#This Row],[TASA]]</f>
        <v>5.5625</v>
      </c>
      <c r="I135" s="131">
        <f>Tabla10[[#This Row],[Subtotal]]/Tabla10[[#This Row],[TASA]]</f>
        <v>5.5625</v>
      </c>
      <c r="J135" s="132">
        <f>+Tabla10[[#This Row],[Total]]/Tabla10[[#This Row],[TASA]]</f>
        <v>353.12259615384613</v>
      </c>
    </row>
    <row r="136" spans="1:10" x14ac:dyDescent="0.25">
      <c r="A136" s="7">
        <v>44489</v>
      </c>
      <c r="B136" s="1">
        <v>65</v>
      </c>
      <c r="C136" s="182"/>
      <c r="D136" s="29">
        <v>0.16</v>
      </c>
      <c r="E136" s="182">
        <v>1047.95</v>
      </c>
      <c r="F136" s="183">
        <f>+Tabla10[[#This Row],[Total]]/Tabla10[[#This Row],[Nro Facturas]]</f>
        <v>16.122307692307693</v>
      </c>
      <c r="G136" s="184">
        <v>4.1500000000000004</v>
      </c>
      <c r="H136" s="185">
        <f>+Tabla10[[#This Row],[Subtotal]]/Tabla10[[#This Row],[TASA]]</f>
        <v>0</v>
      </c>
      <c r="I136" s="185">
        <f>Tabla10[[#This Row],[Subtotal]]/Tabla10[[#This Row],[TASA]]</f>
        <v>0</v>
      </c>
      <c r="J136" s="120">
        <f>+Tabla10[[#This Row],[Total]]/Tabla10[[#This Row],[TASA]]</f>
        <v>252.51807228915661</v>
      </c>
    </row>
    <row r="137" spans="1:10" x14ac:dyDescent="0.25">
      <c r="A137" s="7">
        <v>44490</v>
      </c>
      <c r="B137" s="1">
        <v>85</v>
      </c>
      <c r="C137" s="182">
        <v>23.14</v>
      </c>
      <c r="D137" s="29">
        <v>0.16</v>
      </c>
      <c r="E137" s="182">
        <v>1643.78</v>
      </c>
      <c r="F137" s="183">
        <f>+Tabla10[[#This Row],[Total]]/Tabla10[[#This Row],[Nro Facturas]]</f>
        <v>19.338588235294118</v>
      </c>
      <c r="G137" s="184">
        <v>4.17</v>
      </c>
      <c r="H137" s="185">
        <f>+Tabla10[[#This Row],[Subtotal]]/Tabla10[[#This Row],[TASA]]</f>
        <v>5.5491606714628299</v>
      </c>
      <c r="I137" s="185">
        <f>Tabla10[[#This Row],[Subtotal]]/Tabla10[[#This Row],[TASA]]</f>
        <v>5.5491606714628299</v>
      </c>
      <c r="J137" s="120">
        <f>+Tabla10[[#This Row],[Total]]/Tabla10[[#This Row],[TASA]]</f>
        <v>394.19184652278176</v>
      </c>
    </row>
    <row r="138" spans="1:10" x14ac:dyDescent="0.25">
      <c r="A138" s="7">
        <v>44491</v>
      </c>
      <c r="B138" s="1">
        <v>138</v>
      </c>
      <c r="C138" s="182"/>
      <c r="D138" s="29">
        <v>0.16</v>
      </c>
      <c r="E138" s="182">
        <f>3191.19-25.26</f>
        <v>3165.93</v>
      </c>
      <c r="F138" s="183">
        <f>+Tabla10[[#This Row],[Total]]/Tabla10[[#This Row],[Nro Facturas]]</f>
        <v>22.941521739130433</v>
      </c>
      <c r="G138" s="184">
        <v>4.21</v>
      </c>
      <c r="H138" s="185">
        <f>+Tabla10[[#This Row],[Subtotal]]/Tabla10[[#This Row],[TASA]]</f>
        <v>0</v>
      </c>
      <c r="I138" s="185">
        <f>Tabla10[[#This Row],[Subtotal]]/Tabla10[[#This Row],[TASA]]</f>
        <v>0</v>
      </c>
      <c r="J138" s="120">
        <f>+Tabla10[[#This Row],[Total]]/Tabla10[[#This Row],[TASA]]</f>
        <v>752.00237529691208</v>
      </c>
    </row>
    <row r="139" spans="1:10" x14ac:dyDescent="0.25">
      <c r="A139" s="7">
        <v>44492</v>
      </c>
      <c r="B139" s="1">
        <v>210</v>
      </c>
      <c r="C139" s="182">
        <v>22.51</v>
      </c>
      <c r="D139" s="29">
        <v>0.16</v>
      </c>
      <c r="E139" s="182">
        <v>4160.43</v>
      </c>
      <c r="F139" s="183">
        <f>+Tabla10[[#This Row],[Total]]/Tabla10[[#This Row],[Nro Facturas]]</f>
        <v>19.81157142857143</v>
      </c>
      <c r="G139" s="184">
        <v>4.24</v>
      </c>
      <c r="H139" s="185">
        <f>+Tabla10[[#This Row],[Subtotal]]/Tabla10[[#This Row],[TASA]]</f>
        <v>5.3089622641509431</v>
      </c>
      <c r="I139" s="185">
        <f>Tabla10[[#This Row],[Subtotal]]/Tabla10[[#This Row],[TASA]]</f>
        <v>5.3089622641509431</v>
      </c>
      <c r="J139" s="120">
        <f>+Tabla10[[#This Row],[Total]]/Tabla10[[#This Row],[TASA]]</f>
        <v>981.23349056603774</v>
      </c>
    </row>
    <row r="140" spans="1:10" x14ac:dyDescent="0.25">
      <c r="A140" s="7">
        <v>44493</v>
      </c>
      <c r="B140" s="1">
        <f>127-3</f>
        <v>124</v>
      </c>
      <c r="C140" s="182">
        <v>11.73</v>
      </c>
      <c r="D140" s="29">
        <v>0.16</v>
      </c>
      <c r="E140" s="182">
        <f>2817.46-182.28</f>
        <v>2635.18</v>
      </c>
      <c r="F140" s="183">
        <f>+Tabla10[[#This Row],[Total]]/Tabla10[[#This Row],[Nro Facturas]]</f>
        <v>21.251451612903224</v>
      </c>
      <c r="G140" s="184">
        <v>4.24</v>
      </c>
      <c r="H140" s="185">
        <f>+Tabla10[[#This Row],[Subtotal]]/Tabla10[[#This Row],[TASA]]</f>
        <v>2.766509433962264</v>
      </c>
      <c r="I140" s="185">
        <f>Tabla10[[#This Row],[Subtotal]]/Tabla10[[#This Row],[TASA]]</f>
        <v>2.766509433962264</v>
      </c>
      <c r="J140" s="120">
        <f>+Tabla10[[#This Row],[Total]]/Tabla10[[#This Row],[TASA]]</f>
        <v>621.50471698113199</v>
      </c>
    </row>
    <row r="141" spans="1:10" x14ac:dyDescent="0.25">
      <c r="A141" s="7">
        <v>44494</v>
      </c>
      <c r="B141" s="1">
        <v>93</v>
      </c>
      <c r="C141" s="182">
        <v>11.73</v>
      </c>
      <c r="D141" s="29">
        <v>0.16</v>
      </c>
      <c r="E141" s="182">
        <f>1310.39-48.84</f>
        <v>1261.5500000000002</v>
      </c>
      <c r="F141" s="183">
        <f>+Tabla10[[#This Row],[Total]]/Tabla10[[#This Row],[Nro Facturas]]</f>
        <v>13.565053763440861</v>
      </c>
      <c r="G141" s="184">
        <v>4.24</v>
      </c>
      <c r="H141" s="185">
        <f>+Tabla10[[#This Row],[Subtotal]]/Tabla10[[#This Row],[TASA]]</f>
        <v>2.766509433962264</v>
      </c>
      <c r="I141" s="185">
        <f>Tabla10[[#This Row],[Subtotal]]/Tabla10[[#This Row],[TASA]]</f>
        <v>2.766509433962264</v>
      </c>
      <c r="J141" s="120">
        <f>+Tabla10[[#This Row],[Total]]/Tabla10[[#This Row],[TASA]]</f>
        <v>297.53537735849062</v>
      </c>
    </row>
    <row r="142" spans="1:10" x14ac:dyDescent="0.25">
      <c r="A142" s="7">
        <v>44495</v>
      </c>
      <c r="B142" s="1">
        <v>67</v>
      </c>
      <c r="C142" s="182"/>
      <c r="D142" s="29">
        <v>0.16</v>
      </c>
      <c r="E142" s="182">
        <v>1336.15</v>
      </c>
      <c r="F142" s="183">
        <f>+Tabla10[[#This Row],[Total]]/Tabla10[[#This Row],[Nro Facturas]]</f>
        <v>19.942537313432837</v>
      </c>
      <c r="G142" s="184">
        <v>4.2699999999999996</v>
      </c>
      <c r="H142" s="185">
        <f>+Tabla10[[#This Row],[Subtotal]]/Tabla10[[#This Row],[TASA]]</f>
        <v>0</v>
      </c>
      <c r="I142" s="185">
        <f>Tabla10[[#This Row],[Subtotal]]/Tabla10[[#This Row],[TASA]]</f>
        <v>0</v>
      </c>
      <c r="J142" s="120">
        <f>+Tabla10[[#This Row],[Total]]/Tabla10[[#This Row],[TASA]]</f>
        <v>312.9156908665106</v>
      </c>
    </row>
    <row r="143" spans="1:10" x14ac:dyDescent="0.25">
      <c r="A143" s="7">
        <v>44496</v>
      </c>
      <c r="B143" s="1">
        <v>82</v>
      </c>
      <c r="C143" s="182">
        <v>23.46</v>
      </c>
      <c r="D143" s="29">
        <v>0.16</v>
      </c>
      <c r="E143" s="182">
        <f>1223.38-93.94</f>
        <v>1129.44</v>
      </c>
      <c r="F143" s="183">
        <f>+Tabla10[[#This Row],[Total]]/Tabla10[[#This Row],[Nro Facturas]]</f>
        <v>13.773658536585366</v>
      </c>
      <c r="G143" s="184">
        <v>4.29</v>
      </c>
      <c r="H143" s="185">
        <f>+Tabla10[[#This Row],[Subtotal]]/Tabla10[[#This Row],[TASA]]</f>
        <v>5.4685314685314683</v>
      </c>
      <c r="I143" s="185">
        <f>Tabla10[[#This Row],[Subtotal]]/Tabla10[[#This Row],[TASA]]</f>
        <v>5.4685314685314683</v>
      </c>
      <c r="J143" s="120">
        <f>+Tabla10[[#This Row],[Total]]/Tabla10[[#This Row],[TASA]]</f>
        <v>263.27272727272731</v>
      </c>
    </row>
    <row r="144" spans="1:10" x14ac:dyDescent="0.25">
      <c r="A144" s="7">
        <v>44497</v>
      </c>
      <c r="B144" s="1">
        <v>94</v>
      </c>
      <c r="C144" s="182">
        <v>23.92</v>
      </c>
      <c r="D144" s="29">
        <v>0.16</v>
      </c>
      <c r="E144" s="182">
        <v>1264.02</v>
      </c>
      <c r="F144" s="183">
        <f>+Tabla10[[#This Row],[Total]]/Tabla10[[#This Row],[Nro Facturas]]</f>
        <v>13.447021276595745</v>
      </c>
      <c r="G144" s="184">
        <v>4.32</v>
      </c>
      <c r="H144" s="185">
        <f>+Tabla10[[#This Row],[Subtotal]]/Tabla10[[#This Row],[TASA]]</f>
        <v>5.5370370370370372</v>
      </c>
      <c r="I144" s="185">
        <f>Tabla10[[#This Row],[Subtotal]]/Tabla10[[#This Row],[TASA]]</f>
        <v>5.5370370370370372</v>
      </c>
      <c r="J144" s="120">
        <f>+Tabla10[[#This Row],[Total]]/Tabla10[[#This Row],[TASA]]</f>
        <v>292.59722222222217</v>
      </c>
    </row>
    <row r="145" spans="1:15" x14ac:dyDescent="0.25">
      <c r="A145" s="7">
        <v>44498</v>
      </c>
      <c r="B145" s="1">
        <f>237-5</f>
        <v>232</v>
      </c>
      <c r="C145" s="182">
        <v>48.48</v>
      </c>
      <c r="D145" s="29">
        <v>0.16</v>
      </c>
      <c r="E145" s="182">
        <f>5193.99-227.24</f>
        <v>4966.75</v>
      </c>
      <c r="F145" s="183">
        <f>+Tabla10[[#This Row],[Total]]/Tabla10[[#This Row],[Nro Facturas]]</f>
        <v>21.408405172413794</v>
      </c>
      <c r="G145" s="184">
        <v>4.38</v>
      </c>
      <c r="H145" s="185">
        <f>+Tabla10[[#This Row],[Subtotal]]/Tabla10[[#This Row],[TASA]]</f>
        <v>11.068493150684931</v>
      </c>
      <c r="I145" s="185">
        <f>Tabla10[[#This Row],[Subtotal]]/Tabla10[[#This Row],[TASA]]</f>
        <v>11.068493150684931</v>
      </c>
      <c r="J145" s="120">
        <f>+Tabla10[[#This Row],[Total]]/Tabla10[[#This Row],[TASA]]</f>
        <v>1133.961187214612</v>
      </c>
    </row>
    <row r="146" spans="1:15" x14ac:dyDescent="0.25">
      <c r="A146" s="7">
        <v>44499</v>
      </c>
      <c r="B146" s="1">
        <v>216</v>
      </c>
      <c r="C146" s="182">
        <v>59.7</v>
      </c>
      <c r="D146" s="29">
        <v>0.16</v>
      </c>
      <c r="E146" s="182">
        <f>5306.55-122.64</f>
        <v>5183.91</v>
      </c>
      <c r="F146" s="183">
        <f>+Tabla10[[#This Row],[Total]]/Tabla10[[#This Row],[Nro Facturas]]</f>
        <v>23.999583333333334</v>
      </c>
      <c r="G146" s="184">
        <v>4.38</v>
      </c>
      <c r="H146" s="185">
        <f>+Tabla10[[#This Row],[Subtotal]]/Tabla10[[#This Row],[TASA]]</f>
        <v>13.630136986301371</v>
      </c>
      <c r="I146" s="185">
        <f>Tabla10[[#This Row],[Subtotal]]/Tabla10[[#This Row],[TASA]]</f>
        <v>13.630136986301371</v>
      </c>
      <c r="J146" s="120">
        <f>+Tabla10[[#This Row],[Total]]/Tabla10[[#This Row],[TASA]]</f>
        <v>1183.541095890411</v>
      </c>
    </row>
    <row r="147" spans="1:15" x14ac:dyDescent="0.25">
      <c r="A147" s="7">
        <v>44500</v>
      </c>
      <c r="B147" s="1">
        <v>28</v>
      </c>
      <c r="C147" s="182"/>
      <c r="D147" s="29">
        <v>0.16</v>
      </c>
      <c r="E147" s="182">
        <v>761.5</v>
      </c>
      <c r="F147" s="183">
        <f>+Tabla10[[#This Row],[Total]]/Tabla10[[#This Row],[Nro Facturas]]</f>
        <v>27.196428571428573</v>
      </c>
      <c r="G147" s="184">
        <v>4.38</v>
      </c>
      <c r="H147" s="185">
        <f>+Tabla10[[#This Row],[Subtotal]]/Tabla10[[#This Row],[TASA]]</f>
        <v>0</v>
      </c>
      <c r="I147" s="185">
        <f>Tabla10[[#This Row],[Subtotal]]/Tabla10[[#This Row],[TASA]]</f>
        <v>0</v>
      </c>
      <c r="J147" s="120">
        <f>+Tabla10[[#This Row],[Total]]/Tabla10[[#This Row],[TASA]]</f>
        <v>173.85844748858449</v>
      </c>
    </row>
    <row r="148" spans="1:15" x14ac:dyDescent="0.25">
      <c r="A148" s="12"/>
      <c r="B148" s="10"/>
      <c r="C148" s="186"/>
      <c r="D148" s="31"/>
      <c r="E148" s="186"/>
      <c r="F148" s="187"/>
      <c r="G148" s="188"/>
      <c r="H148" s="131"/>
      <c r="I148" s="131" t="s">
        <v>501</v>
      </c>
      <c r="J148" s="132">
        <f>SUBTOTAL(109,J117:J147)</f>
        <v>16191.683784569846</v>
      </c>
    </row>
    <row r="149" spans="1:15" x14ac:dyDescent="0.25">
      <c r="A149" s="66"/>
      <c r="B149" s="64"/>
      <c r="C149" s="190"/>
      <c r="D149" s="67"/>
      <c r="E149" s="190"/>
      <c r="F149" s="191"/>
      <c r="G149" s="192"/>
      <c r="H149" s="68"/>
      <c r="I149" s="68"/>
      <c r="J149" s="119"/>
    </row>
    <row r="150" spans="1:15" x14ac:dyDescent="0.25">
      <c r="A150" s="66"/>
      <c r="B150" s="64"/>
      <c r="C150" s="190"/>
      <c r="D150" s="67"/>
      <c r="E150" s="190"/>
      <c r="F150" s="191"/>
      <c r="G150" s="192"/>
      <c r="H150" s="68"/>
      <c r="I150" s="68"/>
      <c r="J150" s="119"/>
    </row>
    <row r="151" spans="1:15" ht="46.5" x14ac:dyDescent="0.25">
      <c r="A151" s="66"/>
      <c r="B151" s="324" t="s">
        <v>643</v>
      </c>
      <c r="C151" s="324"/>
      <c r="D151" s="323"/>
      <c r="E151" s="322"/>
      <c r="F151" s="191"/>
      <c r="G151" s="321"/>
      <c r="H151" s="68"/>
      <c r="I151" s="68"/>
      <c r="J151" s="119"/>
    </row>
    <row r="152" spans="1:15" ht="18" customHeight="1" x14ac:dyDescent="0.25">
      <c r="A152" s="275" t="s">
        <v>0</v>
      </c>
      <c r="B152" s="276" t="s">
        <v>1</v>
      </c>
      <c r="C152" s="277" t="s">
        <v>2</v>
      </c>
      <c r="D152" s="278" t="s">
        <v>3</v>
      </c>
      <c r="E152" s="277" t="s">
        <v>4</v>
      </c>
      <c r="F152" s="277" t="s">
        <v>5</v>
      </c>
      <c r="G152" s="277" t="s">
        <v>6</v>
      </c>
      <c r="H152" s="277" t="s">
        <v>7</v>
      </c>
      <c r="I152" s="277" t="s">
        <v>8</v>
      </c>
      <c r="J152" s="279" t="s">
        <v>9</v>
      </c>
      <c r="O152" s="27">
        <f>32185.5</f>
        <v>32185.5</v>
      </c>
    </row>
    <row r="153" spans="1:15" x14ac:dyDescent="0.25">
      <c r="A153" s="280">
        <v>44501</v>
      </c>
      <c r="B153" s="281">
        <v>44</v>
      </c>
      <c r="C153" s="282">
        <v>11.22</v>
      </c>
      <c r="D153" s="283">
        <v>0.16</v>
      </c>
      <c r="E153" s="282">
        <v>950.34</v>
      </c>
      <c r="F153" s="282"/>
      <c r="G153" s="284">
        <v>4.38</v>
      </c>
      <c r="H153" s="281"/>
      <c r="I153" s="281"/>
      <c r="J153" s="285">
        <f>Tabla18[[#This Row],[Total]]/Tabla18[[#This Row],[TASA]]</f>
        <v>216.97260273972603</v>
      </c>
      <c r="O153" s="71">
        <f>O152-19897.84-9000</f>
        <v>3287.66</v>
      </c>
    </row>
    <row r="154" spans="1:15" x14ac:dyDescent="0.25">
      <c r="A154" s="280">
        <v>44502</v>
      </c>
      <c r="B154" s="281">
        <f>88-4</f>
        <v>84</v>
      </c>
      <c r="C154" s="282"/>
      <c r="D154" s="283">
        <v>0.16</v>
      </c>
      <c r="E154" s="282">
        <v>1058.0899999999999</v>
      </c>
      <c r="F154" s="282"/>
      <c r="G154" s="284">
        <v>4.38</v>
      </c>
      <c r="H154" s="281"/>
      <c r="I154" s="281"/>
      <c r="J154" s="285">
        <f>Tabla18[[#This Row],[Total]]/Tabla18[[#This Row],[TASA]]</f>
        <v>241.57305936073058</v>
      </c>
    </row>
    <row r="155" spans="1:15" x14ac:dyDescent="0.25">
      <c r="A155" s="280">
        <v>44503</v>
      </c>
      <c r="B155" s="281">
        <v>93</v>
      </c>
      <c r="C155" s="282"/>
      <c r="D155" s="283">
        <v>0.16</v>
      </c>
      <c r="E155" s="282">
        <v>1775.57</v>
      </c>
      <c r="F155" s="282"/>
      <c r="G155" s="284">
        <v>4.41</v>
      </c>
      <c r="H155" s="281"/>
      <c r="I155" s="281"/>
      <c r="J155" s="285">
        <f>Tabla18[[#This Row],[Total]]/Tabla18[[#This Row],[TASA]]</f>
        <v>402.62358276643988</v>
      </c>
    </row>
    <row r="156" spans="1:15" x14ac:dyDescent="0.25">
      <c r="A156" s="280">
        <v>44504</v>
      </c>
      <c r="B156" s="281">
        <v>106</v>
      </c>
      <c r="C156" s="282"/>
      <c r="D156" s="283">
        <v>0.16</v>
      </c>
      <c r="E156" s="282">
        <v>2485.6799999999998</v>
      </c>
      <c r="F156" s="282"/>
      <c r="G156" s="284">
        <v>4.4400000000000004</v>
      </c>
      <c r="H156" s="281"/>
      <c r="I156" s="281"/>
      <c r="J156" s="285">
        <f>Tabla18[[#This Row],[Total]]/Tabla18[[#This Row],[TASA]]</f>
        <v>559.8378378378377</v>
      </c>
    </row>
    <row r="157" spans="1:15" x14ac:dyDescent="0.25">
      <c r="A157" s="286">
        <v>44505</v>
      </c>
      <c r="B157" s="287">
        <v>158</v>
      </c>
      <c r="C157" s="288">
        <v>48.58</v>
      </c>
      <c r="D157" s="289">
        <v>0.16</v>
      </c>
      <c r="E157" s="288">
        <v>4191.58</v>
      </c>
      <c r="F157" s="288"/>
      <c r="G157" s="290">
        <v>4.42</v>
      </c>
      <c r="H157" s="287"/>
      <c r="I157" s="287"/>
      <c r="J157" s="291">
        <f>Tabla18[[#This Row],[Total]]/Tabla18[[#This Row],[TASA]]</f>
        <v>948.32126696832574</v>
      </c>
    </row>
    <row r="158" spans="1:15" x14ac:dyDescent="0.25">
      <c r="A158" s="292">
        <v>44506</v>
      </c>
      <c r="B158" s="293">
        <v>219</v>
      </c>
      <c r="C158" s="294">
        <v>57.32</v>
      </c>
      <c r="D158" s="295">
        <v>0.16</v>
      </c>
      <c r="E158" s="294">
        <v>5594.3</v>
      </c>
      <c r="F158" s="294"/>
      <c r="G158" s="296">
        <v>4.45</v>
      </c>
      <c r="H158" s="297"/>
      <c r="I158" s="297"/>
      <c r="J158" s="298">
        <f>Tabla18[[#This Row],[Total]]/Tabla18[[#This Row],[TASA]]</f>
        <v>1257.1460674157304</v>
      </c>
    </row>
    <row r="159" spans="1:15" x14ac:dyDescent="0.25">
      <c r="A159" s="292">
        <v>44507</v>
      </c>
      <c r="B159" s="293">
        <f>137-2</f>
        <v>135</v>
      </c>
      <c r="C159" s="294">
        <v>18.93</v>
      </c>
      <c r="D159" s="295">
        <v>0.16</v>
      </c>
      <c r="E159" s="294">
        <v>3557.22</v>
      </c>
      <c r="F159" s="294"/>
      <c r="G159" s="296">
        <v>4.45</v>
      </c>
      <c r="H159" s="297"/>
      <c r="I159" s="297"/>
      <c r="J159" s="298">
        <f>Tabla18[[#This Row],[Total]]/Tabla18[[#This Row],[TASA]]</f>
        <v>799.37528089887633</v>
      </c>
    </row>
    <row r="160" spans="1:15" x14ac:dyDescent="0.25">
      <c r="A160" s="292">
        <v>44508</v>
      </c>
      <c r="B160" s="293">
        <v>106</v>
      </c>
      <c r="C160" s="294">
        <v>16.75</v>
      </c>
      <c r="D160" s="295">
        <v>0.16</v>
      </c>
      <c r="E160" s="294">
        <v>1527.07</v>
      </c>
      <c r="F160" s="294"/>
      <c r="G160" s="296">
        <v>4.45</v>
      </c>
      <c r="H160" s="297"/>
      <c r="I160" s="297"/>
      <c r="J160" s="298">
        <f>Tabla18[[#This Row],[Total]]/Tabla18[[#This Row],[TASA]]</f>
        <v>343.16179775280898</v>
      </c>
    </row>
    <row r="161" spans="1:10" x14ac:dyDescent="0.25">
      <c r="A161" s="292">
        <v>44509</v>
      </c>
      <c r="B161" s="293">
        <v>75</v>
      </c>
      <c r="C161" s="294">
        <v>13.51</v>
      </c>
      <c r="D161" s="295">
        <v>0.16</v>
      </c>
      <c r="E161" s="294">
        <v>1074.67</v>
      </c>
      <c r="F161" s="294"/>
      <c r="G161" s="296">
        <v>4.45</v>
      </c>
      <c r="H161" s="297"/>
      <c r="I161" s="297"/>
      <c r="J161" s="298">
        <f>Tabla18[[#This Row],[Total]]/Tabla18[[#This Row],[TASA]]</f>
        <v>241.49887640449438</v>
      </c>
    </row>
    <row r="162" spans="1:10" x14ac:dyDescent="0.25">
      <c r="A162" s="292">
        <v>44510</v>
      </c>
      <c r="B162" s="293">
        <v>80</v>
      </c>
      <c r="C162" s="294">
        <v>10.75</v>
      </c>
      <c r="D162" s="295">
        <v>0.16</v>
      </c>
      <c r="E162" s="294">
        <v>1103.6500000000001</v>
      </c>
      <c r="F162" s="294"/>
      <c r="G162" s="296">
        <v>4.45</v>
      </c>
      <c r="H162" s="297"/>
      <c r="I162" s="297"/>
      <c r="J162" s="298">
        <f>Tabla18[[#This Row],[Total]]/Tabla18[[#This Row],[TASA]]</f>
        <v>248.01123595505618</v>
      </c>
    </row>
    <row r="163" spans="1:10" x14ac:dyDescent="0.25">
      <c r="A163" s="292">
        <v>44511</v>
      </c>
      <c r="B163" s="293">
        <v>118</v>
      </c>
      <c r="C163" s="294">
        <v>19.34</v>
      </c>
      <c r="D163" s="295">
        <v>0.16</v>
      </c>
      <c r="E163" s="294">
        <v>2370.73</v>
      </c>
      <c r="F163" s="294"/>
      <c r="G163" s="296">
        <v>4.4800000000000004</v>
      </c>
      <c r="H163" s="297"/>
      <c r="I163" s="297"/>
      <c r="J163" s="298">
        <f>Tabla18[[#This Row],[Total]]/Tabla18[[#This Row],[TASA]]</f>
        <v>529.18080357142856</v>
      </c>
    </row>
    <row r="164" spans="1:10" x14ac:dyDescent="0.25">
      <c r="A164" s="292">
        <v>44512</v>
      </c>
      <c r="B164" s="293">
        <v>188</v>
      </c>
      <c r="C164" s="294">
        <v>37.65</v>
      </c>
      <c r="D164" s="295">
        <v>0.16</v>
      </c>
      <c r="E164" s="294">
        <v>4508.62</v>
      </c>
      <c r="F164" s="294"/>
      <c r="G164" s="296">
        <v>4.4800000000000004</v>
      </c>
      <c r="H164" s="297"/>
      <c r="I164" s="297"/>
      <c r="J164" s="298">
        <f>Tabla18[[#This Row],[Total]]/Tabla18[[#This Row],[TASA]]</f>
        <v>1006.3883928571428</v>
      </c>
    </row>
    <row r="165" spans="1:10" x14ac:dyDescent="0.25">
      <c r="A165" s="292">
        <v>44513</v>
      </c>
      <c r="B165" s="293">
        <v>230</v>
      </c>
      <c r="C165" s="294">
        <v>52.34</v>
      </c>
      <c r="D165" s="295">
        <v>0.16</v>
      </c>
      <c r="E165" s="294">
        <v>5760.22</v>
      </c>
      <c r="F165" s="294"/>
      <c r="G165" s="296">
        <v>4.4800000000000004</v>
      </c>
      <c r="H165" s="297"/>
      <c r="I165" s="297"/>
      <c r="J165" s="298">
        <f>Tabla18[[#This Row],[Total]]/Tabla18[[#This Row],[TASA]]</f>
        <v>1285.7633928571429</v>
      </c>
    </row>
    <row r="166" spans="1:10" x14ac:dyDescent="0.25">
      <c r="A166" s="292">
        <v>44514</v>
      </c>
      <c r="B166" s="293">
        <v>150</v>
      </c>
      <c r="C166" s="294">
        <v>20.47</v>
      </c>
      <c r="D166" s="295">
        <v>0.16</v>
      </c>
      <c r="E166" s="294">
        <v>2967.34</v>
      </c>
      <c r="F166" s="294"/>
      <c r="G166" s="296">
        <v>4.4800000000000004</v>
      </c>
      <c r="H166" s="297"/>
      <c r="I166" s="297"/>
      <c r="J166" s="298">
        <f>Tabla18[[#This Row],[Total]]/Tabla18[[#This Row],[TASA]]</f>
        <v>662.35267857142856</v>
      </c>
    </row>
    <row r="167" spans="1:10" x14ac:dyDescent="0.25">
      <c r="A167" s="292">
        <v>44515</v>
      </c>
      <c r="B167" s="293">
        <v>106</v>
      </c>
      <c r="C167" s="294"/>
      <c r="D167" s="295">
        <v>0.16</v>
      </c>
      <c r="E167" s="294">
        <v>1262.44</v>
      </c>
      <c r="F167" s="294"/>
      <c r="G167" s="296">
        <v>4.4800000000000004</v>
      </c>
      <c r="H167" s="297"/>
      <c r="I167" s="297"/>
      <c r="J167" s="298">
        <f>Tabla18[[#This Row],[Total]]/Tabla18[[#This Row],[TASA]]</f>
        <v>281.79464285714283</v>
      </c>
    </row>
    <row r="168" spans="1:10" x14ac:dyDescent="0.25">
      <c r="A168" s="292">
        <v>44516</v>
      </c>
      <c r="B168" s="293">
        <v>134</v>
      </c>
      <c r="C168" s="294">
        <v>14.73</v>
      </c>
      <c r="D168" s="295">
        <v>0.16</v>
      </c>
      <c r="E168" s="294">
        <v>1993.98</v>
      </c>
      <c r="F168" s="294"/>
      <c r="G168" s="296">
        <v>4.49</v>
      </c>
      <c r="H168" s="297"/>
      <c r="I168" s="297"/>
      <c r="J168" s="298">
        <f>Tabla18[[#This Row],[Total]]/Tabla18[[#This Row],[TASA]]</f>
        <v>444.09354120267261</v>
      </c>
    </row>
    <row r="169" spans="1:10" x14ac:dyDescent="0.25">
      <c r="A169" s="292">
        <v>44517</v>
      </c>
      <c r="B169" s="293">
        <v>114</v>
      </c>
      <c r="C169" s="294">
        <v>29.81</v>
      </c>
      <c r="D169" s="295">
        <v>0.16</v>
      </c>
      <c r="E169" s="294">
        <v>2070.9899999999998</v>
      </c>
      <c r="F169" s="294"/>
      <c r="G169" s="296">
        <v>4.5199999999999996</v>
      </c>
      <c r="H169" s="297"/>
      <c r="I169" s="297"/>
      <c r="J169" s="298">
        <f>Tabla18[[#This Row],[Total]]/Tabla18[[#This Row],[TASA]]</f>
        <v>458.18362831858406</v>
      </c>
    </row>
    <row r="170" spans="1:10" x14ac:dyDescent="0.25">
      <c r="A170" s="299">
        <v>44518</v>
      </c>
      <c r="B170" s="300">
        <v>113</v>
      </c>
      <c r="C170" s="301">
        <v>3.45</v>
      </c>
      <c r="D170" s="302">
        <v>0.16</v>
      </c>
      <c r="E170" s="301">
        <v>2174.61</v>
      </c>
      <c r="F170" s="301"/>
      <c r="G170" s="303">
        <v>4.5199999999999996</v>
      </c>
      <c r="H170" s="304"/>
      <c r="I170" s="304"/>
      <c r="J170" s="305">
        <f>Tabla18[[#This Row],[Total]]/Tabla18[[#This Row],[TASA]]</f>
        <v>481.1084070796461</v>
      </c>
    </row>
    <row r="171" spans="1:10" x14ac:dyDescent="0.25">
      <c r="A171" s="299">
        <v>44519</v>
      </c>
      <c r="B171" s="300">
        <v>154</v>
      </c>
      <c r="C171" s="301">
        <v>5.82</v>
      </c>
      <c r="D171" s="302">
        <v>0.16</v>
      </c>
      <c r="E171" s="301">
        <v>3475.72</v>
      </c>
      <c r="F171" s="301"/>
      <c r="G171" s="303">
        <v>4.59</v>
      </c>
      <c r="H171" s="304"/>
      <c r="I171" s="304"/>
      <c r="J171" s="305">
        <f>Tabla18[[#This Row],[Total]]/Tabla18[[#This Row],[TASA]]</f>
        <v>757.23747276688448</v>
      </c>
    </row>
    <row r="172" spans="1:10" x14ac:dyDescent="0.25">
      <c r="A172" s="299">
        <v>44520</v>
      </c>
      <c r="B172" s="300">
        <v>156</v>
      </c>
      <c r="C172" s="301">
        <v>78.459999999999994</v>
      </c>
      <c r="D172" s="302">
        <v>0.16</v>
      </c>
      <c r="E172" s="301">
        <v>3432.36</v>
      </c>
      <c r="F172" s="301"/>
      <c r="G172" s="303">
        <v>4.54</v>
      </c>
      <c r="H172" s="304"/>
      <c r="I172" s="304"/>
      <c r="J172" s="305">
        <f>Tabla18[[#This Row],[Total]]/Tabla18[[#This Row],[TASA]]</f>
        <v>756.02643171806164</v>
      </c>
    </row>
    <row r="173" spans="1:10" x14ac:dyDescent="0.25">
      <c r="A173" s="299">
        <v>44521</v>
      </c>
      <c r="B173" s="300">
        <v>110</v>
      </c>
      <c r="C173" s="301">
        <v>14.94</v>
      </c>
      <c r="D173" s="302">
        <v>0.16</v>
      </c>
      <c r="E173" s="301">
        <v>1711.29</v>
      </c>
      <c r="F173" s="301"/>
      <c r="G173" s="303">
        <v>4.54</v>
      </c>
      <c r="H173" s="304"/>
      <c r="I173" s="304"/>
      <c r="J173" s="305">
        <f>Tabla18[[#This Row],[Total]]/Tabla18[[#This Row],[TASA]]</f>
        <v>376.93612334801759</v>
      </c>
    </row>
    <row r="174" spans="1:10" x14ac:dyDescent="0.25">
      <c r="A174" s="299">
        <v>44522</v>
      </c>
      <c r="B174" s="300">
        <f>80-2</f>
        <v>78</v>
      </c>
      <c r="C174" s="301">
        <v>42.54</v>
      </c>
      <c r="D174" s="302">
        <v>0.16</v>
      </c>
      <c r="E174" s="301">
        <v>1268.24</v>
      </c>
      <c r="F174" s="301"/>
      <c r="G174" s="303">
        <v>4.54</v>
      </c>
      <c r="H174" s="304"/>
      <c r="I174" s="304"/>
      <c r="J174" s="305">
        <f>Tabla18[[#This Row],[Total]]/Tabla18[[#This Row],[TASA]]</f>
        <v>279.3480176211454</v>
      </c>
    </row>
    <row r="175" spans="1:10" x14ac:dyDescent="0.25">
      <c r="A175" s="299">
        <v>44523</v>
      </c>
      <c r="B175" s="300">
        <v>82</v>
      </c>
      <c r="C175" s="301">
        <v>12.5</v>
      </c>
      <c r="D175" s="302">
        <v>0.16</v>
      </c>
      <c r="E175" s="301">
        <v>1891.25</v>
      </c>
      <c r="F175" s="301"/>
      <c r="G175" s="303">
        <v>4.54</v>
      </c>
      <c r="H175" s="304"/>
      <c r="I175" s="304"/>
      <c r="J175" s="305">
        <f>Tabla18[[#This Row],[Total]]/Tabla18[[#This Row],[TASA]]</f>
        <v>416.57488986784142</v>
      </c>
    </row>
    <row r="176" spans="1:10" x14ac:dyDescent="0.25">
      <c r="A176" s="299">
        <v>44524</v>
      </c>
      <c r="B176" s="293">
        <v>97</v>
      </c>
      <c r="C176" s="294">
        <v>37.5</v>
      </c>
      <c r="D176" s="295">
        <v>0.16</v>
      </c>
      <c r="E176" s="294">
        <v>1806.85</v>
      </c>
      <c r="F176" s="301"/>
      <c r="G176" s="303">
        <v>4.54</v>
      </c>
      <c r="H176" s="304"/>
      <c r="I176" s="304"/>
      <c r="J176" s="305">
        <f>Tabla18[[#This Row],[Total]]/Tabla18[[#This Row],[TASA]]</f>
        <v>397.98458149779731</v>
      </c>
    </row>
    <row r="177" spans="1:10" x14ac:dyDescent="0.25">
      <c r="A177" s="299">
        <v>44525</v>
      </c>
      <c r="B177" s="300">
        <v>109</v>
      </c>
      <c r="C177" s="301">
        <v>23.89</v>
      </c>
      <c r="D177" s="302">
        <v>0.16</v>
      </c>
      <c r="E177" s="301">
        <v>1953.49</v>
      </c>
      <c r="F177" s="301"/>
      <c r="G177" s="303">
        <v>4.5599999999999996</v>
      </c>
      <c r="H177" s="304"/>
      <c r="I177" s="304"/>
      <c r="J177" s="305">
        <f>Tabla18[[#This Row],[Total]]/Tabla18[[#This Row],[TASA]]</f>
        <v>428.39692982456143</v>
      </c>
    </row>
    <row r="178" spans="1:10" x14ac:dyDescent="0.25">
      <c r="A178" s="299">
        <v>44526</v>
      </c>
      <c r="B178" s="300">
        <v>196</v>
      </c>
      <c r="C178" s="301">
        <v>48.16</v>
      </c>
      <c r="D178" s="302">
        <v>0.16</v>
      </c>
      <c r="E178" s="301">
        <v>5408.96</v>
      </c>
      <c r="F178" s="301"/>
      <c r="G178" s="303">
        <v>4.58</v>
      </c>
      <c r="H178" s="304"/>
      <c r="I178" s="304"/>
      <c r="J178" s="305">
        <f>Tabla18[[#This Row],[Total]]/Tabla18[[#This Row],[TASA]]</f>
        <v>1180.9956331877729</v>
      </c>
    </row>
    <row r="179" spans="1:10" x14ac:dyDescent="0.25">
      <c r="A179" s="299">
        <v>44527</v>
      </c>
      <c r="B179" s="300">
        <v>248</v>
      </c>
      <c r="C179" s="301">
        <v>59.15</v>
      </c>
      <c r="D179" s="302">
        <v>0.16</v>
      </c>
      <c r="E179" s="301">
        <v>6124.41</v>
      </c>
      <c r="F179" s="301"/>
      <c r="G179" s="303">
        <v>4.62</v>
      </c>
      <c r="H179" s="304"/>
      <c r="I179" s="304"/>
      <c r="J179" s="305">
        <f>Tabla18[[#This Row],[Total]]/Tabla18[[#This Row],[TASA]]</f>
        <v>1325.6298701298701</v>
      </c>
    </row>
    <row r="180" spans="1:10" x14ac:dyDescent="0.25">
      <c r="A180" s="299">
        <v>44528</v>
      </c>
      <c r="B180" s="300">
        <v>166</v>
      </c>
      <c r="C180" s="301">
        <v>7.35</v>
      </c>
      <c r="D180" s="302">
        <v>0.16</v>
      </c>
      <c r="E180" s="301">
        <v>3958.68</v>
      </c>
      <c r="F180" s="301"/>
      <c r="G180" s="303">
        <v>4.62</v>
      </c>
      <c r="H180" s="304"/>
      <c r="I180" s="304"/>
      <c r="J180" s="305">
        <f>Tabla18[[#This Row],[Total]]/Tabla18[[#This Row],[TASA]]</f>
        <v>856.85714285714278</v>
      </c>
    </row>
    <row r="181" spans="1:10" x14ac:dyDescent="0.25">
      <c r="A181" s="299">
        <v>44529</v>
      </c>
      <c r="B181" s="293">
        <v>95</v>
      </c>
      <c r="C181" s="294">
        <v>25.45</v>
      </c>
      <c r="D181" s="295">
        <v>0.16</v>
      </c>
      <c r="E181" s="294">
        <v>1485.12</v>
      </c>
      <c r="F181" s="294"/>
      <c r="G181" s="296">
        <v>4.62</v>
      </c>
      <c r="H181" s="297"/>
      <c r="I181" s="297"/>
      <c r="J181" s="305">
        <f>Tabla18[[#This Row],[Total]]/Tabla18[[#This Row],[TASA]]</f>
        <v>321.45454545454544</v>
      </c>
    </row>
    <row r="182" spans="1:10" x14ac:dyDescent="0.25">
      <c r="A182" s="299">
        <v>44530</v>
      </c>
      <c r="B182" s="300">
        <v>106</v>
      </c>
      <c r="C182" s="301">
        <v>3.85</v>
      </c>
      <c r="D182" s="302">
        <v>0.16</v>
      </c>
      <c r="E182" s="301">
        <v>1320.77</v>
      </c>
      <c r="F182" s="301"/>
      <c r="G182" s="303">
        <v>4.62</v>
      </c>
      <c r="H182" s="304"/>
      <c r="I182" s="304"/>
      <c r="J182" s="305">
        <f>Tabla18[[#This Row],[Total]]/Tabla18[[#This Row],[TASA]]</f>
        <v>285.88095238095235</v>
      </c>
    </row>
    <row r="183" spans="1:10" x14ac:dyDescent="0.25">
      <c r="A183" s="299"/>
      <c r="B183" s="300"/>
      <c r="C183" s="301"/>
      <c r="D183" s="302"/>
      <c r="E183" s="301"/>
      <c r="F183" s="301"/>
      <c r="G183" s="303"/>
      <c r="H183" s="304"/>
      <c r="I183" s="312" t="s">
        <v>318</v>
      </c>
      <c r="J183" s="313">
        <f>SUBTOTAL(109,J153:J182)</f>
        <v>17790.709686069808</v>
      </c>
    </row>
    <row r="184" spans="1:10" x14ac:dyDescent="0.25">
      <c r="A184" s="306"/>
      <c r="B184" s="180"/>
      <c r="C184" s="307"/>
      <c r="D184" s="308"/>
      <c r="E184" s="307"/>
      <c r="F184" s="309"/>
      <c r="G184" s="310"/>
      <c r="H184" s="311"/>
      <c r="I184" s="311"/>
      <c r="J184" s="179"/>
    </row>
    <row r="185" spans="1:10" x14ac:dyDescent="0.25">
      <c r="A185" s="66"/>
      <c r="B185" s="64"/>
      <c r="C185" s="190"/>
      <c r="D185" s="67"/>
      <c r="E185" s="190"/>
      <c r="F185" s="191"/>
      <c r="G185" s="192"/>
      <c r="H185" s="68"/>
      <c r="I185" s="68"/>
      <c r="J185" s="119"/>
    </row>
    <row r="186" spans="1:10" ht="46.5" x14ac:dyDescent="0.7">
      <c r="A186" s="385"/>
      <c r="B186" s="386" t="s">
        <v>794</v>
      </c>
      <c r="C186" s="387"/>
      <c r="D186" s="388"/>
      <c r="E186" s="387"/>
      <c r="F186" s="389"/>
      <c r="G186" s="390"/>
      <c r="H186" s="391"/>
      <c r="I186" s="391"/>
      <c r="J186" s="392"/>
    </row>
    <row r="187" spans="1:10" x14ac:dyDescent="0.25">
      <c r="A187" s="64"/>
      <c r="B187" s="64"/>
      <c r="C187" s="193"/>
      <c r="D187" s="67"/>
      <c r="E187" s="193"/>
      <c r="F187" s="64"/>
      <c r="G187" s="64"/>
      <c r="H187" s="64"/>
      <c r="I187" s="64"/>
      <c r="J187" s="64"/>
    </row>
    <row r="188" spans="1:10" ht="16.5" customHeight="1" x14ac:dyDescent="0.25">
      <c r="A188" s="344" t="s">
        <v>0</v>
      </c>
      <c r="B188" s="345" t="s">
        <v>1</v>
      </c>
      <c r="C188" s="346" t="s">
        <v>2</v>
      </c>
      <c r="D188" s="347" t="s">
        <v>3</v>
      </c>
      <c r="E188" s="346" t="s">
        <v>4</v>
      </c>
      <c r="F188" s="346" t="s">
        <v>5</v>
      </c>
      <c r="G188" s="346" t="s">
        <v>6</v>
      </c>
      <c r="H188" s="346" t="s">
        <v>7</v>
      </c>
      <c r="I188" s="346" t="s">
        <v>8</v>
      </c>
      <c r="J188" s="348" t="s">
        <v>9</v>
      </c>
    </row>
    <row r="189" spans="1:10" x14ac:dyDescent="0.25">
      <c r="A189" s="330">
        <v>44531</v>
      </c>
      <c r="B189" s="328">
        <v>110</v>
      </c>
      <c r="C189" s="331">
        <v>11.55</v>
      </c>
      <c r="D189" s="332">
        <v>0.16</v>
      </c>
      <c r="E189" s="331">
        <v>1686.83</v>
      </c>
      <c r="F189" s="331"/>
      <c r="G189" s="333">
        <v>4.62</v>
      </c>
      <c r="H189" s="328"/>
      <c r="I189" s="328"/>
      <c r="J189" s="327">
        <f>Tabla20[[#This Row],[Total]]/Tabla20[[#This Row],[TASA]]</f>
        <v>365.11471861471858</v>
      </c>
    </row>
    <row r="190" spans="1:10" x14ac:dyDescent="0.25">
      <c r="A190" s="339">
        <v>44532</v>
      </c>
      <c r="B190" s="340">
        <v>82</v>
      </c>
      <c r="C190" s="129">
        <v>18.57</v>
      </c>
      <c r="D190" s="341">
        <v>0.16</v>
      </c>
      <c r="E190" s="129">
        <v>1903.81</v>
      </c>
      <c r="F190" s="129"/>
      <c r="G190" s="342">
        <v>4.63</v>
      </c>
      <c r="H190" s="340"/>
      <c r="I190" s="340"/>
      <c r="J190" s="343">
        <f>Tabla20[[#This Row],[Total]]/Tabla20[[#This Row],[TASA]]</f>
        <v>411.19006479481641</v>
      </c>
    </row>
    <row r="191" spans="1:10" x14ac:dyDescent="0.25">
      <c r="A191" s="349">
        <v>44533</v>
      </c>
      <c r="B191" s="350">
        <v>163</v>
      </c>
      <c r="C191" s="351">
        <v>34.47</v>
      </c>
      <c r="D191" s="352">
        <v>0.16</v>
      </c>
      <c r="E191" s="351">
        <f>4403.56</f>
        <v>4403.5600000000004</v>
      </c>
      <c r="F191" s="351"/>
      <c r="G191" s="353">
        <v>4.6500000000000004</v>
      </c>
      <c r="H191" s="350"/>
      <c r="I191" s="350"/>
      <c r="J191" s="354">
        <f>Tabla20[[#This Row],[Total]]/Tabla20[[#This Row],[TASA]]</f>
        <v>947.00215053763441</v>
      </c>
    </row>
    <row r="192" spans="1:10" x14ac:dyDescent="0.25">
      <c r="A192" s="349">
        <v>44534</v>
      </c>
      <c r="B192" s="350">
        <v>184</v>
      </c>
      <c r="C192" s="351">
        <v>18.63</v>
      </c>
      <c r="D192" s="352">
        <v>0.16</v>
      </c>
      <c r="E192" s="351">
        <f>5191.71</f>
        <v>5191.71</v>
      </c>
      <c r="F192" s="351"/>
      <c r="G192" s="353">
        <v>4.6500000000000004</v>
      </c>
      <c r="H192" s="350"/>
      <c r="I192" s="350"/>
      <c r="J192" s="354">
        <f>Tabla20[[#This Row],[Total]]/Tabla20[[#This Row],[TASA]]</f>
        <v>1116.4967741935484</v>
      </c>
    </row>
    <row r="193" spans="1:10" x14ac:dyDescent="0.25">
      <c r="A193" s="349">
        <v>44535</v>
      </c>
      <c r="B193" s="350">
        <v>132</v>
      </c>
      <c r="C193" s="351">
        <v>50.81</v>
      </c>
      <c r="D193" s="352">
        <v>0.16</v>
      </c>
      <c r="E193" s="351">
        <f>3207.13-74.08</f>
        <v>3133.05</v>
      </c>
      <c r="F193" s="351"/>
      <c r="G193" s="353">
        <v>4.6500000000000004</v>
      </c>
      <c r="H193" s="350"/>
      <c r="I193" s="350"/>
      <c r="J193" s="354">
        <f>Tabla20[[#This Row],[Total]]/Tabla20[[#This Row],[TASA]]</f>
        <v>673.77419354838707</v>
      </c>
    </row>
    <row r="194" spans="1:10" x14ac:dyDescent="0.25">
      <c r="A194" s="349">
        <v>44536</v>
      </c>
      <c r="B194" s="350">
        <v>79</v>
      </c>
      <c r="C194" s="351"/>
      <c r="D194" s="352">
        <v>0.16</v>
      </c>
      <c r="E194" s="351">
        <v>1457.78</v>
      </c>
      <c r="F194" s="351"/>
      <c r="G194" s="353">
        <v>4.6500000000000004</v>
      </c>
      <c r="H194" s="350"/>
      <c r="I194" s="350"/>
      <c r="J194" s="354">
        <f>Tabla20[[#This Row],[Total]]/Tabla20[[#This Row],[TASA]]</f>
        <v>313.50107526881715</v>
      </c>
    </row>
    <row r="195" spans="1:10" x14ac:dyDescent="0.25">
      <c r="A195" s="349">
        <v>44537</v>
      </c>
      <c r="B195" s="350">
        <v>94</v>
      </c>
      <c r="C195" s="351">
        <v>23.92</v>
      </c>
      <c r="D195" s="352">
        <v>0.16</v>
      </c>
      <c r="E195" s="351">
        <v>2363.88</v>
      </c>
      <c r="F195" s="351"/>
      <c r="G195" s="353">
        <v>4.6500000000000004</v>
      </c>
      <c r="H195" s="350"/>
      <c r="I195" s="350"/>
      <c r="J195" s="354">
        <f>Tabla20[[#This Row],[Total]]/Tabla20[[#This Row],[TASA]]</f>
        <v>508.36129032258066</v>
      </c>
    </row>
    <row r="196" spans="1:10" x14ac:dyDescent="0.25">
      <c r="A196" s="349">
        <v>44538</v>
      </c>
      <c r="B196" s="350">
        <v>113</v>
      </c>
      <c r="C196" s="351">
        <v>20.58</v>
      </c>
      <c r="D196" s="352">
        <v>0.16</v>
      </c>
      <c r="E196" s="351">
        <v>2662.14</v>
      </c>
      <c r="F196" s="351"/>
      <c r="G196" s="353">
        <v>4.6500000000000004</v>
      </c>
      <c r="H196" s="350"/>
      <c r="I196" s="350"/>
      <c r="J196" s="354">
        <f>Tabla20[[#This Row],[Total]]/Tabla20[[#This Row],[TASA]]</f>
        <v>572.5032258064515</v>
      </c>
    </row>
    <row r="197" spans="1:10" x14ac:dyDescent="0.25">
      <c r="A197" s="349">
        <v>44539</v>
      </c>
      <c r="B197" s="350">
        <v>73</v>
      </c>
      <c r="C197" s="351">
        <v>12.86</v>
      </c>
      <c r="D197" s="352">
        <v>0.16</v>
      </c>
      <c r="E197" s="351">
        <v>1981.27</v>
      </c>
      <c r="F197" s="351"/>
      <c r="G197" s="353">
        <v>4.6500000000000004</v>
      </c>
      <c r="H197" s="350"/>
      <c r="I197" s="350"/>
      <c r="J197" s="354">
        <f>Tabla20[[#This Row],[Total]]/Tabla20[[#This Row],[TASA]]</f>
        <v>426.0795698924731</v>
      </c>
    </row>
    <row r="198" spans="1:10" x14ac:dyDescent="0.25">
      <c r="A198" s="349">
        <v>44540</v>
      </c>
      <c r="B198" s="350">
        <f>214-2</f>
        <v>212</v>
      </c>
      <c r="C198" s="351">
        <v>62.06</v>
      </c>
      <c r="D198" s="352">
        <v>0.16</v>
      </c>
      <c r="E198" s="351">
        <f>6319.82</f>
        <v>6319.82</v>
      </c>
      <c r="F198" s="351"/>
      <c r="G198" s="353">
        <v>4.6399999999999997</v>
      </c>
      <c r="H198" s="350"/>
      <c r="I198" s="350"/>
      <c r="J198" s="354">
        <f>Tabla20[[#This Row],[Total]]/Tabla20[[#This Row],[TASA]]</f>
        <v>1362.030172413793</v>
      </c>
    </row>
    <row r="199" spans="1:10" x14ac:dyDescent="0.25">
      <c r="A199" s="349">
        <v>44541</v>
      </c>
      <c r="B199" s="350">
        <f>197</f>
        <v>197</v>
      </c>
      <c r="C199" s="351">
        <v>41.14</v>
      </c>
      <c r="D199" s="352">
        <v>0.16</v>
      </c>
      <c r="E199" s="351">
        <f>5520.11</f>
        <v>5520.11</v>
      </c>
      <c r="F199" s="351"/>
      <c r="G199" s="353">
        <v>4.6399999999999997</v>
      </c>
      <c r="H199" s="350"/>
      <c r="I199" s="350"/>
      <c r="J199" s="354">
        <f>Tabla20[[#This Row],[Total]]/Tabla20[[#This Row],[TASA]]</f>
        <v>1189.6788793103449</v>
      </c>
    </row>
    <row r="200" spans="1:10" x14ac:dyDescent="0.25">
      <c r="A200" s="349">
        <v>44542</v>
      </c>
      <c r="B200" s="350">
        <v>154</v>
      </c>
      <c r="C200" s="351">
        <v>20.85</v>
      </c>
      <c r="D200" s="352">
        <v>0.16</v>
      </c>
      <c r="E200" s="351">
        <f>3994.14</f>
        <v>3994.14</v>
      </c>
      <c r="F200" s="351"/>
      <c r="G200" s="353">
        <v>4.6399999999999997</v>
      </c>
      <c r="H200" s="350"/>
      <c r="I200" s="350"/>
      <c r="J200" s="354">
        <f>Tabla20[[#This Row],[Total]]/Tabla20[[#This Row],[TASA]]</f>
        <v>860.80603448275861</v>
      </c>
    </row>
    <row r="201" spans="1:10" x14ac:dyDescent="0.25">
      <c r="A201" s="349">
        <v>44543</v>
      </c>
      <c r="B201" s="350">
        <v>90</v>
      </c>
      <c r="C201" s="351">
        <v>33.29</v>
      </c>
      <c r="D201" s="352">
        <v>0.16</v>
      </c>
      <c r="E201" s="351">
        <v>1339.29</v>
      </c>
      <c r="F201" s="351"/>
      <c r="G201" s="353">
        <v>4.6399999999999997</v>
      </c>
      <c r="H201" s="350"/>
      <c r="I201" s="350"/>
      <c r="J201" s="354">
        <f>Tabla20[[#This Row],[Total]]/Tabla20[[#This Row],[TASA]]</f>
        <v>288.64008620689657</v>
      </c>
    </row>
    <row r="202" spans="1:10" x14ac:dyDescent="0.25">
      <c r="A202" s="349">
        <v>44544</v>
      </c>
      <c r="B202" s="350">
        <v>90</v>
      </c>
      <c r="C202" s="351">
        <v>4.84</v>
      </c>
      <c r="D202" s="352">
        <v>0.16</v>
      </c>
      <c r="E202" s="351">
        <v>1896.68</v>
      </c>
      <c r="F202" s="351"/>
      <c r="G202" s="353">
        <v>4.6399999999999997</v>
      </c>
      <c r="H202" s="350"/>
      <c r="I202" s="350"/>
      <c r="J202" s="354">
        <f>Tabla20[[#This Row],[Total]]/Tabla20[[#This Row],[TASA]]</f>
        <v>408.76724137931041</v>
      </c>
    </row>
    <row r="203" spans="1:10" x14ac:dyDescent="0.25">
      <c r="A203" s="349">
        <v>44545</v>
      </c>
      <c r="B203" s="350">
        <v>106</v>
      </c>
      <c r="C203" s="351">
        <v>4.83</v>
      </c>
      <c r="D203" s="352">
        <v>0.16</v>
      </c>
      <c r="E203" s="351">
        <v>2699.53</v>
      </c>
      <c r="F203" s="351"/>
      <c r="G203" s="353">
        <v>4.6399999999999997</v>
      </c>
      <c r="H203" s="350"/>
      <c r="I203" s="350"/>
      <c r="J203" s="354">
        <f>Tabla20[[#This Row],[Total]]/Tabla20[[#This Row],[TASA]]</f>
        <v>581.79525862068976</v>
      </c>
    </row>
    <row r="204" spans="1:10" x14ac:dyDescent="0.25">
      <c r="A204" s="349">
        <v>44546</v>
      </c>
      <c r="B204" s="350">
        <v>121</v>
      </c>
      <c r="C204" s="351">
        <v>36.17</v>
      </c>
      <c r="D204" s="352">
        <v>0.16</v>
      </c>
      <c r="E204" s="351">
        <v>2941.21</v>
      </c>
      <c r="F204" s="351"/>
      <c r="G204" s="353">
        <v>4.6100000000000003</v>
      </c>
      <c r="H204" s="350"/>
      <c r="I204" s="350"/>
      <c r="J204" s="354">
        <f>Tabla20[[#This Row],[Total]]/Tabla20[[#This Row],[TASA]]</f>
        <v>638.00650759219081</v>
      </c>
    </row>
    <row r="205" spans="1:10" x14ac:dyDescent="0.25">
      <c r="A205" s="349">
        <v>44547</v>
      </c>
      <c r="B205" s="350">
        <v>190</v>
      </c>
      <c r="C205" s="351">
        <v>135.51</v>
      </c>
      <c r="D205" s="352">
        <v>0.16</v>
      </c>
      <c r="E205" s="351">
        <v>5695.72</v>
      </c>
      <c r="F205" s="351"/>
      <c r="G205" s="353">
        <v>4.6100000000000003</v>
      </c>
      <c r="H205" s="350"/>
      <c r="I205" s="350"/>
      <c r="J205" s="354">
        <f>Tabla20[[#This Row],[Total]]/Tabla20[[#This Row],[TASA]]</f>
        <v>1235.5140997830802</v>
      </c>
    </row>
    <row r="206" spans="1:10" x14ac:dyDescent="0.25">
      <c r="A206" s="349">
        <v>44548</v>
      </c>
      <c r="B206" s="350">
        <v>189</v>
      </c>
      <c r="C206" s="351">
        <v>23.61</v>
      </c>
      <c r="D206" s="352">
        <v>0.16</v>
      </c>
      <c r="E206" s="351">
        <v>4209.62</v>
      </c>
      <c r="F206" s="351"/>
      <c r="G206" s="353">
        <v>4.62</v>
      </c>
      <c r="H206" s="350"/>
      <c r="I206" s="350"/>
      <c r="J206" s="354">
        <f>Tabla20[[#This Row],[Total]]/Tabla20[[#This Row],[TASA]]</f>
        <v>911.17316017316011</v>
      </c>
    </row>
    <row r="207" spans="1:10" x14ac:dyDescent="0.25">
      <c r="A207" s="349">
        <v>44549</v>
      </c>
      <c r="B207" s="350">
        <v>155</v>
      </c>
      <c r="C207" s="351">
        <v>43.1</v>
      </c>
      <c r="D207" s="352">
        <v>0.16</v>
      </c>
      <c r="E207" s="351">
        <v>4156</v>
      </c>
      <c r="F207" s="351"/>
      <c r="G207" s="353">
        <v>4.62</v>
      </c>
      <c r="H207" s="350"/>
      <c r="I207" s="350"/>
      <c r="J207" s="354">
        <f>Tabla20[[#This Row],[Total]]/Tabla20[[#This Row],[TASA]]</f>
        <v>899.56709956709949</v>
      </c>
    </row>
    <row r="208" spans="1:10" x14ac:dyDescent="0.25">
      <c r="A208" s="349">
        <v>44550</v>
      </c>
      <c r="B208" s="350">
        <v>108</v>
      </c>
      <c r="C208" s="351"/>
      <c r="D208" s="352">
        <v>0.16</v>
      </c>
      <c r="E208" s="351">
        <v>2347.0100000000002</v>
      </c>
      <c r="F208" s="351"/>
      <c r="G208" s="353">
        <v>4.62</v>
      </c>
      <c r="H208" s="350"/>
      <c r="I208" s="350"/>
      <c r="J208" s="354">
        <f>Tabla20[[#This Row],[Total]]/Tabla20[[#This Row],[TASA]]</f>
        <v>508.01082251082255</v>
      </c>
    </row>
    <row r="209" spans="1:10" x14ac:dyDescent="0.25">
      <c r="A209" s="349">
        <v>44551</v>
      </c>
      <c r="B209" s="350">
        <v>78</v>
      </c>
      <c r="C209" s="351">
        <v>12.03</v>
      </c>
      <c r="D209" s="352">
        <v>0.16</v>
      </c>
      <c r="E209" s="351">
        <v>1608.2</v>
      </c>
      <c r="F209" s="351"/>
      <c r="G209" s="353">
        <v>4.62</v>
      </c>
      <c r="H209" s="350"/>
      <c r="I209" s="350"/>
      <c r="J209" s="354">
        <f>Tabla20[[#This Row],[Total]]/Tabla20[[#This Row],[TASA]]</f>
        <v>348.09523809523807</v>
      </c>
    </row>
    <row r="210" spans="1:10" x14ac:dyDescent="0.25">
      <c r="A210" s="349">
        <v>44552</v>
      </c>
      <c r="B210" s="350">
        <v>100</v>
      </c>
      <c r="C210" s="351">
        <v>1.47</v>
      </c>
      <c r="D210" s="352">
        <v>0.16</v>
      </c>
      <c r="E210" s="351">
        <v>2503.0700000000002</v>
      </c>
      <c r="F210" s="351"/>
      <c r="G210" s="353">
        <v>4.5999999999999996</v>
      </c>
      <c r="H210" s="350"/>
      <c r="I210" s="350"/>
      <c r="J210" s="354">
        <f>Tabla20[[#This Row],[Total]]/Tabla20[[#This Row],[TASA]]</f>
        <v>544.14565217391316</v>
      </c>
    </row>
    <row r="211" spans="1:10" x14ac:dyDescent="0.25">
      <c r="A211" s="349">
        <v>44553</v>
      </c>
      <c r="B211" s="350">
        <v>144</v>
      </c>
      <c r="C211" s="351">
        <v>10.06</v>
      </c>
      <c r="D211" s="352">
        <v>0.16</v>
      </c>
      <c r="E211" s="351">
        <v>3794.67</v>
      </c>
      <c r="F211" s="351"/>
      <c r="G211" s="353">
        <v>4.62</v>
      </c>
      <c r="H211" s="350"/>
      <c r="I211" s="350"/>
      <c r="J211" s="354">
        <f>Tabla20[[#This Row],[Total]]/Tabla20[[#This Row],[TASA]]</f>
        <v>821.35714285714289</v>
      </c>
    </row>
    <row r="212" spans="1:10" x14ac:dyDescent="0.25">
      <c r="A212" s="349">
        <v>44554</v>
      </c>
      <c r="B212" s="350">
        <v>112</v>
      </c>
      <c r="C212" s="351"/>
      <c r="D212" s="352">
        <v>0.16</v>
      </c>
      <c r="E212" s="351">
        <v>2681.65</v>
      </c>
      <c r="F212" s="351"/>
      <c r="G212" s="353">
        <v>4.58</v>
      </c>
      <c r="H212" s="350"/>
      <c r="I212" s="350"/>
      <c r="J212" s="354">
        <f>Tabla20[[#This Row],[Total]]/Tabla20[[#This Row],[TASA]]</f>
        <v>585.51310043668127</v>
      </c>
    </row>
    <row r="213" spans="1:10" x14ac:dyDescent="0.25">
      <c r="A213" s="349">
        <v>44555</v>
      </c>
      <c r="B213" s="350">
        <v>160</v>
      </c>
      <c r="C213" s="351">
        <v>2.52</v>
      </c>
      <c r="D213" s="352">
        <v>0.16</v>
      </c>
      <c r="E213" s="351">
        <v>4135.45</v>
      </c>
      <c r="F213" s="351"/>
      <c r="G213" s="353">
        <v>4.58</v>
      </c>
      <c r="H213" s="350"/>
      <c r="I213" s="350"/>
      <c r="J213" s="354">
        <f>Tabla20[[#This Row],[Total]]/Tabla20[[#This Row],[TASA]]</f>
        <v>902.93668122270742</v>
      </c>
    </row>
    <row r="214" spans="1:10" x14ac:dyDescent="0.25">
      <c r="A214" s="349">
        <v>44556</v>
      </c>
      <c r="B214" s="356">
        <v>121</v>
      </c>
      <c r="C214" s="357">
        <v>21.5</v>
      </c>
      <c r="D214" s="358">
        <v>0.16</v>
      </c>
      <c r="E214" s="357">
        <v>3309.74</v>
      </c>
      <c r="F214" s="357"/>
      <c r="G214" s="359">
        <v>4.58</v>
      </c>
      <c r="H214" s="356"/>
      <c r="I214" s="356"/>
      <c r="J214" s="360">
        <f>Tabla20[[#This Row],[Total]]/Tabla20[[#This Row],[TASA]]</f>
        <v>722.65065502183404</v>
      </c>
    </row>
    <row r="215" spans="1:10" x14ac:dyDescent="0.25">
      <c r="A215" s="349">
        <v>44557</v>
      </c>
      <c r="B215" s="350">
        <v>88</v>
      </c>
      <c r="C215" s="351"/>
      <c r="D215" s="352">
        <v>0.16</v>
      </c>
      <c r="E215" s="351">
        <v>1962.16</v>
      </c>
      <c r="F215" s="351"/>
      <c r="G215" s="353">
        <v>4.58</v>
      </c>
      <c r="H215" s="350"/>
      <c r="I215" s="350"/>
      <c r="J215" s="354">
        <f>Tabla20[[#This Row],[Total]]/Tabla20[[#This Row],[TASA]]</f>
        <v>428.41921397379912</v>
      </c>
    </row>
    <row r="216" spans="1:10" x14ac:dyDescent="0.25">
      <c r="A216" s="349">
        <v>44558</v>
      </c>
      <c r="B216" s="350">
        <v>107</v>
      </c>
      <c r="C216" s="351">
        <v>37.75</v>
      </c>
      <c r="D216" s="352">
        <v>0.16</v>
      </c>
      <c r="E216" s="351">
        <v>2796.23</v>
      </c>
      <c r="F216" s="351"/>
      <c r="G216" s="353">
        <v>4.58</v>
      </c>
      <c r="H216" s="350"/>
      <c r="I216" s="350"/>
      <c r="J216" s="354">
        <f>Tabla20[[#This Row],[Total]]/Tabla20[[#This Row],[TASA]]</f>
        <v>610.53056768558952</v>
      </c>
    </row>
    <row r="217" spans="1:10" x14ac:dyDescent="0.25">
      <c r="A217" s="349">
        <v>44559</v>
      </c>
      <c r="B217" s="350">
        <v>104</v>
      </c>
      <c r="C217" s="351">
        <v>6.04</v>
      </c>
      <c r="D217" s="352">
        <v>0.16</v>
      </c>
      <c r="E217" s="351">
        <v>2353.5100000000002</v>
      </c>
      <c r="F217" s="351"/>
      <c r="G217" s="353">
        <v>4.58</v>
      </c>
      <c r="H217" s="350"/>
      <c r="I217" s="350"/>
      <c r="J217" s="354">
        <f>Tabla20[[#This Row],[Total]]/Tabla20[[#This Row],[TASA]]</f>
        <v>513.86681222707432</v>
      </c>
    </row>
    <row r="218" spans="1:10" x14ac:dyDescent="0.25">
      <c r="A218" s="349">
        <v>44560</v>
      </c>
      <c r="B218" s="350">
        <v>172</v>
      </c>
      <c r="C218" s="351">
        <v>19.47</v>
      </c>
      <c r="D218" s="352">
        <v>0.16</v>
      </c>
      <c r="E218" s="351">
        <v>4791.5200000000004</v>
      </c>
      <c r="F218" s="351"/>
      <c r="G218" s="353">
        <v>4.59</v>
      </c>
      <c r="H218" s="350"/>
      <c r="I218" s="350"/>
      <c r="J218" s="354">
        <f>Tabla20[[#This Row],[Total]]/Tabla20[[#This Row],[TASA]]</f>
        <v>1043.9041394335513</v>
      </c>
    </row>
    <row r="219" spans="1:10" x14ac:dyDescent="0.25">
      <c r="A219" s="349">
        <v>44561</v>
      </c>
      <c r="B219" s="350">
        <v>149</v>
      </c>
      <c r="C219" s="351">
        <v>16.010000000000002</v>
      </c>
      <c r="D219" s="352">
        <v>0.16</v>
      </c>
      <c r="E219" s="351">
        <v>3429.78</v>
      </c>
      <c r="F219" s="351"/>
      <c r="G219" s="353">
        <v>4.5999999999999996</v>
      </c>
      <c r="H219" s="350"/>
      <c r="I219" s="350"/>
      <c r="J219" s="354">
        <f>Tabla20[[#This Row],[Total]]/Tabla20[[#This Row],[TASA]]</f>
        <v>745.60434782608706</v>
      </c>
    </row>
    <row r="220" spans="1:10" x14ac:dyDescent="0.25">
      <c r="A220" s="355"/>
      <c r="B220" s="356"/>
      <c r="C220" s="357"/>
      <c r="D220" s="358"/>
      <c r="E220" s="357"/>
      <c r="F220" s="357"/>
      <c r="G220" s="342" t="s">
        <v>795</v>
      </c>
      <c r="H220" s="356" t="s">
        <v>778</v>
      </c>
      <c r="I220" s="356"/>
      <c r="J220" s="360">
        <f>SUM(Tabla20[TOTAL$])</f>
        <v>21485.035975973195</v>
      </c>
    </row>
    <row r="223" spans="1:10" ht="33.75" x14ac:dyDescent="0.5">
      <c r="C223" s="424" t="s">
        <v>807</v>
      </c>
    </row>
    <row r="225" spans="1:10" x14ac:dyDescent="0.25">
      <c r="A225" t="s">
        <v>0</v>
      </c>
      <c r="B225" t="s">
        <v>802</v>
      </c>
      <c r="C225" s="27" t="s">
        <v>2</v>
      </c>
      <c r="D225" s="32" t="s">
        <v>3</v>
      </c>
      <c r="E225" s="27" t="s">
        <v>4</v>
      </c>
      <c r="F225" t="s">
        <v>5</v>
      </c>
      <c r="G225" t="s">
        <v>6</v>
      </c>
      <c r="H225" t="s">
        <v>7</v>
      </c>
      <c r="I225" t="s">
        <v>8</v>
      </c>
      <c r="J225" t="s">
        <v>9</v>
      </c>
    </row>
    <row r="226" spans="1:10" x14ac:dyDescent="0.25">
      <c r="A226" s="195">
        <v>44562</v>
      </c>
      <c r="B226">
        <v>96</v>
      </c>
      <c r="E226" s="27">
        <v>2618.79</v>
      </c>
      <c r="G226">
        <v>4.5999999999999996</v>
      </c>
      <c r="J226" s="118">
        <f>Tabla29[[#This Row],[Total]]/Tabla29[[#This Row],[TASA]]</f>
        <v>569.30217391304348</v>
      </c>
    </row>
    <row r="227" spans="1:10" x14ac:dyDescent="0.25">
      <c r="A227" s="195">
        <v>44563</v>
      </c>
      <c r="B227">
        <v>139</v>
      </c>
      <c r="C227" s="27">
        <v>11.83</v>
      </c>
      <c r="D227" s="32">
        <v>0.16</v>
      </c>
      <c r="E227" s="27">
        <v>3286.53</v>
      </c>
      <c r="G227" s="13">
        <v>4.5999999999999996</v>
      </c>
      <c r="J227" s="118">
        <f>Tabla29[[#This Row],[Total]]/Tabla29[[#This Row],[TASA]]</f>
        <v>714.46304347826094</v>
      </c>
    </row>
    <row r="228" spans="1:10" x14ac:dyDescent="0.25">
      <c r="A228" s="195">
        <v>44564</v>
      </c>
      <c r="B228">
        <v>82</v>
      </c>
      <c r="C228" s="27">
        <v>11.23</v>
      </c>
      <c r="D228" s="32">
        <v>0.16</v>
      </c>
      <c r="E228" s="27">
        <v>1838.59</v>
      </c>
      <c r="G228" s="13">
        <v>4.5999999999999996</v>
      </c>
      <c r="J228" s="118">
        <f>Tabla29[[#This Row],[Total]]/Tabla29[[#This Row],[TASA]]</f>
        <v>399.6934782608696</v>
      </c>
    </row>
    <row r="229" spans="1:10" x14ac:dyDescent="0.25">
      <c r="A229" s="195">
        <v>44565</v>
      </c>
      <c r="B229">
        <v>81</v>
      </c>
      <c r="C229" s="27">
        <v>13.28</v>
      </c>
      <c r="D229" s="32">
        <v>0.16</v>
      </c>
      <c r="E229" s="27">
        <v>1776.79</v>
      </c>
      <c r="G229" s="13">
        <v>4.5999999999999996</v>
      </c>
      <c r="J229" s="118">
        <f>Tabla29[[#This Row],[Total]]/Tabla29[[#This Row],[TASA]]</f>
        <v>386.25869565217391</v>
      </c>
    </row>
    <row r="230" spans="1:10" x14ac:dyDescent="0.25">
      <c r="A230" s="195">
        <v>44566</v>
      </c>
      <c r="B230">
        <v>72</v>
      </c>
      <c r="C230" s="27">
        <v>21.87</v>
      </c>
      <c r="D230" s="32">
        <v>0.16</v>
      </c>
      <c r="E230" s="27">
        <v>1524.93</v>
      </c>
      <c r="G230" s="13">
        <v>4.5999999999999996</v>
      </c>
      <c r="J230" s="118">
        <f>Tabla29[[#This Row],[Total]]/Tabla29[[#This Row],[TASA]]</f>
        <v>331.50652173913045</v>
      </c>
    </row>
    <row r="231" spans="1:10" x14ac:dyDescent="0.25">
      <c r="A231" s="195">
        <v>44567</v>
      </c>
      <c r="B231">
        <v>88</v>
      </c>
      <c r="C231" s="27">
        <v>17.54</v>
      </c>
      <c r="D231" s="32">
        <v>0.16</v>
      </c>
      <c r="E231" s="27">
        <v>2306.66</v>
      </c>
      <c r="G231" s="13">
        <v>4.5999999999999996</v>
      </c>
      <c r="J231" s="118">
        <f>Tabla29[[#This Row],[Total]]/Tabla29[[#This Row],[TASA]]</f>
        <v>501.44782608695652</v>
      </c>
    </row>
    <row r="232" spans="1:10" x14ac:dyDescent="0.25">
      <c r="A232" s="195">
        <v>44568</v>
      </c>
      <c r="B232">
        <v>155</v>
      </c>
      <c r="C232" s="27">
        <v>53.54</v>
      </c>
      <c r="D232" s="32">
        <v>0.16</v>
      </c>
      <c r="E232" s="27">
        <v>3897.63</v>
      </c>
      <c r="G232">
        <v>4.62</v>
      </c>
      <c r="J232" s="118">
        <f>Tabla29[[#This Row],[Total]]/Tabla29[[#This Row],[TASA]]</f>
        <v>843.64285714285711</v>
      </c>
    </row>
    <row r="233" spans="1:10" x14ac:dyDescent="0.25">
      <c r="A233" s="195">
        <v>44569</v>
      </c>
      <c r="B233">
        <v>143</v>
      </c>
      <c r="C233" s="27">
        <v>4.84</v>
      </c>
      <c r="D233" s="32">
        <v>0.16</v>
      </c>
      <c r="E233" s="27">
        <v>3076.41</v>
      </c>
      <c r="G233">
        <v>4.6399999999999997</v>
      </c>
      <c r="J233" s="118">
        <f>Tabla29[[#This Row],[Total]]/Tabla29[[#This Row],[TASA]]</f>
        <v>663.01939655172418</v>
      </c>
    </row>
    <row r="234" spans="1:10" x14ac:dyDescent="0.25">
      <c r="A234" s="195">
        <v>44570</v>
      </c>
      <c r="B234">
        <v>129</v>
      </c>
      <c r="C234" s="27">
        <v>17.78</v>
      </c>
      <c r="D234" s="32">
        <v>0.16</v>
      </c>
      <c r="E234" s="27">
        <v>3546.88</v>
      </c>
      <c r="G234" s="13">
        <v>4.6399999999999997</v>
      </c>
      <c r="J234" s="118">
        <f>Tabla29[[#This Row],[Total]]/Tabla29[[#This Row],[TASA]]</f>
        <v>764.41379310344837</v>
      </c>
    </row>
    <row r="235" spans="1:10" x14ac:dyDescent="0.25">
      <c r="A235" s="195">
        <v>44571</v>
      </c>
      <c r="B235">
        <v>86</v>
      </c>
      <c r="C235" s="27">
        <v>14.22</v>
      </c>
      <c r="D235" s="32">
        <v>0.16</v>
      </c>
      <c r="E235" s="27">
        <v>1664.29</v>
      </c>
      <c r="G235" s="13">
        <v>4.6399999999999997</v>
      </c>
      <c r="J235" s="118">
        <f>Tabla29[[#This Row],[Total]]/Tabla29[[#This Row],[TASA]]</f>
        <v>358.68318965517244</v>
      </c>
    </row>
    <row r="236" spans="1:10" x14ac:dyDescent="0.25">
      <c r="A236" s="195">
        <v>44572</v>
      </c>
      <c r="B236">
        <v>63</v>
      </c>
      <c r="D236" s="32">
        <v>0.16</v>
      </c>
      <c r="E236" s="27">
        <v>1019.36</v>
      </c>
      <c r="G236" s="13">
        <v>4.6399999999999997</v>
      </c>
      <c r="J236" s="118">
        <f>Tabla29[[#This Row],[Total]]/Tabla29[[#This Row],[TASA]]</f>
        <v>219.68965517241381</v>
      </c>
    </row>
    <row r="237" spans="1:10" x14ac:dyDescent="0.25">
      <c r="A237" s="195">
        <v>44573</v>
      </c>
      <c r="B237">
        <v>75</v>
      </c>
      <c r="C237" s="27">
        <v>3.94</v>
      </c>
      <c r="D237" s="32">
        <v>0.16</v>
      </c>
      <c r="E237" s="27">
        <v>1555.89</v>
      </c>
      <c r="G237" s="13">
        <v>4.6399999999999997</v>
      </c>
      <c r="J237" s="118">
        <f>Tabla29[[#This Row],[Total]]/Tabla29[[#This Row],[TASA]]</f>
        <v>335.32112068965523</v>
      </c>
    </row>
    <row r="238" spans="1:10" x14ac:dyDescent="0.25">
      <c r="A238" s="195">
        <v>44574</v>
      </c>
      <c r="B238">
        <v>79</v>
      </c>
      <c r="C238" s="27">
        <v>7.92</v>
      </c>
      <c r="D238" s="32">
        <v>0.16</v>
      </c>
      <c r="E238" s="27">
        <v>1278.32</v>
      </c>
      <c r="G238" s="13">
        <v>4.6399999999999997</v>
      </c>
      <c r="J238" s="118">
        <f>Tabla29[[#This Row],[Total]]/Tabla29[[#This Row],[TASA]]</f>
        <v>275.5</v>
      </c>
    </row>
    <row r="239" spans="1:10" x14ac:dyDescent="0.25">
      <c r="A239" s="195">
        <v>44575</v>
      </c>
      <c r="B239">
        <v>174</v>
      </c>
      <c r="C239" s="27">
        <v>7.25</v>
      </c>
      <c r="D239" s="32">
        <v>0.16</v>
      </c>
      <c r="E239" s="27">
        <v>4348.0200000000004</v>
      </c>
      <c r="G239" s="13">
        <v>4.6399999999999997</v>
      </c>
      <c r="J239" s="118">
        <f>Tabla29[[#This Row],[Total]]/Tabla29[[#This Row],[TASA]]</f>
        <v>937.07327586206907</v>
      </c>
    </row>
    <row r="240" spans="1:10" x14ac:dyDescent="0.25">
      <c r="A240" s="195">
        <v>44576</v>
      </c>
      <c r="B240">
        <v>188</v>
      </c>
      <c r="C240" s="27">
        <v>2.41</v>
      </c>
      <c r="D240" s="32">
        <v>0.16</v>
      </c>
      <c r="E240" s="27">
        <v>3876.69</v>
      </c>
      <c r="G240" s="13">
        <v>4.6399999999999997</v>
      </c>
      <c r="J240" s="118">
        <f>Tabla29[[#This Row],[Total]]/Tabla29[[#This Row],[TASA]]</f>
        <v>835.49353448275872</v>
      </c>
    </row>
    <row r="241" spans="1:10" x14ac:dyDescent="0.25">
      <c r="A241" s="195">
        <v>44577</v>
      </c>
      <c r="B241">
        <v>118</v>
      </c>
      <c r="C241" s="27">
        <v>9.68</v>
      </c>
      <c r="D241" s="32">
        <v>0.16</v>
      </c>
      <c r="E241" s="27">
        <v>2781.38</v>
      </c>
      <c r="G241" s="13">
        <v>4.6399999999999997</v>
      </c>
      <c r="J241" s="118">
        <f>Tabla29[[#This Row],[Total]]/Tabla29[[#This Row],[TASA]]</f>
        <v>599.43534482758628</v>
      </c>
    </row>
    <row r="242" spans="1:10" x14ac:dyDescent="0.25">
      <c r="A242" s="195">
        <v>44578</v>
      </c>
      <c r="B242">
        <v>85</v>
      </c>
      <c r="C242" s="27">
        <v>7.26</v>
      </c>
      <c r="D242" s="32">
        <v>0.16</v>
      </c>
      <c r="E242" s="27">
        <v>1312.7</v>
      </c>
      <c r="G242" s="13">
        <v>4.6399999999999997</v>
      </c>
      <c r="J242" s="118">
        <f>Tabla29[[#This Row],[Total]]/Tabla29[[#This Row],[TASA]]</f>
        <v>282.9094827586207</v>
      </c>
    </row>
    <row r="243" spans="1:10" x14ac:dyDescent="0.25">
      <c r="A243" s="195">
        <v>44579</v>
      </c>
      <c r="B243">
        <v>68</v>
      </c>
      <c r="C243" s="27">
        <v>3.98</v>
      </c>
      <c r="D243" s="32">
        <v>0.16</v>
      </c>
      <c r="E243" s="27">
        <v>1089</v>
      </c>
      <c r="G243" s="13">
        <v>4.6399999999999997</v>
      </c>
      <c r="J243" s="118">
        <f>Tabla29[[#This Row],[Total]]/Tabla29[[#This Row],[TASA]]</f>
        <v>234.69827586206898</v>
      </c>
    </row>
    <row r="244" spans="1:10" x14ac:dyDescent="0.25">
      <c r="A244" s="195">
        <v>44580</v>
      </c>
      <c r="B244">
        <v>69</v>
      </c>
      <c r="C244" s="27">
        <v>0</v>
      </c>
      <c r="D244" s="32">
        <v>0.16</v>
      </c>
      <c r="E244" s="27">
        <v>1556.79</v>
      </c>
      <c r="G244" s="13">
        <v>4.6399999999999997</v>
      </c>
      <c r="J244" s="118">
        <f>Tabla29[[#This Row],[Total]]/Tabla29[[#This Row],[TASA]]</f>
        <v>335.51508620689657</v>
      </c>
    </row>
    <row r="245" spans="1:10" x14ac:dyDescent="0.25">
      <c r="A245" s="195">
        <v>44581</v>
      </c>
      <c r="B245">
        <v>60</v>
      </c>
      <c r="D245" s="32">
        <v>0.16</v>
      </c>
      <c r="E245" s="27">
        <v>1313.28</v>
      </c>
      <c r="G245" s="13">
        <v>4.6399999999999997</v>
      </c>
      <c r="J245" s="118">
        <f>Tabla29[[#This Row],[Total]]/Tabla29[[#This Row],[TASA]]</f>
        <v>283.0344827586207</v>
      </c>
    </row>
    <row r="246" spans="1:10" x14ac:dyDescent="0.25">
      <c r="A246" s="195">
        <v>44582</v>
      </c>
      <c r="B246">
        <v>122</v>
      </c>
      <c r="C246" s="27">
        <v>5.22</v>
      </c>
      <c r="D246" s="32">
        <v>0.16</v>
      </c>
      <c r="E246" s="27">
        <v>3192.61</v>
      </c>
      <c r="G246">
        <v>4.62</v>
      </c>
      <c r="J246" s="118">
        <f>Tabla29[[#This Row],[Total]]/Tabla29[[#This Row],[TASA]]</f>
        <v>691.04112554112555</v>
      </c>
    </row>
    <row r="247" spans="1:10" x14ac:dyDescent="0.25">
      <c r="A247" s="195">
        <v>44583</v>
      </c>
      <c r="B247">
        <v>99</v>
      </c>
      <c r="C247" s="27">
        <v>6.4</v>
      </c>
      <c r="D247" s="32">
        <v>0.16</v>
      </c>
      <c r="E247" s="27">
        <v>2519.0700000000002</v>
      </c>
      <c r="G247" s="13">
        <v>4.62</v>
      </c>
      <c r="J247" s="118">
        <f>Tabla29[[#This Row],[Total]]/Tabla29[[#This Row],[TASA]]</f>
        <v>545.2532467532468</v>
      </c>
    </row>
    <row r="248" spans="1:10" x14ac:dyDescent="0.25">
      <c r="A248" s="195">
        <v>44584</v>
      </c>
      <c r="B248">
        <v>93</v>
      </c>
      <c r="C248" s="27">
        <v>7.62</v>
      </c>
      <c r="D248" s="32">
        <v>0.16</v>
      </c>
      <c r="E248" s="27">
        <v>2389.6999999999998</v>
      </c>
      <c r="G248" s="13">
        <v>4.62</v>
      </c>
      <c r="J248" s="118">
        <f>Tabla29[[#This Row],[Total]]/Tabla29[[#This Row],[TASA]]</f>
        <v>517.25108225108215</v>
      </c>
    </row>
    <row r="249" spans="1:10" x14ac:dyDescent="0.25">
      <c r="A249" s="195">
        <v>44585</v>
      </c>
      <c r="B249">
        <v>64</v>
      </c>
      <c r="D249" s="32">
        <v>0.16</v>
      </c>
      <c r="E249" s="27">
        <v>1438.94</v>
      </c>
      <c r="G249" s="13">
        <v>4.62</v>
      </c>
      <c r="J249" s="118">
        <f>Tabla29[[#This Row],[Total]]/Tabla29[[#This Row],[TASA]]</f>
        <v>311.45887445887445</v>
      </c>
    </row>
    <row r="250" spans="1:10" x14ac:dyDescent="0.25">
      <c r="A250" s="195">
        <v>44586</v>
      </c>
      <c r="B250">
        <v>82</v>
      </c>
      <c r="D250" s="32">
        <v>0.16</v>
      </c>
      <c r="E250" s="27">
        <v>1357.09</v>
      </c>
      <c r="G250">
        <v>4.59</v>
      </c>
      <c r="J250" s="118">
        <f>Tabla29[[#This Row],[Total]]/Tabla29[[#This Row],[TASA]]</f>
        <v>295.6623093681917</v>
      </c>
    </row>
    <row r="251" spans="1:10" x14ac:dyDescent="0.25">
      <c r="A251" s="195">
        <v>44587</v>
      </c>
      <c r="B251">
        <v>36</v>
      </c>
      <c r="D251" s="32">
        <v>0.16</v>
      </c>
      <c r="E251" s="27">
        <v>923.67</v>
      </c>
      <c r="G251" s="13">
        <v>4.59</v>
      </c>
      <c r="J251" s="118">
        <f>Tabla29[[#This Row],[Total]]/Tabla29[[#This Row],[TASA]]</f>
        <v>201.23529411764704</v>
      </c>
    </row>
    <row r="252" spans="1:10" x14ac:dyDescent="0.25">
      <c r="A252" s="195">
        <v>44588</v>
      </c>
      <c r="B252">
        <v>84</v>
      </c>
      <c r="D252" s="32">
        <v>0.16</v>
      </c>
      <c r="E252" s="27">
        <v>1333.44</v>
      </c>
      <c r="G252" s="13">
        <v>4.59</v>
      </c>
      <c r="J252" s="118">
        <f>Tabla29[[#This Row],[Total]]/Tabla29[[#This Row],[TASA]]</f>
        <v>290.50980392156868</v>
      </c>
    </row>
    <row r="253" spans="1:10" x14ac:dyDescent="0.25">
      <c r="A253" s="195">
        <v>44589</v>
      </c>
      <c r="B253">
        <v>123</v>
      </c>
      <c r="D253" s="32">
        <v>0.16</v>
      </c>
      <c r="E253" s="27">
        <v>3614.54</v>
      </c>
      <c r="G253" s="13">
        <v>4.59</v>
      </c>
      <c r="J253" s="118">
        <f>Tabla29[[#This Row],[Total]]/Tabla29[[#This Row],[TASA]]</f>
        <v>787.48148148148152</v>
      </c>
    </row>
    <row r="254" spans="1:10" x14ac:dyDescent="0.25">
      <c r="A254" s="195">
        <v>44590</v>
      </c>
      <c r="B254">
        <v>165</v>
      </c>
      <c r="D254" s="32">
        <v>0.16</v>
      </c>
      <c r="E254" s="27">
        <v>4508.4799999999996</v>
      </c>
      <c r="G254">
        <v>4.55</v>
      </c>
      <c r="J254" s="118">
        <f>Tabla29[[#This Row],[Total]]/Tabla29[[#This Row],[TASA]]</f>
        <v>990.87472527472517</v>
      </c>
    </row>
    <row r="255" spans="1:10" x14ac:dyDescent="0.25">
      <c r="A255" s="195">
        <v>44591</v>
      </c>
      <c r="B255">
        <v>103</v>
      </c>
      <c r="C255" s="27">
        <v>3.98</v>
      </c>
      <c r="D255" s="32">
        <v>0.16</v>
      </c>
      <c r="E255" s="27">
        <v>2318.5700000000002</v>
      </c>
      <c r="G255" s="13">
        <v>4.55</v>
      </c>
      <c r="J255" s="118">
        <f>Tabla29[[#This Row],[Total]]/Tabla29[[#This Row],[TASA]]</f>
        <v>509.57582417582421</v>
      </c>
    </row>
    <row r="256" spans="1:10" x14ac:dyDescent="0.25">
      <c r="A256" s="195">
        <v>44592</v>
      </c>
      <c r="B256">
        <v>83</v>
      </c>
      <c r="C256" s="423"/>
      <c r="D256" s="32">
        <v>0.16</v>
      </c>
      <c r="E256" s="423">
        <v>2063.39</v>
      </c>
      <c r="G256" s="13">
        <v>4.55</v>
      </c>
      <c r="J256" s="118">
        <f>Tabla29[[#This Row],[Total]]/Tabla29[[#This Row],[TASA]]</f>
        <v>453.49230769230769</v>
      </c>
    </row>
    <row r="257" spans="1:10" x14ac:dyDescent="0.25">
      <c r="C257" s="423"/>
      <c r="E257" s="423"/>
      <c r="G257" t="s">
        <v>501</v>
      </c>
      <c r="H257" t="s">
        <v>223</v>
      </c>
      <c r="J257" s="118">
        <f>SUBTOTAL(109,Tabla29[TOTAL$])</f>
        <v>15464.937309240402</v>
      </c>
    </row>
    <row r="259" spans="1:10" x14ac:dyDescent="0.25">
      <c r="C259" s="27" t="s">
        <v>928</v>
      </c>
    </row>
    <row r="261" spans="1:10" x14ac:dyDescent="0.25">
      <c r="A261" s="436" t="s">
        <v>0</v>
      </c>
      <c r="B261" s="436" t="s">
        <v>802</v>
      </c>
      <c r="C261" s="437" t="s">
        <v>2</v>
      </c>
      <c r="D261" s="438" t="s">
        <v>3</v>
      </c>
      <c r="E261" s="437" t="s">
        <v>4</v>
      </c>
      <c r="F261" s="436" t="s">
        <v>5</v>
      </c>
      <c r="G261" s="436" t="s">
        <v>6</v>
      </c>
      <c r="H261" s="436" t="s">
        <v>7</v>
      </c>
      <c r="I261" s="436" t="s">
        <v>8</v>
      </c>
      <c r="J261" s="436" t="s">
        <v>9</v>
      </c>
    </row>
    <row r="262" spans="1:10" x14ac:dyDescent="0.25">
      <c r="A262" s="439">
        <v>44593</v>
      </c>
      <c r="B262" s="430">
        <v>74</v>
      </c>
      <c r="C262" s="431"/>
      <c r="D262" s="432">
        <v>0.16</v>
      </c>
      <c r="E262" s="431">
        <v>2180.54</v>
      </c>
      <c r="F262" s="430"/>
      <c r="G262" s="430">
        <v>4.55</v>
      </c>
      <c r="H262" s="430"/>
      <c r="I262" s="430"/>
      <c r="J262" s="440">
        <f>Tabla30[[#This Row],[Total]]/Tabla30[[#This Row],[TASA]]</f>
        <v>479.23956043956048</v>
      </c>
    </row>
    <row r="263" spans="1:10" x14ac:dyDescent="0.25">
      <c r="A263" s="439">
        <v>44594</v>
      </c>
      <c r="B263" s="433">
        <v>92</v>
      </c>
      <c r="C263" s="434">
        <v>2.37</v>
      </c>
      <c r="D263" s="435">
        <v>0.16</v>
      </c>
      <c r="E263" s="434">
        <v>1948.84</v>
      </c>
      <c r="F263" s="433"/>
      <c r="G263" s="433">
        <v>4.53</v>
      </c>
      <c r="H263" s="433"/>
      <c r="I263" s="433"/>
      <c r="J263" s="441">
        <f>Tabla30[[#This Row],[Total]]/Tabla30[[#This Row],[TASA]]</f>
        <v>430.20750551876375</v>
      </c>
    </row>
    <row r="264" spans="1:10" x14ac:dyDescent="0.25">
      <c r="A264" s="439">
        <v>44595</v>
      </c>
      <c r="B264" s="430">
        <v>70</v>
      </c>
      <c r="C264" s="431"/>
      <c r="D264" s="432">
        <v>0.16</v>
      </c>
      <c r="E264" s="431">
        <v>2103.8200000000002</v>
      </c>
      <c r="F264" s="430"/>
      <c r="G264" s="430">
        <v>4.53</v>
      </c>
      <c r="H264" s="430"/>
      <c r="I264" s="430"/>
      <c r="J264" s="440">
        <f>Tabla30[[#This Row],[Total]]/Tabla30[[#This Row],[TASA]]</f>
        <v>464.41942604856513</v>
      </c>
    </row>
    <row r="265" spans="1:10" x14ac:dyDescent="0.25">
      <c r="A265" s="439">
        <v>44596</v>
      </c>
      <c r="B265" s="433">
        <v>181</v>
      </c>
      <c r="C265" s="434">
        <v>15.45</v>
      </c>
      <c r="D265" s="435">
        <v>0.16</v>
      </c>
      <c r="E265" s="434">
        <v>5635.27</v>
      </c>
      <c r="F265" s="433"/>
      <c r="G265" s="433">
        <v>4.53</v>
      </c>
      <c r="H265" s="433"/>
      <c r="I265" s="433"/>
      <c r="J265" s="441">
        <f>Tabla30[[#This Row],[Total]]/Tabla30[[#This Row],[TASA]]</f>
        <v>1243.9889624724062</v>
      </c>
    </row>
    <row r="266" spans="1:10" x14ac:dyDescent="0.25">
      <c r="A266" s="439">
        <v>44597</v>
      </c>
      <c r="B266" s="430">
        <v>214</v>
      </c>
      <c r="C266" s="431">
        <v>11.85</v>
      </c>
      <c r="D266" s="432">
        <v>0.16</v>
      </c>
      <c r="E266" s="431">
        <v>5987.94</v>
      </c>
      <c r="F266" s="430"/>
      <c r="G266" s="430">
        <v>4.53</v>
      </c>
      <c r="H266" s="430"/>
      <c r="I266" s="430"/>
      <c r="J266" s="440">
        <f>Tabla30[[#This Row],[Total]]/Tabla30[[#This Row],[TASA]]</f>
        <v>1321.8410596026488</v>
      </c>
    </row>
    <row r="267" spans="1:10" x14ac:dyDescent="0.25">
      <c r="A267" s="439">
        <v>44598</v>
      </c>
      <c r="B267" s="433">
        <v>148</v>
      </c>
      <c r="C267" s="434"/>
      <c r="D267" s="435">
        <v>0.16</v>
      </c>
      <c r="E267" s="434">
        <v>4031.58</v>
      </c>
      <c r="F267" s="433"/>
      <c r="G267" s="433">
        <v>4.53</v>
      </c>
      <c r="H267" s="433"/>
      <c r="I267" s="433"/>
      <c r="J267" s="441">
        <f>Tabla30[[#This Row],[Total]]/Tabla30[[#This Row],[TASA]]</f>
        <v>889.97350993377472</v>
      </c>
    </row>
    <row r="268" spans="1:10" x14ac:dyDescent="0.25">
      <c r="A268" s="439">
        <v>44599</v>
      </c>
      <c r="B268" s="430">
        <v>57</v>
      </c>
      <c r="C268" s="431"/>
      <c r="D268" s="432">
        <v>0.16</v>
      </c>
      <c r="E268" s="431">
        <v>1482.73</v>
      </c>
      <c r="F268" s="430"/>
      <c r="G268" s="430">
        <v>4.53</v>
      </c>
      <c r="H268" s="430"/>
      <c r="I268" s="430"/>
      <c r="J268" s="440">
        <f>Tabla30[[#This Row],[Total]]/Tabla30[[#This Row],[TASA]]</f>
        <v>327.31346578366447</v>
      </c>
    </row>
    <row r="269" spans="1:10" x14ac:dyDescent="0.25">
      <c r="A269" s="439">
        <v>44600</v>
      </c>
      <c r="B269" s="433">
        <v>55</v>
      </c>
      <c r="C269" s="434">
        <v>23.02</v>
      </c>
      <c r="D269" s="435">
        <v>0.16</v>
      </c>
      <c r="E269" s="434">
        <v>1279.8599999999999</v>
      </c>
      <c r="F269" s="433"/>
      <c r="G269" s="433">
        <v>4.5199999999999996</v>
      </c>
      <c r="H269" s="433"/>
      <c r="I269" s="433"/>
      <c r="J269" s="441">
        <f>Tabla30[[#This Row],[Total]]/Tabla30[[#This Row],[TASA]]</f>
        <v>283.15486725663715</v>
      </c>
    </row>
    <row r="270" spans="1:10" x14ac:dyDescent="0.25">
      <c r="A270" s="439">
        <v>44601</v>
      </c>
      <c r="B270" s="430">
        <v>62</v>
      </c>
      <c r="C270" s="431">
        <v>2.37</v>
      </c>
      <c r="D270" s="432">
        <v>0.16</v>
      </c>
      <c r="E270" s="431">
        <v>1543.63</v>
      </c>
      <c r="F270" s="430"/>
      <c r="G270" s="430">
        <v>4.5199999999999996</v>
      </c>
      <c r="H270" s="430"/>
      <c r="I270" s="430"/>
      <c r="J270" s="440">
        <f>Tabla30[[#This Row],[Total]]/Tabla30[[#This Row],[TASA]]</f>
        <v>341.51106194690271</v>
      </c>
    </row>
    <row r="271" spans="1:10" x14ac:dyDescent="0.25">
      <c r="A271" s="439">
        <v>44602</v>
      </c>
      <c r="B271" s="433">
        <v>71</v>
      </c>
      <c r="C271" s="434">
        <v>6.35</v>
      </c>
      <c r="D271" s="435">
        <v>0.16</v>
      </c>
      <c r="E271" s="434">
        <v>1262.1300000000001</v>
      </c>
      <c r="F271" s="433"/>
      <c r="G271" s="433">
        <v>4.5</v>
      </c>
      <c r="H271" s="433"/>
      <c r="I271" s="433"/>
      <c r="J271" s="441">
        <f>Tabla30[[#This Row],[Total]]/Tabla30[[#This Row],[TASA]]</f>
        <v>280.47333333333336</v>
      </c>
    </row>
    <row r="272" spans="1:10" x14ac:dyDescent="0.25">
      <c r="A272" s="439">
        <v>44603</v>
      </c>
      <c r="B272" s="430">
        <v>151</v>
      </c>
      <c r="C272" s="431">
        <v>2.42</v>
      </c>
      <c r="D272" s="432">
        <v>0.16</v>
      </c>
      <c r="E272" s="431">
        <v>5031.7</v>
      </c>
      <c r="F272" s="430"/>
      <c r="G272" s="430">
        <v>4.4800000000000004</v>
      </c>
      <c r="H272" s="430"/>
      <c r="I272" s="430"/>
      <c r="J272" s="440">
        <f>Tabla30[[#This Row],[Total]]/Tabla30[[#This Row],[TASA]]</f>
        <v>1123.1473214285713</v>
      </c>
    </row>
    <row r="273" spans="1:10" x14ac:dyDescent="0.25">
      <c r="A273" s="439">
        <v>44604</v>
      </c>
      <c r="B273" s="433">
        <v>177</v>
      </c>
      <c r="C273" s="434">
        <v>188.87</v>
      </c>
      <c r="D273" s="435">
        <v>0.16</v>
      </c>
      <c r="E273" s="434">
        <v>5348.64</v>
      </c>
      <c r="F273" s="433"/>
      <c r="G273" s="433">
        <v>4.4800000000000004</v>
      </c>
      <c r="H273" s="433"/>
      <c r="I273" s="433"/>
      <c r="J273" s="441">
        <f>Tabla30[[#This Row],[Total]]/Tabla30[[#This Row],[TASA]]</f>
        <v>1193.8928571428571</v>
      </c>
    </row>
    <row r="274" spans="1:10" x14ac:dyDescent="0.25">
      <c r="A274" s="439">
        <v>44605</v>
      </c>
      <c r="B274" s="430">
        <v>161</v>
      </c>
      <c r="C274" s="431"/>
      <c r="D274" s="432">
        <v>0.16</v>
      </c>
      <c r="E274" s="431">
        <v>4516.62</v>
      </c>
      <c r="F274" s="430"/>
      <c r="G274" s="430">
        <v>4.4800000000000004</v>
      </c>
      <c r="H274" s="430"/>
      <c r="I274" s="430"/>
      <c r="J274" s="440">
        <f>Tabla30[[#This Row],[Total]]/Tabla30[[#This Row],[TASA]]</f>
        <v>1008.174107142857</v>
      </c>
    </row>
    <row r="275" spans="1:10" x14ac:dyDescent="0.25">
      <c r="A275" s="439">
        <v>44606</v>
      </c>
      <c r="B275" s="433">
        <v>230</v>
      </c>
      <c r="C275" s="434">
        <v>34.03</v>
      </c>
      <c r="D275" s="435">
        <v>0.16</v>
      </c>
      <c r="E275" s="434">
        <v>7869.54</v>
      </c>
      <c r="F275" s="433"/>
      <c r="G275" s="433">
        <v>4.4800000000000004</v>
      </c>
      <c r="H275" s="433"/>
      <c r="I275" s="433"/>
      <c r="J275" s="441">
        <f>Tabla30[[#This Row],[Total]]/Tabla30[[#This Row],[TASA]]</f>
        <v>1756.5937499999998</v>
      </c>
    </row>
    <row r="276" spans="1:10" x14ac:dyDescent="0.25">
      <c r="A276" s="439">
        <v>44607</v>
      </c>
      <c r="B276" s="430">
        <v>88</v>
      </c>
      <c r="C276" s="431">
        <v>2.42</v>
      </c>
      <c r="D276" s="432">
        <v>0.16</v>
      </c>
      <c r="E276" s="431">
        <v>1940.87</v>
      </c>
      <c r="F276" s="430"/>
      <c r="G276" s="430">
        <v>4.45</v>
      </c>
      <c r="H276" s="430"/>
      <c r="I276" s="430"/>
      <c r="J276" s="440">
        <f>Tabla30[[#This Row],[Total]]/Tabla30[[#This Row],[TASA]]</f>
        <v>436.15056179775274</v>
      </c>
    </row>
    <row r="277" spans="1:10" x14ac:dyDescent="0.25">
      <c r="A277" s="439">
        <v>44608</v>
      </c>
      <c r="B277" s="433">
        <v>89</v>
      </c>
      <c r="C277" s="434">
        <v>10.02</v>
      </c>
      <c r="D277" s="435">
        <v>0.16</v>
      </c>
      <c r="E277" s="434">
        <v>1938.67</v>
      </c>
      <c r="F277" s="433"/>
      <c r="G277" s="433">
        <v>4.45</v>
      </c>
      <c r="H277" s="433"/>
      <c r="I277" s="433"/>
      <c r="J277" s="441">
        <f>Tabla30[[#This Row],[Total]]/Tabla30[[#This Row],[TASA]]</f>
        <v>435.65617977528092</v>
      </c>
    </row>
    <row r="278" spans="1:10" x14ac:dyDescent="0.25">
      <c r="A278" s="439">
        <v>44609</v>
      </c>
      <c r="B278" s="430">
        <v>84</v>
      </c>
      <c r="C278" s="431"/>
      <c r="D278" s="432">
        <v>0.16</v>
      </c>
      <c r="E278" s="431">
        <v>2020.32</v>
      </c>
      <c r="F278" s="430"/>
      <c r="G278" s="430">
        <v>4.45</v>
      </c>
      <c r="H278" s="430"/>
      <c r="I278" s="430"/>
      <c r="J278" s="440">
        <f>Tabla30[[#This Row],[Total]]/Tabla30[[#This Row],[TASA]]</f>
        <v>454.00449438202241</v>
      </c>
    </row>
    <row r="279" spans="1:10" x14ac:dyDescent="0.25">
      <c r="A279" s="439">
        <v>44610</v>
      </c>
      <c r="B279" s="433">
        <v>164</v>
      </c>
      <c r="C279" s="434">
        <v>14.07</v>
      </c>
      <c r="D279" s="435">
        <v>0.16</v>
      </c>
      <c r="E279" s="434">
        <v>4845.91</v>
      </c>
      <c r="F279" s="433"/>
      <c r="G279" s="433">
        <v>4.45</v>
      </c>
      <c r="H279" s="433"/>
      <c r="I279" s="433"/>
      <c r="J279" s="441">
        <f>Tabla30[[#This Row],[Total]]/Tabla30[[#This Row],[TASA]]</f>
        <v>1088.9685393258426</v>
      </c>
    </row>
    <row r="280" spans="1:10" x14ac:dyDescent="0.25">
      <c r="A280" s="439">
        <v>44611</v>
      </c>
      <c r="B280" s="430">
        <v>187</v>
      </c>
      <c r="C280" s="431">
        <v>8.06</v>
      </c>
      <c r="D280" s="432">
        <v>0.16</v>
      </c>
      <c r="E280" s="431">
        <v>5798.82</v>
      </c>
      <c r="F280" s="430"/>
      <c r="G280" s="430">
        <v>4.43</v>
      </c>
      <c r="H280" s="430"/>
      <c r="I280" s="430"/>
      <c r="J280" s="440">
        <f>Tabla30[[#This Row],[Total]]/Tabla30[[#This Row],[TASA]]</f>
        <v>1308.9887133182845</v>
      </c>
    </row>
    <row r="281" spans="1:10" x14ac:dyDescent="0.25">
      <c r="A281" s="439">
        <v>44612</v>
      </c>
      <c r="B281" s="433">
        <v>183</v>
      </c>
      <c r="C281" s="434"/>
      <c r="D281" s="435">
        <v>0.16</v>
      </c>
      <c r="E281" s="434">
        <v>5127.67</v>
      </c>
      <c r="F281" s="433"/>
      <c r="G281" s="433">
        <v>4.43</v>
      </c>
      <c r="H281" s="433"/>
      <c r="I281" s="433"/>
      <c r="J281" s="441">
        <f>Tabla30[[#This Row],[Total]]/Tabla30[[#This Row],[TASA]]</f>
        <v>1157.4875846501129</v>
      </c>
    </row>
    <row r="282" spans="1:10" x14ac:dyDescent="0.25">
      <c r="A282" s="439">
        <v>44613</v>
      </c>
      <c r="B282" s="430">
        <v>49</v>
      </c>
      <c r="C282" s="431"/>
      <c r="D282" s="432">
        <v>0.16</v>
      </c>
      <c r="E282" s="431">
        <v>992.38</v>
      </c>
      <c r="F282" s="430"/>
      <c r="G282" s="430">
        <v>4.43</v>
      </c>
      <c r="H282" s="430"/>
      <c r="I282" s="430"/>
      <c r="J282" s="440">
        <f>Tabla30[[#This Row],[Total]]/Tabla30[[#This Row],[TASA]]</f>
        <v>224.0135440180587</v>
      </c>
    </row>
    <row r="283" spans="1:10" x14ac:dyDescent="0.25">
      <c r="A283" s="439">
        <v>44614</v>
      </c>
      <c r="B283" s="433">
        <v>58</v>
      </c>
      <c r="C283" s="434">
        <v>4.66</v>
      </c>
      <c r="D283" s="435">
        <v>0.16</v>
      </c>
      <c r="E283" s="434">
        <v>1677.1</v>
      </c>
      <c r="F283" s="433"/>
      <c r="G283" s="433">
        <v>4.43</v>
      </c>
      <c r="H283" s="433"/>
      <c r="I283" s="433"/>
      <c r="J283" s="441">
        <f>Tabla30[[#This Row],[Total]]/Tabla30[[#This Row],[TASA]]</f>
        <v>378.57787810383746</v>
      </c>
    </row>
    <row r="284" spans="1:10" x14ac:dyDescent="0.25">
      <c r="A284" s="439">
        <v>44615</v>
      </c>
      <c r="B284" s="430">
        <v>56</v>
      </c>
      <c r="C284" s="431">
        <v>6.8</v>
      </c>
      <c r="D284" s="432">
        <v>0.16</v>
      </c>
      <c r="E284" s="431">
        <v>1851.82</v>
      </c>
      <c r="F284" s="430"/>
      <c r="G284" s="430">
        <v>4.43</v>
      </c>
      <c r="H284" s="430"/>
      <c r="I284" s="430"/>
      <c r="J284" s="440">
        <f>Tabla30[[#This Row],[Total]]/Tabla30[[#This Row],[TASA]]</f>
        <v>418.01805869074491</v>
      </c>
    </row>
    <row r="285" spans="1:10" x14ac:dyDescent="0.25">
      <c r="A285" s="439">
        <v>44616</v>
      </c>
      <c r="B285" s="433">
        <v>73</v>
      </c>
      <c r="C285" s="434">
        <v>16.18</v>
      </c>
      <c r="D285" s="435">
        <v>0.16</v>
      </c>
      <c r="E285" s="434">
        <v>1835.02</v>
      </c>
      <c r="F285" s="433"/>
      <c r="G285" s="433">
        <v>4.4000000000000004</v>
      </c>
      <c r="H285" s="433"/>
      <c r="I285" s="433"/>
      <c r="J285" s="441">
        <f>Tabla30[[#This Row],[Total]]/Tabla30[[#This Row],[TASA]]</f>
        <v>417.04999999999995</v>
      </c>
    </row>
    <row r="286" spans="1:10" x14ac:dyDescent="0.25">
      <c r="A286" s="439">
        <v>44617</v>
      </c>
      <c r="B286" s="430">
        <v>181</v>
      </c>
      <c r="C286" s="431">
        <v>5.73</v>
      </c>
      <c r="D286" s="432">
        <v>0.16</v>
      </c>
      <c r="E286" s="431">
        <v>5717.79</v>
      </c>
      <c r="F286" s="430"/>
      <c r="G286" s="430">
        <v>4.4000000000000004</v>
      </c>
      <c r="H286" s="430"/>
      <c r="I286" s="430"/>
      <c r="J286" s="440">
        <f>Tabla30[[#This Row],[Total]]/Tabla30[[#This Row],[TASA]]</f>
        <v>1299.4977272727272</v>
      </c>
    </row>
    <row r="287" spans="1:10" x14ac:dyDescent="0.25">
      <c r="A287" s="439">
        <v>44618</v>
      </c>
      <c r="B287" s="433">
        <v>206</v>
      </c>
      <c r="C287" s="434">
        <v>11.93</v>
      </c>
      <c r="D287" s="435">
        <v>0.16</v>
      </c>
      <c r="E287" s="434">
        <v>5574.44</v>
      </c>
      <c r="F287" s="433"/>
      <c r="G287" s="433">
        <v>4.4000000000000004</v>
      </c>
      <c r="H287" s="433"/>
      <c r="I287" s="433"/>
      <c r="J287" s="441">
        <f>Tabla30[[#This Row],[Total]]/Tabla30[[#This Row],[TASA]]</f>
        <v>1266.9181818181817</v>
      </c>
    </row>
    <row r="288" spans="1:10" x14ac:dyDescent="0.25">
      <c r="A288" s="439">
        <v>44619</v>
      </c>
      <c r="B288" s="430">
        <v>189</v>
      </c>
      <c r="C288" s="431">
        <v>3.84</v>
      </c>
      <c r="D288" s="432">
        <v>0.16</v>
      </c>
      <c r="E288" s="431">
        <v>5987.57</v>
      </c>
      <c r="F288" s="430"/>
      <c r="G288" s="430">
        <v>4.4000000000000004</v>
      </c>
      <c r="H288" s="430"/>
      <c r="I288" s="430"/>
      <c r="J288" s="440">
        <f>Tabla30[[#This Row],[Total]]/Tabla30[[#This Row],[TASA]]</f>
        <v>1360.8113636363635</v>
      </c>
    </row>
    <row r="289" spans="1:11" x14ac:dyDescent="0.25">
      <c r="A289" s="439">
        <v>44620</v>
      </c>
      <c r="B289" s="433">
        <v>214</v>
      </c>
      <c r="C289" s="434">
        <v>34.590000000000003</v>
      </c>
      <c r="D289" s="435">
        <v>0.16</v>
      </c>
      <c r="E289" s="434">
        <v>7464.58</v>
      </c>
      <c r="F289" s="433"/>
      <c r="G289" s="433">
        <v>4.4000000000000004</v>
      </c>
      <c r="H289" s="433"/>
      <c r="I289" s="433"/>
      <c r="J289" s="441">
        <f>Tabla30[[#This Row],[Total]]/Tabla30[[#This Row],[TASA]]</f>
        <v>1696.4954545454543</v>
      </c>
    </row>
    <row r="290" spans="1:11" x14ac:dyDescent="0.25">
      <c r="A290" s="445"/>
      <c r="B290" s="446"/>
      <c r="C290" s="447"/>
      <c r="D290" s="448"/>
      <c r="E290" s="447"/>
      <c r="F290" s="446"/>
      <c r="G290" s="446"/>
      <c r="H290" s="446" t="s">
        <v>501</v>
      </c>
      <c r="I290" s="446"/>
      <c r="J290" s="449">
        <f>SUM(J262:J289)</f>
        <v>23086.569069385201</v>
      </c>
    </row>
    <row r="294" spans="1:11" x14ac:dyDescent="0.25">
      <c r="K294" s="118"/>
    </row>
    <row r="295" spans="1:11" x14ac:dyDescent="0.25">
      <c r="A295" t="s">
        <v>0</v>
      </c>
      <c r="B295" t="s">
        <v>802</v>
      </c>
      <c r="C295" s="27" t="s">
        <v>2</v>
      </c>
      <c r="D295" s="32" t="s">
        <v>3</v>
      </c>
      <c r="E295" s="27" t="s">
        <v>4</v>
      </c>
      <c r="F295" t="s">
        <v>5</v>
      </c>
      <c r="G295" t="s">
        <v>6</v>
      </c>
      <c r="H295" t="s">
        <v>7</v>
      </c>
      <c r="I295" t="s">
        <v>8</v>
      </c>
      <c r="J295" t="s">
        <v>9</v>
      </c>
    </row>
    <row r="296" spans="1:11" x14ac:dyDescent="0.25">
      <c r="A296" s="195">
        <v>44621</v>
      </c>
      <c r="B296">
        <v>150</v>
      </c>
      <c r="C296" s="27">
        <v>3.84</v>
      </c>
      <c r="D296" s="32">
        <v>0.16</v>
      </c>
      <c r="E296" s="27">
        <v>4410.49</v>
      </c>
      <c r="G296" s="116">
        <v>4.4000000000000004</v>
      </c>
      <c r="J296" s="118">
        <f>+Tabla36[[#This Row],[Total]]/Tabla36[[#This Row],[TASA]]</f>
        <v>1002.3840909090908</v>
      </c>
    </row>
    <row r="297" spans="1:11" x14ac:dyDescent="0.25">
      <c r="A297" s="195">
        <v>44622</v>
      </c>
      <c r="B297">
        <v>59</v>
      </c>
      <c r="C297" s="27">
        <v>27.97</v>
      </c>
      <c r="D297" s="32">
        <v>0.16</v>
      </c>
      <c r="E297" s="27">
        <v>1433.2</v>
      </c>
      <c r="G297" s="116">
        <v>4.4000000000000004</v>
      </c>
      <c r="J297" s="118">
        <f>+Tabla36[[#This Row],[Total]]/Tabla36[[#This Row],[TASA]]</f>
        <v>325.72727272727269</v>
      </c>
    </row>
    <row r="298" spans="1:11" x14ac:dyDescent="0.25">
      <c r="A298" s="195">
        <v>44623</v>
      </c>
      <c r="B298" s="13">
        <v>80</v>
      </c>
      <c r="C298" s="27">
        <v>15.91</v>
      </c>
      <c r="D298" s="32">
        <v>0.16</v>
      </c>
      <c r="E298" s="27">
        <v>2085.5500000000002</v>
      </c>
      <c r="F298" s="13"/>
      <c r="G298" s="116">
        <v>4.38</v>
      </c>
      <c r="H298" s="13"/>
      <c r="I298" s="13"/>
      <c r="J298" s="118">
        <f>+Tabla36[[#This Row],[Total]]/Tabla36[[#This Row],[TASA]]</f>
        <v>476.15296803652973</v>
      </c>
    </row>
    <row r="299" spans="1:11" x14ac:dyDescent="0.25">
      <c r="A299" s="195">
        <v>44624</v>
      </c>
      <c r="B299" s="13">
        <v>123</v>
      </c>
      <c r="C299" s="27">
        <v>2.2799999999999998</v>
      </c>
      <c r="D299" s="32">
        <v>0.16</v>
      </c>
      <c r="E299" s="27">
        <v>4003.13</v>
      </c>
      <c r="F299" s="13"/>
      <c r="G299" s="116">
        <v>4.38</v>
      </c>
      <c r="H299" s="13"/>
      <c r="I299" s="13"/>
      <c r="J299" s="118">
        <f>+Tabla36[[#This Row],[Total]]/Tabla36[[#This Row],[TASA]]</f>
        <v>913.95662100456627</v>
      </c>
    </row>
    <row r="300" spans="1:11" x14ac:dyDescent="0.25">
      <c r="A300" s="195">
        <v>44625</v>
      </c>
      <c r="B300" s="13">
        <v>138</v>
      </c>
      <c r="D300" s="32">
        <v>0.16</v>
      </c>
      <c r="E300" s="27">
        <v>5642</v>
      </c>
      <c r="F300" s="13"/>
      <c r="G300" s="116">
        <v>4.38</v>
      </c>
      <c r="H300" s="13"/>
      <c r="I300" s="13"/>
      <c r="J300" s="118">
        <f>+Tabla36[[#This Row],[Total]]/Tabla36[[#This Row],[TASA]]</f>
        <v>1288.1278538812785</v>
      </c>
    </row>
    <row r="301" spans="1:11" x14ac:dyDescent="0.25">
      <c r="A301" s="195">
        <v>44626</v>
      </c>
      <c r="B301" s="13">
        <v>108</v>
      </c>
      <c r="C301" s="27">
        <v>22.14</v>
      </c>
      <c r="D301" s="32">
        <v>0.16</v>
      </c>
      <c r="E301" s="27">
        <v>2954.3</v>
      </c>
      <c r="F301" s="13"/>
      <c r="G301" s="116">
        <v>4.34</v>
      </c>
      <c r="H301" s="13"/>
      <c r="I301" s="13"/>
      <c r="J301" s="118">
        <f>+Tabla36[[#This Row],[Total]]/Tabla36[[#This Row],[TASA]]</f>
        <v>680.71428571428578</v>
      </c>
    </row>
    <row r="302" spans="1:11" x14ac:dyDescent="0.25">
      <c r="A302" s="195">
        <v>44627</v>
      </c>
      <c r="B302" s="13">
        <v>38</v>
      </c>
      <c r="C302" s="27">
        <v>10.73</v>
      </c>
      <c r="D302" s="32">
        <v>0.16</v>
      </c>
      <c r="E302" s="27">
        <v>749.26</v>
      </c>
      <c r="F302" s="13"/>
      <c r="G302" s="116">
        <v>4.34</v>
      </c>
      <c r="H302" s="13"/>
      <c r="I302" s="13"/>
      <c r="J302" s="118">
        <f>+Tabla36[[#This Row],[Total]]/Tabla36[[#This Row],[TASA]]</f>
        <v>172.64055299539172</v>
      </c>
    </row>
    <row r="303" spans="1:11" x14ac:dyDescent="0.25">
      <c r="A303" s="195">
        <v>44628</v>
      </c>
      <c r="B303" s="13">
        <v>68</v>
      </c>
      <c r="C303" s="27">
        <v>17</v>
      </c>
      <c r="D303" s="32">
        <v>0.16</v>
      </c>
      <c r="E303" s="27">
        <v>1497.4</v>
      </c>
      <c r="F303" s="13"/>
      <c r="G303" s="116">
        <v>4.34</v>
      </c>
      <c r="H303" s="13"/>
      <c r="I303" s="13"/>
      <c r="J303" s="118">
        <f>+Tabla36[[#This Row],[Total]]/Tabla36[[#This Row],[TASA]]</f>
        <v>345.02304147465441</v>
      </c>
    </row>
    <row r="304" spans="1:11" x14ac:dyDescent="0.25">
      <c r="A304" s="195">
        <v>44629</v>
      </c>
      <c r="B304" s="13">
        <v>74</v>
      </c>
      <c r="C304" s="27">
        <v>7.68</v>
      </c>
      <c r="D304" s="32">
        <v>0.16</v>
      </c>
      <c r="E304" s="27">
        <v>1797.26</v>
      </c>
      <c r="F304" s="13"/>
      <c r="G304" s="116">
        <v>4.34</v>
      </c>
      <c r="H304" s="13"/>
      <c r="I304" s="13"/>
      <c r="J304" s="118">
        <f>+Tabla36[[#This Row],[Total]]/Tabla36[[#This Row],[TASA]]</f>
        <v>414.11520737327191</v>
      </c>
    </row>
    <row r="305" spans="1:14" x14ac:dyDescent="0.25">
      <c r="A305" s="195">
        <v>44630</v>
      </c>
      <c r="B305" s="13">
        <v>76</v>
      </c>
      <c r="C305" s="27">
        <v>2.2799999999999998</v>
      </c>
      <c r="D305" s="32">
        <v>0.16</v>
      </c>
      <c r="E305" s="27">
        <v>1960.12</v>
      </c>
      <c r="F305" s="13"/>
      <c r="G305" s="116">
        <v>4.34</v>
      </c>
      <c r="H305" s="13"/>
      <c r="I305" s="13"/>
      <c r="J305" s="118">
        <f>+Tabla36[[#This Row],[Total]]/Tabla36[[#This Row],[TASA]]</f>
        <v>451.64055299539172</v>
      </c>
      <c r="N305">
        <f>4.41/1</f>
        <v>4.41</v>
      </c>
    </row>
    <row r="306" spans="1:14" x14ac:dyDescent="0.25">
      <c r="A306" s="195">
        <v>44631</v>
      </c>
      <c r="B306" s="13">
        <v>168</v>
      </c>
      <c r="C306" s="27">
        <v>22.14</v>
      </c>
      <c r="D306" s="32">
        <v>0.16</v>
      </c>
      <c r="E306" s="27">
        <v>5744.12</v>
      </c>
      <c r="F306" s="13"/>
      <c r="G306" s="116">
        <v>4.34</v>
      </c>
      <c r="H306" s="13"/>
      <c r="I306" s="13"/>
      <c r="J306" s="118">
        <f>+Tabla36[[#This Row],[Total]]/Tabla36[[#This Row],[TASA]]</f>
        <v>1323.5299539170508</v>
      </c>
    </row>
    <row r="307" spans="1:14" x14ac:dyDescent="0.25">
      <c r="A307" s="195">
        <v>44632</v>
      </c>
      <c r="B307" s="13">
        <v>199</v>
      </c>
      <c r="C307" s="27">
        <v>19.62</v>
      </c>
      <c r="D307" s="32">
        <v>0.16</v>
      </c>
      <c r="E307" s="27">
        <v>6491.11</v>
      </c>
      <c r="F307" s="13"/>
      <c r="G307" s="116">
        <v>4.2300000000000004</v>
      </c>
      <c r="H307" s="13"/>
      <c r="I307" s="13"/>
      <c r="J307" s="118">
        <f>+Tabla36[[#This Row],[Total]]/Tabla36[[#This Row],[TASA]]</f>
        <v>1534.5413711583922</v>
      </c>
    </row>
    <row r="308" spans="1:14" x14ac:dyDescent="0.25">
      <c r="A308" s="195">
        <v>44633</v>
      </c>
      <c r="B308" s="13">
        <v>114</v>
      </c>
      <c r="C308" s="27">
        <v>8.09</v>
      </c>
      <c r="D308" s="32">
        <v>0.16</v>
      </c>
      <c r="E308" s="27">
        <v>3589.06</v>
      </c>
      <c r="F308" s="13"/>
      <c r="G308" s="116">
        <v>4.2300000000000004</v>
      </c>
      <c r="H308" s="13"/>
      <c r="I308" s="13"/>
      <c r="J308" s="118">
        <f>+Tabla36[[#This Row],[Total]]/Tabla36[[#This Row],[TASA]]</f>
        <v>848.47754137115828</v>
      </c>
    </row>
    <row r="309" spans="1:14" x14ac:dyDescent="0.25">
      <c r="A309" s="195">
        <v>44634</v>
      </c>
      <c r="B309" s="13">
        <v>62</v>
      </c>
      <c r="C309" s="27">
        <v>1.45</v>
      </c>
      <c r="D309" s="32">
        <v>0.16</v>
      </c>
      <c r="E309" s="27">
        <v>1278.47</v>
      </c>
      <c r="F309" s="13"/>
      <c r="G309" s="116">
        <v>4.2300000000000004</v>
      </c>
      <c r="H309" s="13"/>
      <c r="I309" s="13"/>
      <c r="J309" s="118">
        <f>+Tabla36[[#This Row],[Total]]/Tabla36[[#This Row],[TASA]]</f>
        <v>302.2387706855792</v>
      </c>
    </row>
    <row r="310" spans="1:14" x14ac:dyDescent="0.25">
      <c r="A310" s="195">
        <v>44635</v>
      </c>
      <c r="B310" s="13">
        <v>81</v>
      </c>
      <c r="C310" s="27">
        <v>3.93</v>
      </c>
      <c r="D310" s="32">
        <v>0.16</v>
      </c>
      <c r="E310" s="27">
        <v>1548.04</v>
      </c>
      <c r="F310" s="13"/>
      <c r="G310" s="116">
        <v>4.28</v>
      </c>
      <c r="H310" s="13"/>
      <c r="I310" s="13"/>
      <c r="J310" s="118">
        <f>+Tabla36[[#This Row],[Total]]/Tabla36[[#This Row],[TASA]]</f>
        <v>361.69158878504669</v>
      </c>
    </row>
    <row r="311" spans="1:14" x14ac:dyDescent="0.25">
      <c r="A311" s="195">
        <v>44636</v>
      </c>
      <c r="B311" s="13">
        <v>56</v>
      </c>
      <c r="D311" s="32">
        <v>0.16</v>
      </c>
      <c r="E311" s="27">
        <v>1167.25</v>
      </c>
      <c r="F311" s="13"/>
      <c r="G311" s="116">
        <v>4.28</v>
      </c>
      <c r="H311" s="13"/>
      <c r="I311" s="13"/>
      <c r="J311" s="118">
        <f>+Tabla36[[#This Row],[Total]]/Tabla36[[#This Row],[TASA]]</f>
        <v>272.7219626168224</v>
      </c>
    </row>
    <row r="312" spans="1:14" x14ac:dyDescent="0.25">
      <c r="A312" s="195">
        <v>44637</v>
      </c>
      <c r="B312" s="13">
        <v>58</v>
      </c>
      <c r="C312" s="27">
        <v>2.2799999999999998</v>
      </c>
      <c r="D312" s="32">
        <v>0.16</v>
      </c>
      <c r="E312" s="27">
        <v>1409.47</v>
      </c>
      <c r="F312" s="13"/>
      <c r="G312" s="116">
        <v>4.3</v>
      </c>
      <c r="H312" s="13"/>
      <c r="I312" s="13"/>
      <c r="J312" s="118">
        <f>+Tabla36[[#This Row],[Total]]/Tabla36[[#This Row],[TASA]]</f>
        <v>327.78372093023256</v>
      </c>
    </row>
    <row r="313" spans="1:14" x14ac:dyDescent="0.25">
      <c r="A313" s="195">
        <v>44638</v>
      </c>
      <c r="B313" s="13">
        <v>168</v>
      </c>
      <c r="C313" s="27">
        <v>3.84</v>
      </c>
      <c r="D313" s="32">
        <v>0.16</v>
      </c>
      <c r="E313" s="27">
        <v>6392.83</v>
      </c>
      <c r="F313" s="13"/>
      <c r="G313" s="116">
        <v>4.3</v>
      </c>
      <c r="H313" s="13"/>
      <c r="I313" s="13"/>
      <c r="J313" s="118">
        <f>+Tabla36[[#This Row],[Total]]/Tabla36[[#This Row],[TASA]]</f>
        <v>1486.7046511627907</v>
      </c>
    </row>
    <row r="314" spans="1:14" x14ac:dyDescent="0.25">
      <c r="A314" s="195">
        <v>44639</v>
      </c>
      <c r="B314" s="13">
        <v>146</v>
      </c>
      <c r="D314" s="32">
        <v>0.16</v>
      </c>
      <c r="E314" s="27">
        <v>4579.7299999999996</v>
      </c>
      <c r="F314" s="13"/>
      <c r="G314" s="116">
        <v>4.3099999999999996</v>
      </c>
      <c r="H314" s="13"/>
      <c r="I314" s="13"/>
      <c r="J314" s="118">
        <f>+Tabla36[[#This Row],[Total]]/Tabla36[[#This Row],[TASA]]</f>
        <v>1062.5823665893272</v>
      </c>
    </row>
    <row r="315" spans="1:14" x14ac:dyDescent="0.25">
      <c r="A315" s="195">
        <v>44640</v>
      </c>
      <c r="B315" s="13">
        <v>114</v>
      </c>
      <c r="D315" s="32">
        <v>0.16</v>
      </c>
      <c r="E315" s="27">
        <v>3082.24</v>
      </c>
      <c r="F315" s="13"/>
      <c r="G315" s="116">
        <v>4.3099999999999996</v>
      </c>
      <c r="H315" s="13"/>
      <c r="I315" s="13"/>
      <c r="J315" s="118">
        <f>+Tabla36[[#This Row],[Total]]/Tabla36[[#This Row],[TASA]]</f>
        <v>715.13689095127609</v>
      </c>
    </row>
    <row r="316" spans="1:14" x14ac:dyDescent="0.25">
      <c r="A316" s="195">
        <v>44641</v>
      </c>
      <c r="B316" s="13">
        <v>71</v>
      </c>
      <c r="D316" s="32">
        <v>0.16</v>
      </c>
      <c r="E316" s="27">
        <v>1684.35</v>
      </c>
      <c r="F316" s="13"/>
      <c r="G316" s="116">
        <v>4.3099999999999996</v>
      </c>
      <c r="H316" s="13"/>
      <c r="I316" s="13"/>
      <c r="J316" s="118">
        <f>+Tabla36[[#This Row],[Total]]/Tabla36[[#This Row],[TASA]]</f>
        <v>390.80046403712299</v>
      </c>
    </row>
    <row r="317" spans="1:14" x14ac:dyDescent="0.25">
      <c r="A317" s="195">
        <v>44642</v>
      </c>
      <c r="B317" s="13">
        <v>54</v>
      </c>
      <c r="C317" s="27">
        <v>2.2799999999999998</v>
      </c>
      <c r="D317" s="32">
        <v>0.16</v>
      </c>
      <c r="E317" s="27">
        <v>1341.62</v>
      </c>
      <c r="F317" s="13"/>
      <c r="G317" s="116">
        <v>4.3099999999999996</v>
      </c>
      <c r="H317" s="13"/>
      <c r="I317" s="13"/>
      <c r="J317" s="118">
        <f>+Tabla36[[#This Row],[Total]]/Tabla36[[#This Row],[TASA]]</f>
        <v>311.28074245939678</v>
      </c>
    </row>
    <row r="318" spans="1:14" x14ac:dyDescent="0.25">
      <c r="A318" s="195">
        <v>44615</v>
      </c>
      <c r="B318" s="13">
        <v>55</v>
      </c>
      <c r="C318" s="27">
        <v>9.4600000000000009</v>
      </c>
      <c r="D318" s="32">
        <v>0.16</v>
      </c>
      <c r="E318" s="27">
        <v>1688.42</v>
      </c>
      <c r="F318" s="13"/>
      <c r="G318" s="116">
        <v>4.3099999999999996</v>
      </c>
      <c r="H318" s="13"/>
      <c r="I318" s="13"/>
      <c r="J318" s="118">
        <f>+Tabla36[[#This Row],[Total]]/Tabla36[[#This Row],[TASA]]</f>
        <v>391.74477958236662</v>
      </c>
    </row>
    <row r="319" spans="1:14" x14ac:dyDescent="0.25">
      <c r="A319" s="195">
        <v>44644</v>
      </c>
      <c r="B319" s="13">
        <v>76</v>
      </c>
      <c r="D319" s="32">
        <v>0.16</v>
      </c>
      <c r="E319" s="27">
        <v>2252.1799999999998</v>
      </c>
      <c r="F319" s="13"/>
      <c r="G319" s="116">
        <v>4.34</v>
      </c>
      <c r="H319" s="13"/>
      <c r="I319" s="13"/>
      <c r="J319" s="118">
        <f>+Tabla36[[#This Row],[Total]]/Tabla36[[#This Row],[TASA]]</f>
        <v>518.93548387096769</v>
      </c>
    </row>
    <row r="320" spans="1:14" x14ac:dyDescent="0.25">
      <c r="A320" s="195">
        <v>44645</v>
      </c>
      <c r="B320" s="13">
        <v>167</v>
      </c>
      <c r="D320" s="32">
        <v>0.16</v>
      </c>
      <c r="E320" s="27">
        <v>5031</v>
      </c>
      <c r="F320" s="13"/>
      <c r="G320" s="116">
        <v>4.3499999999999996</v>
      </c>
      <c r="H320" s="13"/>
      <c r="I320" s="13"/>
      <c r="J320" s="118">
        <f>+Tabla36[[#This Row],[Total]]/Tabla36[[#This Row],[TASA]]</f>
        <v>1156.5517241379312</v>
      </c>
    </row>
    <row r="321" spans="1:10" x14ac:dyDescent="0.25">
      <c r="A321" s="195">
        <v>44646</v>
      </c>
      <c r="B321" s="13">
        <v>163</v>
      </c>
      <c r="C321" s="27">
        <v>20.61</v>
      </c>
      <c r="D321" s="32">
        <v>0.16</v>
      </c>
      <c r="E321" s="27">
        <v>5756.06</v>
      </c>
      <c r="F321" s="13"/>
      <c r="G321" s="116">
        <v>4.37</v>
      </c>
      <c r="H321" s="13"/>
      <c r="I321" s="13"/>
      <c r="J321" s="118">
        <f>+Tabla36[[#This Row],[Total]]/Tabla36[[#This Row],[TASA]]</f>
        <v>1317.1762013729979</v>
      </c>
    </row>
    <row r="322" spans="1:10" x14ac:dyDescent="0.25">
      <c r="A322" s="195">
        <v>44647</v>
      </c>
      <c r="B322" s="13">
        <v>268</v>
      </c>
      <c r="C322" s="27">
        <v>7.33</v>
      </c>
      <c r="D322" s="32">
        <v>0.16</v>
      </c>
      <c r="E322" s="27">
        <v>6882.1</v>
      </c>
      <c r="F322" s="13"/>
      <c r="G322" s="116">
        <v>4.37</v>
      </c>
      <c r="H322" s="13"/>
      <c r="I322" s="13"/>
      <c r="J322" s="118">
        <f>+Tabla36[[#This Row],[Total]]/Tabla36[[#This Row],[TASA]]</f>
        <v>1574.8512585812357</v>
      </c>
    </row>
    <row r="323" spans="1:10" x14ac:dyDescent="0.25">
      <c r="A323" s="195">
        <v>44648</v>
      </c>
      <c r="B323" s="13">
        <v>39</v>
      </c>
      <c r="D323" s="32">
        <v>0.16</v>
      </c>
      <c r="E323" s="27">
        <v>698.88</v>
      </c>
      <c r="F323" s="13"/>
      <c r="G323" s="116">
        <v>4.37</v>
      </c>
      <c r="H323" s="13"/>
      <c r="I323" s="13"/>
      <c r="J323" s="118">
        <f>+Tabla36[[#This Row],[Total]]/Tabla36[[#This Row],[TASA]]</f>
        <v>159.92677345537757</v>
      </c>
    </row>
    <row r="324" spans="1:10" x14ac:dyDescent="0.25">
      <c r="A324" s="195">
        <v>44649</v>
      </c>
      <c r="B324" s="13">
        <v>46</v>
      </c>
      <c r="D324" s="32">
        <v>0.16</v>
      </c>
      <c r="E324" s="27">
        <v>927.78</v>
      </c>
      <c r="F324" s="13"/>
      <c r="G324" s="116">
        <v>4.37</v>
      </c>
      <c r="H324" s="13"/>
      <c r="I324" s="13"/>
      <c r="J324" s="118">
        <f>+Tabla36[[#This Row],[Total]]/Tabla36[[#This Row],[TASA]]</f>
        <v>212.30663615560638</v>
      </c>
    </row>
    <row r="325" spans="1:10" x14ac:dyDescent="0.25">
      <c r="A325" s="195">
        <v>44650</v>
      </c>
      <c r="B325" s="13">
        <v>57</v>
      </c>
      <c r="C325" s="27">
        <v>7.33</v>
      </c>
      <c r="D325" s="32">
        <v>0.16</v>
      </c>
      <c r="E325" s="27">
        <v>1440.92</v>
      </c>
      <c r="F325" s="13"/>
      <c r="G325" s="116">
        <v>4.38</v>
      </c>
      <c r="H325" s="13"/>
      <c r="I325" s="13"/>
      <c r="J325" s="118">
        <f>+Tabla36[[#This Row],[Total]]/Tabla36[[#This Row],[TASA]]</f>
        <v>328.97716894977174</v>
      </c>
    </row>
    <row r="326" spans="1:10" x14ac:dyDescent="0.25">
      <c r="A326" s="195">
        <v>44651</v>
      </c>
      <c r="B326" s="13">
        <v>84</v>
      </c>
      <c r="D326" s="32">
        <v>0.16</v>
      </c>
      <c r="E326" s="27">
        <v>2251.31</v>
      </c>
      <c r="F326" s="13"/>
      <c r="G326" s="116">
        <v>4.38</v>
      </c>
      <c r="H326" s="13"/>
      <c r="I326" s="13"/>
      <c r="J326" s="118">
        <f>+Tabla36[[#This Row],[Total]]/Tabla36[[#This Row],[TASA]]</f>
        <v>513.9977168949772</v>
      </c>
    </row>
    <row r="327" spans="1:10" x14ac:dyDescent="0.25">
      <c r="A327" s="13"/>
      <c r="B327" s="13"/>
      <c r="C327" s="463"/>
      <c r="E327" s="463"/>
      <c r="F327" s="13"/>
      <c r="G327" s="116"/>
      <c r="H327" s="13" t="s">
        <v>501</v>
      </c>
      <c r="I327" s="13"/>
      <c r="J327" s="118">
        <f>SUBTOTAL(109,J296:J326)</f>
        <v>21182.440214777158</v>
      </c>
    </row>
    <row r="328" spans="1:10" x14ac:dyDescent="0.25">
      <c r="A328" s="13"/>
      <c r="B328" s="13"/>
      <c r="F328" s="13"/>
      <c r="G328" s="13"/>
      <c r="H328" s="13"/>
      <c r="I328" s="13"/>
      <c r="J328" s="13"/>
    </row>
    <row r="329" spans="1:10" x14ac:dyDescent="0.25">
      <c r="A329" s="13"/>
      <c r="B329" s="13"/>
      <c r="F329" s="13"/>
      <c r="G329" s="13"/>
      <c r="H329" s="13"/>
      <c r="I329" s="13"/>
      <c r="J329" s="13"/>
    </row>
    <row r="330" spans="1:10" x14ac:dyDescent="0.25">
      <c r="A330" s="13"/>
      <c r="B330" s="13"/>
      <c r="F330" s="13"/>
      <c r="G330" s="13"/>
      <c r="H330" s="13"/>
      <c r="I330" s="13"/>
      <c r="J330" s="13"/>
    </row>
    <row r="331" spans="1:10" x14ac:dyDescent="0.25">
      <c r="A331" s="13"/>
      <c r="B331" s="13"/>
      <c r="F331" s="13"/>
      <c r="G331" s="13"/>
      <c r="H331" s="13"/>
      <c r="I331" s="13"/>
      <c r="J331" s="13"/>
    </row>
    <row r="332" spans="1:10" x14ac:dyDescent="0.25">
      <c r="A332" s="13"/>
      <c r="B332" s="13"/>
      <c r="F332" s="13"/>
      <c r="G332" s="13"/>
      <c r="H332" s="13"/>
      <c r="I332" s="13"/>
      <c r="J332" s="13"/>
    </row>
    <row r="333" spans="1:10" x14ac:dyDescent="0.25">
      <c r="A333" s="13"/>
      <c r="B333" s="13"/>
      <c r="F333" s="13"/>
      <c r="G333" s="13"/>
      <c r="H333" s="13"/>
      <c r="I333" s="13"/>
      <c r="J333" s="13" t="s">
        <v>1131</v>
      </c>
    </row>
    <row r="334" spans="1:10" x14ac:dyDescent="0.25">
      <c r="A334" s="13"/>
      <c r="B334" s="13"/>
      <c r="F334" s="13"/>
      <c r="G334" s="13"/>
      <c r="H334" s="13"/>
      <c r="I334" s="13"/>
      <c r="J334" s="13"/>
    </row>
    <row r="335" spans="1:10" x14ac:dyDescent="0.25">
      <c r="A335" s="13"/>
      <c r="B335" s="13"/>
      <c r="F335" s="13"/>
      <c r="G335" s="13"/>
      <c r="H335" s="13"/>
      <c r="I335" s="13"/>
      <c r="J335" s="13"/>
    </row>
    <row r="336" spans="1:10" x14ac:dyDescent="0.25">
      <c r="A336" s="13"/>
      <c r="B336" s="13"/>
      <c r="F336" s="13"/>
      <c r="G336" s="13"/>
      <c r="H336" s="13"/>
      <c r="I336" s="13"/>
      <c r="J336" s="13"/>
    </row>
    <row r="337" spans="1:10" x14ac:dyDescent="0.25">
      <c r="A337" s="13"/>
      <c r="B337" s="13"/>
      <c r="F337" s="13"/>
      <c r="G337" s="13"/>
      <c r="H337" s="13"/>
      <c r="I337" s="13"/>
      <c r="J337" s="13"/>
    </row>
    <row r="338" spans="1:10" x14ac:dyDescent="0.25">
      <c r="A338" s="13"/>
      <c r="B338" s="13"/>
      <c r="F338" s="13"/>
      <c r="G338" s="13"/>
      <c r="H338" s="13"/>
      <c r="I338" s="13"/>
      <c r="J338" s="13"/>
    </row>
    <row r="339" spans="1:10" x14ac:dyDescent="0.25">
      <c r="A339" s="13"/>
      <c r="B339" s="13"/>
      <c r="F339" s="13"/>
      <c r="G339" s="13"/>
      <c r="H339" s="13"/>
      <c r="I339" s="13"/>
      <c r="J339" s="13"/>
    </row>
    <row r="340" spans="1:10" x14ac:dyDescent="0.25">
      <c r="A340" s="13"/>
      <c r="B340" s="13"/>
      <c r="F340" s="13"/>
      <c r="G340" s="13"/>
      <c r="H340" s="13"/>
      <c r="I340" s="13"/>
      <c r="J340" s="13"/>
    </row>
    <row r="341" spans="1:10" x14ac:dyDescent="0.25">
      <c r="A341" s="13"/>
      <c r="B341" s="13"/>
      <c r="F341" s="13"/>
      <c r="G341" s="13"/>
      <c r="H341" s="13"/>
      <c r="I341" s="13"/>
      <c r="J341" s="13"/>
    </row>
    <row r="342" spans="1:10" x14ac:dyDescent="0.25">
      <c r="A342" s="13"/>
      <c r="B342" s="13"/>
      <c r="F342" s="13"/>
      <c r="G342" s="13"/>
      <c r="H342" s="13"/>
      <c r="I342" s="13"/>
      <c r="J342" s="13"/>
    </row>
    <row r="343" spans="1:10" x14ac:dyDescent="0.25">
      <c r="A343" s="13"/>
      <c r="B343" s="13"/>
      <c r="F343" s="13"/>
      <c r="G343" s="13"/>
      <c r="H343" s="13"/>
      <c r="I343" s="13"/>
      <c r="J343" s="13"/>
    </row>
    <row r="344" spans="1:10" x14ac:dyDescent="0.25">
      <c r="A344" s="13"/>
      <c r="B344" s="13"/>
      <c r="F344" s="13"/>
      <c r="G344" s="13"/>
      <c r="H344" s="13"/>
      <c r="I344" s="13"/>
      <c r="J344" s="13"/>
    </row>
    <row r="345" spans="1:10" x14ac:dyDescent="0.25">
      <c r="A345" s="13"/>
      <c r="B345" s="13"/>
      <c r="F345" s="13"/>
      <c r="G345" s="13"/>
      <c r="H345" s="13"/>
      <c r="I345" s="13"/>
      <c r="J345" s="13"/>
    </row>
    <row r="346" spans="1:10" x14ac:dyDescent="0.25">
      <c r="A346" s="13"/>
      <c r="B346" s="13"/>
      <c r="F346" s="13"/>
      <c r="G346" s="13"/>
      <c r="H346" s="13"/>
      <c r="I346" s="13"/>
      <c r="J346" s="13"/>
    </row>
    <row r="347" spans="1:10" x14ac:dyDescent="0.25">
      <c r="A347" s="13"/>
      <c r="B347" s="13"/>
      <c r="F347" s="13"/>
      <c r="G347" s="13"/>
      <c r="H347" s="13"/>
      <c r="I347" s="13"/>
      <c r="J347" s="13"/>
    </row>
    <row r="348" spans="1:10" x14ac:dyDescent="0.25">
      <c r="A348" s="13"/>
      <c r="B348" s="13"/>
      <c r="F348" s="13"/>
      <c r="G348" s="13"/>
      <c r="H348" s="13"/>
      <c r="I348" s="13"/>
      <c r="J348" s="13"/>
    </row>
    <row r="349" spans="1:10" x14ac:dyDescent="0.25">
      <c r="A349" s="13"/>
      <c r="B349" s="13"/>
      <c r="F349" s="13"/>
      <c r="G349" s="13"/>
      <c r="H349" s="13"/>
      <c r="I349" s="13"/>
      <c r="J349" s="13"/>
    </row>
    <row r="350" spans="1:10" x14ac:dyDescent="0.25">
      <c r="A350" s="13"/>
      <c r="B350" s="13"/>
      <c r="F350" s="13"/>
      <c r="G350" s="13"/>
      <c r="H350" s="13"/>
      <c r="I350" s="13"/>
      <c r="J350" s="13"/>
    </row>
    <row r="351" spans="1:10" x14ac:dyDescent="0.25">
      <c r="A351" s="13"/>
      <c r="B351" s="13"/>
      <c r="F351" s="13"/>
      <c r="G351" s="13"/>
      <c r="H351" s="13"/>
      <c r="I351" s="13"/>
      <c r="J351" s="13"/>
    </row>
    <row r="352" spans="1:10" x14ac:dyDescent="0.25">
      <c r="A352" s="13"/>
      <c r="B352" s="13"/>
      <c r="F352" s="13"/>
      <c r="G352" s="13"/>
      <c r="H352" s="13"/>
      <c r="I352" s="13"/>
      <c r="J352" s="13"/>
    </row>
    <row r="353" spans="1:10" x14ac:dyDescent="0.25">
      <c r="A353" s="13"/>
      <c r="B353" s="13"/>
      <c r="F353" s="13"/>
      <c r="G353" s="13"/>
      <c r="H353" s="13"/>
      <c r="I353" s="13"/>
      <c r="J353" s="13"/>
    </row>
    <row r="354" spans="1:10" x14ac:dyDescent="0.25">
      <c r="A354" s="13"/>
      <c r="B354" s="13"/>
      <c r="F354" s="13"/>
      <c r="G354" s="13"/>
      <c r="H354" s="13"/>
      <c r="I354" s="13"/>
      <c r="J354" s="13"/>
    </row>
    <row r="355" spans="1:10" x14ac:dyDescent="0.25">
      <c r="A355" s="13"/>
      <c r="B355" s="13"/>
      <c r="F355" s="13"/>
      <c r="G355" s="13"/>
      <c r="H355" s="13"/>
      <c r="I355" s="13"/>
      <c r="J355" s="13"/>
    </row>
    <row r="356" spans="1:10" x14ac:dyDescent="0.25">
      <c r="A356" s="13"/>
      <c r="B356" s="13"/>
      <c r="F356" s="13"/>
      <c r="G356" s="13"/>
      <c r="H356" s="13"/>
      <c r="I356" s="13"/>
      <c r="J356" s="13"/>
    </row>
    <row r="357" spans="1:10" x14ac:dyDescent="0.25">
      <c r="A357" s="13"/>
      <c r="B357" s="13"/>
      <c r="F357" s="13"/>
      <c r="G357" s="13"/>
      <c r="H357" s="13"/>
      <c r="I357" s="13"/>
      <c r="J357" s="13"/>
    </row>
    <row r="358" spans="1:10" x14ac:dyDescent="0.25">
      <c r="A358" s="13"/>
      <c r="B358" s="13"/>
      <c r="F358" s="13"/>
      <c r="G358" s="13"/>
      <c r="H358" s="13"/>
      <c r="I358" s="13"/>
      <c r="J358" s="13"/>
    </row>
    <row r="359" spans="1:10" x14ac:dyDescent="0.25">
      <c r="A359" s="13"/>
      <c r="B359" s="13"/>
      <c r="F359" s="13"/>
      <c r="G359" s="13"/>
      <c r="H359" s="13"/>
      <c r="I359" s="13"/>
      <c r="J359" s="13"/>
    </row>
    <row r="360" spans="1:10" x14ac:dyDescent="0.25">
      <c r="A360" s="13"/>
      <c r="B360" s="13"/>
      <c r="F360" s="13"/>
      <c r="G360" s="13"/>
      <c r="H360" s="13"/>
      <c r="I360" s="13"/>
      <c r="J360" s="13"/>
    </row>
    <row r="361" spans="1:10" x14ac:dyDescent="0.25">
      <c r="A361" s="13"/>
      <c r="B361" s="13"/>
      <c r="F361" s="13"/>
      <c r="G361" s="13"/>
      <c r="H361" s="13"/>
      <c r="I361" s="13"/>
      <c r="J361" s="13"/>
    </row>
    <row r="362" spans="1:10" x14ac:dyDescent="0.25">
      <c r="A362" s="13"/>
      <c r="B362" s="13"/>
      <c r="F362" s="13"/>
      <c r="G362" s="13"/>
      <c r="H362" s="13"/>
      <c r="I362" s="13"/>
      <c r="J362" s="13"/>
    </row>
    <row r="363" spans="1:10" x14ac:dyDescent="0.25">
      <c r="A363" s="13"/>
      <c r="B363" s="13"/>
      <c r="F363" s="13"/>
      <c r="G363" s="13"/>
      <c r="H363" s="13"/>
      <c r="I363" s="13"/>
      <c r="J363" s="13"/>
    </row>
    <row r="364" spans="1:10" x14ac:dyDescent="0.25">
      <c r="A364" s="13"/>
      <c r="B364" s="13"/>
      <c r="F364" s="13"/>
      <c r="G364" s="13"/>
      <c r="H364" s="13"/>
      <c r="I364" s="13"/>
      <c r="J364" s="13"/>
    </row>
    <row r="365" spans="1:10" x14ac:dyDescent="0.25">
      <c r="A365" s="13"/>
      <c r="B365" s="13"/>
      <c r="F365" s="13"/>
      <c r="G365" s="13"/>
      <c r="H365" s="13"/>
      <c r="I365" s="13"/>
      <c r="J365" s="13"/>
    </row>
    <row r="366" spans="1:10" x14ac:dyDescent="0.25">
      <c r="A366" s="13"/>
      <c r="B366" s="13"/>
      <c r="F366" s="13"/>
      <c r="G366" s="13"/>
      <c r="H366" s="13"/>
      <c r="I366" s="13"/>
      <c r="J366" s="13"/>
    </row>
    <row r="367" spans="1:10" x14ac:dyDescent="0.25">
      <c r="A367" s="13"/>
      <c r="B367" s="13"/>
      <c r="F367" s="13"/>
      <c r="G367" s="13"/>
      <c r="H367" s="13"/>
      <c r="I367" s="13"/>
      <c r="J367" s="13"/>
    </row>
    <row r="368" spans="1:10" x14ac:dyDescent="0.25">
      <c r="A368" s="13"/>
      <c r="B368" s="13"/>
      <c r="F368" s="13"/>
      <c r="G368" s="13"/>
      <c r="H368" s="13"/>
      <c r="I368" s="13"/>
      <c r="J368" s="13"/>
    </row>
    <row r="369" spans="1:10" x14ac:dyDescent="0.25">
      <c r="A369" s="13"/>
      <c r="B369" s="13"/>
      <c r="F369" s="13"/>
      <c r="G369" s="13"/>
      <c r="H369" s="13"/>
      <c r="I369" s="13"/>
      <c r="J369" s="13"/>
    </row>
    <row r="370" spans="1:10" x14ac:dyDescent="0.25">
      <c r="A370" s="13"/>
      <c r="B370" s="13"/>
      <c r="F370" s="13"/>
      <c r="G370" s="13"/>
      <c r="H370" s="13"/>
      <c r="I370" s="13"/>
      <c r="J370" s="13"/>
    </row>
    <row r="371" spans="1:10" x14ac:dyDescent="0.25">
      <c r="A371" s="13"/>
      <c r="B371" s="13"/>
      <c r="F371" s="13"/>
      <c r="G371" s="13"/>
      <c r="H371" s="13"/>
      <c r="I371" s="13"/>
      <c r="J371" s="13"/>
    </row>
    <row r="372" spans="1:10" x14ac:dyDescent="0.25">
      <c r="A372" s="13"/>
      <c r="B372" s="13"/>
      <c r="F372" s="13"/>
      <c r="G372" s="13"/>
      <c r="H372" s="13"/>
      <c r="I372" s="13"/>
      <c r="J372" s="13"/>
    </row>
    <row r="373" spans="1:10" x14ac:dyDescent="0.25">
      <c r="A373" s="13"/>
      <c r="B373" s="13"/>
      <c r="F373" s="13"/>
      <c r="G373" s="13"/>
      <c r="H373" s="13"/>
      <c r="I373" s="13"/>
      <c r="J373" s="13"/>
    </row>
    <row r="374" spans="1:10" x14ac:dyDescent="0.25">
      <c r="A374" s="13"/>
      <c r="B374" s="13"/>
      <c r="F374" s="13"/>
      <c r="G374" s="13"/>
      <c r="H374" s="13"/>
      <c r="I374" s="13"/>
      <c r="J374" s="13"/>
    </row>
    <row r="375" spans="1:10" x14ac:dyDescent="0.25">
      <c r="A375" s="13"/>
      <c r="B375" s="13"/>
      <c r="F375" s="13"/>
      <c r="G375" s="13"/>
      <c r="H375" s="13"/>
      <c r="I375" s="13"/>
      <c r="J375" s="13"/>
    </row>
    <row r="376" spans="1:10" x14ac:dyDescent="0.25">
      <c r="A376" s="13"/>
      <c r="B376" s="13"/>
      <c r="F376" s="13"/>
      <c r="G376" s="13"/>
      <c r="H376" s="13"/>
      <c r="I376" s="13"/>
      <c r="J376" s="13"/>
    </row>
    <row r="377" spans="1:10" x14ac:dyDescent="0.25">
      <c r="A377" s="13"/>
      <c r="B377" s="13"/>
      <c r="F377" s="13"/>
      <c r="G377" s="13"/>
      <c r="H377" s="13"/>
      <c r="I377" s="13"/>
      <c r="J377" s="13"/>
    </row>
    <row r="378" spans="1:10" x14ac:dyDescent="0.25">
      <c r="A378" s="13"/>
      <c r="B378" s="13"/>
      <c r="F378" s="13"/>
      <c r="G378" s="13"/>
      <c r="H378" s="13"/>
      <c r="I378" s="13"/>
      <c r="J378" s="13"/>
    </row>
    <row r="379" spans="1:10" x14ac:dyDescent="0.25">
      <c r="A379" s="13"/>
      <c r="B379" s="13"/>
      <c r="F379" s="13"/>
      <c r="G379" s="13"/>
      <c r="H379" s="13"/>
      <c r="I379" s="13"/>
      <c r="J379" s="13"/>
    </row>
    <row r="380" spans="1:10" x14ac:dyDescent="0.25">
      <c r="A380" s="13"/>
      <c r="B380" s="13"/>
      <c r="F380" s="13"/>
      <c r="G380" s="13"/>
      <c r="H380" s="13"/>
      <c r="I380" s="13"/>
      <c r="J380" s="13"/>
    </row>
    <row r="381" spans="1:10" x14ac:dyDescent="0.25">
      <c r="A381" s="13"/>
      <c r="B381" s="13"/>
      <c r="F381" s="13"/>
      <c r="G381" s="13"/>
      <c r="H381" s="13"/>
      <c r="I381" s="13"/>
      <c r="J381" s="13"/>
    </row>
    <row r="382" spans="1:10" x14ac:dyDescent="0.25">
      <c r="A382" s="13"/>
      <c r="B382" s="13"/>
      <c r="F382" s="13"/>
      <c r="G382" s="13"/>
      <c r="H382" s="13"/>
      <c r="I382" s="13"/>
      <c r="J382" s="13"/>
    </row>
    <row r="383" spans="1:10" x14ac:dyDescent="0.25">
      <c r="A383" s="13"/>
      <c r="B383" s="13"/>
      <c r="F383" s="13"/>
      <c r="G383" s="13"/>
      <c r="H383" s="13"/>
      <c r="I383" s="13"/>
      <c r="J383" s="13"/>
    </row>
    <row r="384" spans="1:10" x14ac:dyDescent="0.25">
      <c r="A384" s="13"/>
      <c r="B384" s="13"/>
      <c r="F384" s="13"/>
      <c r="G384" s="13"/>
      <c r="H384" s="13"/>
      <c r="I384" s="13"/>
      <c r="J384" s="13"/>
    </row>
    <row r="385" spans="1:10" x14ac:dyDescent="0.25">
      <c r="A385" s="13"/>
      <c r="B385" s="13"/>
      <c r="F385" s="13"/>
      <c r="G385" s="13"/>
      <c r="H385" s="13"/>
      <c r="I385" s="13"/>
      <c r="J385" s="13"/>
    </row>
    <row r="386" spans="1:10" x14ac:dyDescent="0.25">
      <c r="A386" s="13"/>
      <c r="B386" s="13"/>
      <c r="F386" s="13"/>
      <c r="G386" s="13"/>
      <c r="H386" s="13"/>
      <c r="I386" s="13"/>
      <c r="J386" s="13"/>
    </row>
    <row r="387" spans="1:10" x14ac:dyDescent="0.25">
      <c r="A387" s="13"/>
      <c r="B387" s="13"/>
      <c r="F387" s="13"/>
      <c r="G387" s="13"/>
      <c r="H387" s="13"/>
      <c r="I387" s="13"/>
      <c r="J387" s="13"/>
    </row>
    <row r="388" spans="1:10" x14ac:dyDescent="0.25">
      <c r="A388" s="13"/>
      <c r="B388" s="13"/>
      <c r="F388" s="13"/>
      <c r="G388" s="13"/>
      <c r="H388" s="13"/>
      <c r="I388" s="13"/>
      <c r="J388" s="13"/>
    </row>
    <row r="389" spans="1:10" x14ac:dyDescent="0.25">
      <c r="A389" s="13"/>
      <c r="B389" s="13"/>
      <c r="F389" s="13"/>
      <c r="G389" s="13"/>
      <c r="H389" s="13"/>
      <c r="I389" s="13"/>
      <c r="J389" s="13"/>
    </row>
    <row r="390" spans="1:10" x14ac:dyDescent="0.25">
      <c r="A390" s="13"/>
      <c r="B390" s="13"/>
      <c r="F390" s="13"/>
      <c r="G390" s="13"/>
      <c r="H390" s="13"/>
      <c r="I390" s="13"/>
      <c r="J390" s="13"/>
    </row>
    <row r="391" spans="1:10" x14ac:dyDescent="0.25">
      <c r="A391" s="13"/>
      <c r="B391" s="13"/>
      <c r="F391" s="13"/>
      <c r="G391" s="13"/>
      <c r="H391" s="13"/>
      <c r="I391" s="13"/>
      <c r="J391" s="13"/>
    </row>
    <row r="392" spans="1:10" x14ac:dyDescent="0.25">
      <c r="A392" s="13"/>
      <c r="B392" s="13"/>
      <c r="F392" s="13"/>
      <c r="G392" s="13"/>
      <c r="H392" s="13"/>
      <c r="I392" s="13"/>
      <c r="J392" s="13"/>
    </row>
    <row r="393" spans="1:10" x14ac:dyDescent="0.25">
      <c r="A393" s="13"/>
      <c r="B393" s="13"/>
      <c r="F393" s="13"/>
      <c r="G393" s="13"/>
      <c r="H393" s="13"/>
      <c r="I393" s="13"/>
      <c r="J393" s="13"/>
    </row>
    <row r="394" spans="1:10" x14ac:dyDescent="0.25">
      <c r="A394" s="13"/>
      <c r="B394" s="13"/>
      <c r="F394" s="13"/>
      <c r="G394" s="13"/>
      <c r="H394" s="13"/>
      <c r="I394" s="13"/>
      <c r="J394" s="13"/>
    </row>
    <row r="395" spans="1:10" x14ac:dyDescent="0.25">
      <c r="A395" s="13"/>
      <c r="B395" s="13"/>
      <c r="F395" s="13"/>
      <c r="G395" s="13"/>
      <c r="H395" s="13"/>
      <c r="I395" s="13"/>
      <c r="J395" s="13"/>
    </row>
    <row r="396" spans="1:10" x14ac:dyDescent="0.25">
      <c r="A396" s="13"/>
      <c r="B396" s="13"/>
      <c r="F396" s="13"/>
      <c r="G396" s="13"/>
      <c r="H396" s="13"/>
      <c r="I396" s="13"/>
      <c r="J396" s="13"/>
    </row>
    <row r="397" spans="1:10" x14ac:dyDescent="0.25">
      <c r="A397" s="13"/>
      <c r="B397" s="13"/>
      <c r="F397" s="13"/>
      <c r="G397" s="13"/>
      <c r="H397" s="13"/>
      <c r="I397" s="13"/>
      <c r="J397" s="13"/>
    </row>
    <row r="398" spans="1:10" x14ac:dyDescent="0.25">
      <c r="A398" s="13"/>
      <c r="B398" s="13"/>
      <c r="F398" s="13"/>
      <c r="G398" s="13"/>
      <c r="H398" s="13"/>
      <c r="I398" s="13"/>
      <c r="J398" s="13"/>
    </row>
    <row r="399" spans="1:10" x14ac:dyDescent="0.25">
      <c r="A399" s="13"/>
      <c r="B399" s="13"/>
      <c r="F399" s="13"/>
      <c r="G399" s="13"/>
      <c r="H399" s="13"/>
      <c r="I399" s="13"/>
      <c r="J399" s="13"/>
    </row>
    <row r="400" spans="1:10" x14ac:dyDescent="0.25">
      <c r="A400" s="13"/>
      <c r="B400" s="13"/>
      <c r="F400" s="13"/>
      <c r="G400" s="13"/>
      <c r="H400" s="13"/>
      <c r="I400" s="13"/>
      <c r="J400" s="13"/>
    </row>
    <row r="401" spans="1:10" x14ac:dyDescent="0.25">
      <c r="A401" s="13"/>
      <c r="B401" s="13"/>
      <c r="F401" s="13"/>
      <c r="G401" s="13"/>
      <c r="H401" s="13"/>
      <c r="I401" s="13"/>
      <c r="J401" s="13"/>
    </row>
    <row r="402" spans="1:10" x14ac:dyDescent="0.25">
      <c r="A402" s="13"/>
      <c r="B402" s="13"/>
      <c r="F402" s="13"/>
      <c r="G402" s="13"/>
      <c r="H402" s="13"/>
      <c r="I402" s="13"/>
      <c r="J402" s="13"/>
    </row>
    <row r="403" spans="1:10" x14ac:dyDescent="0.25">
      <c r="A403" s="13"/>
      <c r="B403" s="13"/>
      <c r="F403" s="13"/>
      <c r="G403" s="13"/>
      <c r="H403" s="13"/>
      <c r="I403" s="13"/>
      <c r="J403" s="13"/>
    </row>
    <row r="404" spans="1:10" x14ac:dyDescent="0.25">
      <c r="A404" s="13"/>
      <c r="B404" s="13"/>
      <c r="F404" s="13"/>
      <c r="G404" s="13"/>
      <c r="H404" s="13"/>
      <c r="I404" s="13"/>
      <c r="J404" s="13"/>
    </row>
    <row r="405" spans="1:10" x14ac:dyDescent="0.25">
      <c r="A405" s="13"/>
      <c r="B405" s="13"/>
      <c r="F405" s="13"/>
      <c r="G405" s="13"/>
      <c r="H405" s="13"/>
      <c r="I405" s="13"/>
      <c r="J405" s="13"/>
    </row>
    <row r="406" spans="1:10" x14ac:dyDescent="0.25">
      <c r="A406" s="13"/>
      <c r="B406" s="13"/>
      <c r="F406" s="13"/>
      <c r="G406" s="13"/>
      <c r="H406" s="13"/>
      <c r="I406" s="13"/>
      <c r="J406" s="13"/>
    </row>
    <row r="407" spans="1:10" x14ac:dyDescent="0.25">
      <c r="A407" s="13"/>
      <c r="B407" s="13"/>
      <c r="F407" s="13"/>
      <c r="G407" s="13"/>
      <c r="H407" s="13"/>
      <c r="I407" s="13"/>
      <c r="J407" s="13"/>
    </row>
    <row r="408" spans="1:10" x14ac:dyDescent="0.25">
      <c r="A408" s="13"/>
      <c r="B408" s="13"/>
      <c r="F408" s="13"/>
      <c r="G408" s="13"/>
      <c r="H408" s="13"/>
      <c r="I408" s="13"/>
      <c r="J408" s="13"/>
    </row>
    <row r="409" spans="1:10" x14ac:dyDescent="0.25">
      <c r="A409" s="13"/>
      <c r="B409" s="13"/>
      <c r="F409" s="13"/>
      <c r="G409" s="13"/>
      <c r="H409" s="13"/>
      <c r="I409" s="13"/>
      <c r="J409" s="13"/>
    </row>
  </sheetData>
  <printOptions horizontalCentered="1"/>
  <pageMargins left="0.70866141732283472" right="0.70866141732283472" top="0.74803149606299213" bottom="0.74803149606299213" header="0.31496062992125984" footer="0.31496062992125984"/>
  <pageSetup scale="95" orientation="portrait" horizontalDpi="360" verticalDpi="360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7"/>
  <sheetViews>
    <sheetView tabSelected="1" topLeftCell="A409" workbookViewId="0">
      <selection activeCell="C472" sqref="C472"/>
    </sheetView>
  </sheetViews>
  <sheetFormatPr baseColWidth="10" defaultRowHeight="15" x14ac:dyDescent="0.25"/>
  <cols>
    <col min="1" max="1" width="13.42578125" customWidth="1"/>
    <col min="2" max="2" width="8.28515625" customWidth="1"/>
    <col min="3" max="3" width="20.5703125" customWidth="1"/>
    <col min="4" max="5" width="0.140625" hidden="1" customWidth="1"/>
    <col min="6" max="6" width="13.140625" hidden="1" customWidth="1"/>
    <col min="7" max="7" width="12" customWidth="1"/>
    <col min="8" max="8" width="14" bestFit="1" customWidth="1"/>
  </cols>
  <sheetData>
    <row r="1" spans="1:6" s="13" customFormat="1" x14ac:dyDescent="0.25">
      <c r="A1" s="13" t="s">
        <v>232</v>
      </c>
    </row>
    <row r="2" spans="1:6" s="13" customFormat="1" ht="28.5" x14ac:dyDescent="0.45">
      <c r="B2" s="33" t="s">
        <v>231</v>
      </c>
    </row>
    <row r="4" spans="1:6" x14ac:dyDescent="0.25">
      <c r="A4" s="13" t="s">
        <v>13</v>
      </c>
      <c r="B4" s="13" t="s">
        <v>0</v>
      </c>
      <c r="C4" s="13" t="s">
        <v>14</v>
      </c>
      <c r="D4" s="13" t="s">
        <v>15</v>
      </c>
      <c r="E4" s="13" t="s">
        <v>16</v>
      </c>
      <c r="F4" s="13" t="s">
        <v>4</v>
      </c>
    </row>
    <row r="5" spans="1:6" x14ac:dyDescent="0.25">
      <c r="A5" s="14" t="s">
        <v>18</v>
      </c>
      <c r="B5" s="14" t="s">
        <v>83</v>
      </c>
      <c r="C5" s="14" t="s">
        <v>19</v>
      </c>
      <c r="D5" s="14" t="s">
        <v>20</v>
      </c>
      <c r="E5" s="14" t="s">
        <v>21</v>
      </c>
      <c r="F5" s="118">
        <v>320.17</v>
      </c>
    </row>
    <row r="6" spans="1:6" x14ac:dyDescent="0.25">
      <c r="A6" s="14" t="s">
        <v>23</v>
      </c>
      <c r="B6" s="14" t="s">
        <v>83</v>
      </c>
      <c r="C6" s="14" t="s">
        <v>19</v>
      </c>
      <c r="D6" s="14" t="s">
        <v>20</v>
      </c>
      <c r="E6" s="14" t="s">
        <v>24</v>
      </c>
      <c r="F6" s="118">
        <v>557.34702300000004</v>
      </c>
    </row>
    <row r="7" spans="1:6" x14ac:dyDescent="0.25">
      <c r="A7" s="14" t="s">
        <v>25</v>
      </c>
      <c r="B7" s="14" t="s">
        <v>84</v>
      </c>
      <c r="C7" s="14" t="s">
        <v>19</v>
      </c>
      <c r="D7" s="14" t="s">
        <v>20</v>
      </c>
      <c r="E7" s="14" t="s">
        <v>21</v>
      </c>
      <c r="F7" s="118">
        <v>399.00423999999998</v>
      </c>
    </row>
    <row r="8" spans="1:6" x14ac:dyDescent="0.25">
      <c r="A8" s="14" t="s">
        <v>26</v>
      </c>
      <c r="B8" s="14" t="s">
        <v>85</v>
      </c>
      <c r="C8" s="14" t="s">
        <v>19</v>
      </c>
      <c r="D8" s="14" t="s">
        <v>20</v>
      </c>
      <c r="E8" s="14" t="s">
        <v>21</v>
      </c>
      <c r="F8" s="118">
        <v>93.180480000000003</v>
      </c>
    </row>
    <row r="9" spans="1:6" x14ac:dyDescent="0.25">
      <c r="A9" s="14" t="s">
        <v>27</v>
      </c>
      <c r="B9" s="14" t="s">
        <v>86</v>
      </c>
      <c r="C9" s="14" t="s">
        <v>19</v>
      </c>
      <c r="D9" s="14" t="s">
        <v>20</v>
      </c>
      <c r="E9" s="14" t="s">
        <v>21</v>
      </c>
      <c r="F9" s="118">
        <v>358.62419999999997</v>
      </c>
    </row>
    <row r="10" spans="1:6" x14ac:dyDescent="0.25">
      <c r="A10" s="14" t="s">
        <v>28</v>
      </c>
      <c r="B10" s="14" t="s">
        <v>86</v>
      </c>
      <c r="C10" s="14" t="s">
        <v>19</v>
      </c>
      <c r="D10" s="14" t="s">
        <v>20</v>
      </c>
      <c r="E10" s="14" t="s">
        <v>21</v>
      </c>
      <c r="F10" s="118">
        <v>8.6847562000000007</v>
      </c>
    </row>
    <row r="11" spans="1:6" x14ac:dyDescent="0.25">
      <c r="A11" s="14" t="s">
        <v>29</v>
      </c>
      <c r="B11" s="14" t="s">
        <v>86</v>
      </c>
      <c r="C11" s="14" t="s">
        <v>19</v>
      </c>
      <c r="D11" s="14" t="s">
        <v>20</v>
      </c>
      <c r="E11" s="14" t="s">
        <v>21</v>
      </c>
      <c r="F11" s="118">
        <v>5.7329999999999997</v>
      </c>
    </row>
    <row r="12" spans="1:6" x14ac:dyDescent="0.25">
      <c r="A12" s="14" t="s">
        <v>30</v>
      </c>
      <c r="B12" s="14" t="s">
        <v>86</v>
      </c>
      <c r="C12" s="14" t="s">
        <v>19</v>
      </c>
      <c r="D12" s="14" t="s">
        <v>20</v>
      </c>
      <c r="E12" s="14" t="s">
        <v>21</v>
      </c>
      <c r="F12" s="118">
        <v>17.954000000000001</v>
      </c>
    </row>
    <row r="13" spans="1:6" x14ac:dyDescent="0.25">
      <c r="A13" s="14" t="s">
        <v>31</v>
      </c>
      <c r="B13" s="14" t="s">
        <v>87</v>
      </c>
      <c r="C13" s="14" t="s">
        <v>19</v>
      </c>
      <c r="D13" s="14" t="s">
        <v>20</v>
      </c>
      <c r="E13" s="14" t="s">
        <v>21</v>
      </c>
      <c r="F13" s="118">
        <v>39.468409999999999</v>
      </c>
    </row>
    <row r="14" spans="1:6" x14ac:dyDescent="0.25">
      <c r="A14" s="14" t="s">
        <v>32</v>
      </c>
      <c r="B14" s="14" t="s">
        <v>87</v>
      </c>
      <c r="C14" s="14" t="s">
        <v>19</v>
      </c>
      <c r="D14" s="14" t="s">
        <v>20</v>
      </c>
      <c r="E14" s="14" t="s">
        <v>21</v>
      </c>
      <c r="F14" s="118">
        <v>197.80520999999999</v>
      </c>
    </row>
    <row r="15" spans="1:6" x14ac:dyDescent="0.25">
      <c r="A15" s="14" t="s">
        <v>33</v>
      </c>
      <c r="B15" s="14" t="s">
        <v>87</v>
      </c>
      <c r="C15" s="14" t="s">
        <v>19</v>
      </c>
      <c r="D15" s="14" t="s">
        <v>20</v>
      </c>
      <c r="E15" s="14" t="s">
        <v>21</v>
      </c>
      <c r="F15" s="118">
        <v>7.7625000000000002</v>
      </c>
    </row>
    <row r="16" spans="1:6" x14ac:dyDescent="0.25">
      <c r="A16" s="14" t="s">
        <v>34</v>
      </c>
      <c r="B16" s="14" t="s">
        <v>88</v>
      </c>
      <c r="C16" s="14" t="s">
        <v>19</v>
      </c>
      <c r="D16" s="14" t="s">
        <v>20</v>
      </c>
      <c r="E16" s="14" t="s">
        <v>21</v>
      </c>
      <c r="F16" s="118">
        <v>202.10134880000001</v>
      </c>
    </row>
    <row r="17" spans="1:6" x14ac:dyDescent="0.25">
      <c r="A17" s="14" t="s">
        <v>35</v>
      </c>
      <c r="B17" s="14" t="s">
        <v>89</v>
      </c>
      <c r="C17" s="14" t="s">
        <v>19</v>
      </c>
      <c r="D17" s="14" t="s">
        <v>20</v>
      </c>
      <c r="E17" s="14" t="s">
        <v>21</v>
      </c>
      <c r="F17" s="118">
        <v>177.58202259999999</v>
      </c>
    </row>
    <row r="18" spans="1:6" x14ac:dyDescent="0.25">
      <c r="A18" s="14" t="s">
        <v>36</v>
      </c>
      <c r="B18" s="14" t="s">
        <v>90</v>
      </c>
      <c r="C18" s="14" t="s">
        <v>19</v>
      </c>
      <c r="D18" s="14" t="s">
        <v>20</v>
      </c>
      <c r="E18" s="14" t="s">
        <v>21</v>
      </c>
      <c r="F18" s="118">
        <v>4.4744000000000002</v>
      </c>
    </row>
    <row r="19" spans="1:6" x14ac:dyDescent="0.25">
      <c r="A19" s="14" t="s">
        <v>37</v>
      </c>
      <c r="B19" s="14" t="s">
        <v>91</v>
      </c>
      <c r="C19" s="14" t="s">
        <v>19</v>
      </c>
      <c r="D19" s="14" t="s">
        <v>20</v>
      </c>
      <c r="E19" s="14" t="s">
        <v>21</v>
      </c>
      <c r="F19" s="118">
        <v>0.95120000000000005</v>
      </c>
    </row>
    <row r="20" spans="1:6" x14ac:dyDescent="0.25">
      <c r="A20" s="14" t="s">
        <v>38</v>
      </c>
      <c r="B20" s="14" t="s">
        <v>92</v>
      </c>
      <c r="C20" s="14" t="s">
        <v>19</v>
      </c>
      <c r="D20" s="14" t="s">
        <v>20</v>
      </c>
      <c r="E20" s="14" t="s">
        <v>21</v>
      </c>
      <c r="F20" s="118">
        <v>315.90199999999999</v>
      </c>
    </row>
    <row r="21" spans="1:6" x14ac:dyDescent="0.25">
      <c r="A21" s="14" t="s">
        <v>39</v>
      </c>
      <c r="B21" s="14" t="s">
        <v>93</v>
      </c>
      <c r="C21" s="14" t="s">
        <v>19</v>
      </c>
      <c r="D21" s="14" t="s">
        <v>20</v>
      </c>
      <c r="E21" s="14" t="s">
        <v>21</v>
      </c>
      <c r="F21" s="118">
        <v>448.44824879999999</v>
      </c>
    </row>
    <row r="22" spans="1:6" x14ac:dyDescent="0.25">
      <c r="A22" s="14" t="s">
        <v>40</v>
      </c>
      <c r="B22" s="14" t="s">
        <v>93</v>
      </c>
      <c r="C22" s="14" t="s">
        <v>19</v>
      </c>
      <c r="D22" s="14" t="s">
        <v>20</v>
      </c>
      <c r="E22" s="14" t="s">
        <v>24</v>
      </c>
      <c r="F22" s="118">
        <v>129.66399999999999</v>
      </c>
    </row>
    <row r="23" spans="1:6" x14ac:dyDescent="0.25">
      <c r="A23" s="14" t="s">
        <v>41</v>
      </c>
      <c r="B23" s="14" t="s">
        <v>94</v>
      </c>
      <c r="C23" s="14" t="s">
        <v>19</v>
      </c>
      <c r="D23" s="14" t="s">
        <v>20</v>
      </c>
      <c r="E23" s="14" t="s">
        <v>21</v>
      </c>
      <c r="F23" s="118">
        <v>910.56049499999995</v>
      </c>
    </row>
    <row r="24" spans="1:6" x14ac:dyDescent="0.25">
      <c r="A24" s="14" t="s">
        <v>42</v>
      </c>
      <c r="B24" s="14" t="s">
        <v>95</v>
      </c>
      <c r="C24" s="14" t="s">
        <v>19</v>
      </c>
      <c r="D24" s="14" t="s">
        <v>20</v>
      </c>
      <c r="E24" s="14" t="s">
        <v>24</v>
      </c>
      <c r="F24" s="118">
        <v>51.314399999999999</v>
      </c>
    </row>
    <row r="25" spans="1:6" x14ac:dyDescent="0.25">
      <c r="A25" s="14" t="s">
        <v>43</v>
      </c>
      <c r="B25" s="14" t="s">
        <v>94</v>
      </c>
      <c r="C25" s="14" t="s">
        <v>19</v>
      </c>
      <c r="D25" s="14" t="s">
        <v>20</v>
      </c>
      <c r="E25" s="14" t="s">
        <v>21</v>
      </c>
      <c r="F25" s="118">
        <v>22.5</v>
      </c>
    </row>
    <row r="26" spans="1:6" x14ac:dyDescent="0.25">
      <c r="A26" s="14" t="s">
        <v>44</v>
      </c>
      <c r="B26" s="14" t="s">
        <v>96</v>
      </c>
      <c r="C26" s="14" t="s">
        <v>19</v>
      </c>
      <c r="D26" s="14" t="s">
        <v>20</v>
      </c>
      <c r="E26" s="14" t="s">
        <v>24</v>
      </c>
      <c r="F26" s="118">
        <v>62.523200000000003</v>
      </c>
    </row>
    <row r="27" spans="1:6" x14ac:dyDescent="0.25">
      <c r="A27" s="14" t="s">
        <v>45</v>
      </c>
      <c r="B27" s="14" t="s">
        <v>97</v>
      </c>
      <c r="C27" s="14" t="s">
        <v>19</v>
      </c>
      <c r="D27" s="14" t="s">
        <v>20</v>
      </c>
      <c r="E27" s="14" t="s">
        <v>21</v>
      </c>
      <c r="F27" s="118">
        <v>97.427064000000001</v>
      </c>
    </row>
    <row r="28" spans="1:6" x14ac:dyDescent="0.25">
      <c r="A28" s="14" t="s">
        <v>46</v>
      </c>
      <c r="B28" s="14" t="s">
        <v>97</v>
      </c>
      <c r="C28" s="14" t="s">
        <v>19</v>
      </c>
      <c r="D28" s="14" t="s">
        <v>20</v>
      </c>
      <c r="E28" s="14" t="s">
        <v>21</v>
      </c>
      <c r="F28" s="118">
        <v>16.871040000000001</v>
      </c>
    </row>
    <row r="29" spans="1:6" x14ac:dyDescent="0.25">
      <c r="A29" s="14" t="s">
        <v>47</v>
      </c>
      <c r="B29" s="14" t="s">
        <v>98</v>
      </c>
      <c r="C29" s="14" t="s">
        <v>19</v>
      </c>
      <c r="D29" s="14" t="s">
        <v>20</v>
      </c>
      <c r="E29" s="14" t="s">
        <v>21</v>
      </c>
      <c r="F29" s="118">
        <v>58.774749999999997</v>
      </c>
    </row>
    <row r="30" spans="1:6" x14ac:dyDescent="0.25">
      <c r="A30" s="14" t="s">
        <v>48</v>
      </c>
      <c r="B30" s="14" t="s">
        <v>98</v>
      </c>
      <c r="C30" s="14" t="s">
        <v>19</v>
      </c>
      <c r="D30" s="14" t="s">
        <v>20</v>
      </c>
      <c r="E30" s="14" t="s">
        <v>21</v>
      </c>
      <c r="F30" s="118">
        <v>126.684</v>
      </c>
    </row>
    <row r="31" spans="1:6" x14ac:dyDescent="0.25">
      <c r="A31" s="14" t="s">
        <v>49</v>
      </c>
      <c r="B31" s="14" t="s">
        <v>99</v>
      </c>
      <c r="C31" s="14" t="s">
        <v>19</v>
      </c>
      <c r="D31" s="14" t="s">
        <v>20</v>
      </c>
      <c r="E31" s="14" t="s">
        <v>21</v>
      </c>
      <c r="F31" s="118">
        <v>49.933</v>
      </c>
    </row>
    <row r="32" spans="1:6" x14ac:dyDescent="0.25">
      <c r="A32" s="14" t="s">
        <v>50</v>
      </c>
      <c r="B32" s="14" t="s">
        <v>100</v>
      </c>
      <c r="C32" s="14" t="s">
        <v>19</v>
      </c>
      <c r="D32" s="14" t="s">
        <v>20</v>
      </c>
      <c r="E32" s="14" t="s">
        <v>21</v>
      </c>
      <c r="F32" s="118">
        <v>110.51861100000001</v>
      </c>
    </row>
    <row r="33" spans="1:6" x14ac:dyDescent="0.25">
      <c r="A33" s="14" t="s">
        <v>51</v>
      </c>
      <c r="B33" s="14" t="s">
        <v>101</v>
      </c>
      <c r="C33" s="14" t="s">
        <v>19</v>
      </c>
      <c r="D33" s="14" t="s">
        <v>20</v>
      </c>
      <c r="E33" s="14" t="s">
        <v>21</v>
      </c>
      <c r="F33" s="118">
        <v>108.56425</v>
      </c>
    </row>
    <row r="34" spans="1:6" x14ac:dyDescent="0.25">
      <c r="A34" s="14" t="s">
        <v>52</v>
      </c>
      <c r="B34" s="14" t="s">
        <v>102</v>
      </c>
      <c r="C34" s="14" t="s">
        <v>19</v>
      </c>
      <c r="D34" s="14" t="s">
        <v>20</v>
      </c>
      <c r="E34" s="14" t="s">
        <v>21</v>
      </c>
      <c r="F34" s="118">
        <v>467.1</v>
      </c>
    </row>
    <row r="35" spans="1:6" x14ac:dyDescent="0.25">
      <c r="A35" s="14" t="s">
        <v>53</v>
      </c>
      <c r="B35" s="14" t="s">
        <v>102</v>
      </c>
      <c r="C35" s="14" t="s">
        <v>19</v>
      </c>
      <c r="D35" s="14" t="s">
        <v>20</v>
      </c>
      <c r="E35" s="14" t="s">
        <v>21</v>
      </c>
      <c r="F35" s="118">
        <v>1247.0369304000001</v>
      </c>
    </row>
    <row r="36" spans="1:6" x14ac:dyDescent="0.25">
      <c r="A36" s="14" t="s">
        <v>54</v>
      </c>
      <c r="B36" s="14" t="s">
        <v>103</v>
      </c>
      <c r="C36" s="14" t="s">
        <v>19</v>
      </c>
      <c r="D36" s="14" t="s">
        <v>20</v>
      </c>
      <c r="E36" s="14" t="s">
        <v>21</v>
      </c>
      <c r="F36" s="118">
        <v>401.25900000000001</v>
      </c>
    </row>
    <row r="37" spans="1:6" x14ac:dyDescent="0.25">
      <c r="A37" s="14" t="s">
        <v>55</v>
      </c>
      <c r="B37" s="14" t="s">
        <v>104</v>
      </c>
      <c r="C37" s="14" t="s">
        <v>19</v>
      </c>
      <c r="D37" s="14" t="s">
        <v>20</v>
      </c>
      <c r="E37" s="14" t="s">
        <v>21</v>
      </c>
      <c r="F37" s="118">
        <v>12.875</v>
      </c>
    </row>
    <row r="38" spans="1:6" x14ac:dyDescent="0.25">
      <c r="A38" s="14" t="s">
        <v>56</v>
      </c>
      <c r="B38" s="14" t="s">
        <v>103</v>
      </c>
      <c r="C38" s="14" t="s">
        <v>19</v>
      </c>
      <c r="D38" s="14" t="s">
        <v>20</v>
      </c>
      <c r="E38" s="14" t="s">
        <v>21</v>
      </c>
      <c r="F38" s="118">
        <v>284.39999999999998</v>
      </c>
    </row>
    <row r="39" spans="1:6" x14ac:dyDescent="0.25">
      <c r="A39" s="14" t="s">
        <v>57</v>
      </c>
      <c r="B39" s="14" t="s">
        <v>105</v>
      </c>
      <c r="C39" s="14" t="s">
        <v>19</v>
      </c>
      <c r="D39" s="14" t="s">
        <v>20</v>
      </c>
      <c r="E39" s="14" t="s">
        <v>21</v>
      </c>
      <c r="F39" s="118">
        <v>507.39337180000001</v>
      </c>
    </row>
    <row r="40" spans="1:6" x14ac:dyDescent="0.25">
      <c r="A40" s="14" t="s">
        <v>58</v>
      </c>
      <c r="B40" s="14" t="s">
        <v>105</v>
      </c>
      <c r="C40" s="14" t="s">
        <v>19</v>
      </c>
      <c r="D40" s="14" t="s">
        <v>20</v>
      </c>
      <c r="E40" s="14" t="s">
        <v>21</v>
      </c>
      <c r="F40" s="118">
        <v>10.4922</v>
      </c>
    </row>
    <row r="41" spans="1:6" x14ac:dyDescent="0.25">
      <c r="A41" s="14" t="s">
        <v>59</v>
      </c>
      <c r="B41" s="14" t="s">
        <v>105</v>
      </c>
      <c r="C41" s="14" t="s">
        <v>19</v>
      </c>
      <c r="D41" s="14" t="s">
        <v>20</v>
      </c>
      <c r="E41" s="14" t="s">
        <v>21</v>
      </c>
      <c r="F41" s="118">
        <v>72.022000000000006</v>
      </c>
    </row>
    <row r="42" spans="1:6" x14ac:dyDescent="0.25">
      <c r="A42" s="14" t="s">
        <v>60</v>
      </c>
      <c r="B42" s="14" t="s">
        <v>106</v>
      </c>
      <c r="C42" s="14" t="s">
        <v>19</v>
      </c>
      <c r="D42" s="14" t="s">
        <v>20</v>
      </c>
      <c r="E42" s="14" t="s">
        <v>21</v>
      </c>
      <c r="F42" s="118">
        <v>58.422111000000001</v>
      </c>
    </row>
    <row r="43" spans="1:6" x14ac:dyDescent="0.25">
      <c r="A43" s="14" t="s">
        <v>61</v>
      </c>
      <c r="B43" s="14" t="s">
        <v>106</v>
      </c>
      <c r="C43" s="14" t="s">
        <v>19</v>
      </c>
      <c r="D43" s="14" t="s">
        <v>20</v>
      </c>
      <c r="E43" s="14" t="s">
        <v>21</v>
      </c>
      <c r="F43" s="118">
        <v>10.00848</v>
      </c>
    </row>
    <row r="44" spans="1:6" x14ac:dyDescent="0.25">
      <c r="A44" s="14" t="s">
        <v>62</v>
      </c>
      <c r="B44" s="14" t="s">
        <v>107</v>
      </c>
      <c r="C44" s="14" t="s">
        <v>19</v>
      </c>
      <c r="D44" s="14" t="s">
        <v>20</v>
      </c>
      <c r="E44" s="14" t="s">
        <v>21</v>
      </c>
      <c r="F44" s="118">
        <v>242.28217480000001</v>
      </c>
    </row>
    <row r="45" spans="1:6" x14ac:dyDescent="0.25">
      <c r="A45" s="14" t="s">
        <v>63</v>
      </c>
      <c r="B45" s="14" t="s">
        <v>109</v>
      </c>
      <c r="C45" s="14" t="s">
        <v>19</v>
      </c>
      <c r="D45" s="14" t="s">
        <v>20</v>
      </c>
      <c r="E45" s="14" t="s">
        <v>21</v>
      </c>
      <c r="F45" s="118">
        <v>36.643999999999998</v>
      </c>
    </row>
    <row r="46" spans="1:6" x14ac:dyDescent="0.25">
      <c r="A46" s="14" t="s">
        <v>64</v>
      </c>
      <c r="B46" s="14" t="s">
        <v>110</v>
      </c>
      <c r="C46" s="14" t="s">
        <v>19</v>
      </c>
      <c r="D46" s="14" t="s">
        <v>20</v>
      </c>
      <c r="E46" s="14" t="s">
        <v>21</v>
      </c>
      <c r="F46" s="118">
        <v>3.0484800000000001</v>
      </c>
    </row>
    <row r="47" spans="1:6" x14ac:dyDescent="0.25">
      <c r="A47" s="14" t="s">
        <v>65</v>
      </c>
      <c r="B47" s="14" t="s">
        <v>108</v>
      </c>
      <c r="C47" s="14" t="s">
        <v>19</v>
      </c>
      <c r="D47" s="14" t="s">
        <v>20</v>
      </c>
      <c r="E47" s="14" t="s">
        <v>21</v>
      </c>
      <c r="F47" s="118">
        <v>321.61154699999997</v>
      </c>
    </row>
    <row r="48" spans="1:6" x14ac:dyDescent="0.25">
      <c r="A48" s="14" t="s">
        <v>66</v>
      </c>
      <c r="B48" s="14" t="s">
        <v>111</v>
      </c>
      <c r="C48" s="14" t="s">
        <v>19</v>
      </c>
      <c r="D48" s="14" t="s">
        <v>20</v>
      </c>
      <c r="E48" s="14" t="s">
        <v>21</v>
      </c>
      <c r="F48" s="118">
        <v>6.1749999999999998</v>
      </c>
    </row>
    <row r="49" spans="1:6" x14ac:dyDescent="0.25">
      <c r="A49" s="14" t="s">
        <v>67</v>
      </c>
      <c r="B49" s="14" t="s">
        <v>111</v>
      </c>
      <c r="C49" s="14" t="s">
        <v>19</v>
      </c>
      <c r="D49" s="14" t="s">
        <v>20</v>
      </c>
      <c r="E49" s="14" t="s">
        <v>21</v>
      </c>
      <c r="F49" s="118">
        <v>47.552343999999998</v>
      </c>
    </row>
    <row r="50" spans="1:6" x14ac:dyDescent="0.25">
      <c r="A50" s="14" t="s">
        <v>68</v>
      </c>
      <c r="B50" s="14" t="s">
        <v>112</v>
      </c>
      <c r="C50" s="14" t="s">
        <v>19</v>
      </c>
      <c r="D50" s="14" t="s">
        <v>20</v>
      </c>
      <c r="E50" s="14" t="s">
        <v>21</v>
      </c>
      <c r="F50" s="118">
        <v>92.425025199999993</v>
      </c>
    </row>
    <row r="51" spans="1:6" x14ac:dyDescent="0.25">
      <c r="A51" s="14" t="s">
        <v>69</v>
      </c>
      <c r="B51" s="14" t="s">
        <v>112</v>
      </c>
      <c r="C51" s="14" t="s">
        <v>19</v>
      </c>
      <c r="D51" s="14" t="s">
        <v>20</v>
      </c>
      <c r="E51" s="14" t="s">
        <v>21</v>
      </c>
      <c r="F51" s="118">
        <v>117.43774000000001</v>
      </c>
    </row>
    <row r="52" spans="1:6" x14ac:dyDescent="0.25">
      <c r="A52" s="14" t="s">
        <v>70</v>
      </c>
      <c r="B52" s="14" t="s">
        <v>112</v>
      </c>
      <c r="C52" s="14" t="s">
        <v>19</v>
      </c>
      <c r="D52" s="14" t="s">
        <v>20</v>
      </c>
      <c r="E52" s="14" t="s">
        <v>21</v>
      </c>
      <c r="F52" s="118">
        <v>9.9527999999999999</v>
      </c>
    </row>
    <row r="53" spans="1:6" x14ac:dyDescent="0.25">
      <c r="A53" s="14" t="s">
        <v>71</v>
      </c>
      <c r="B53" s="14" t="s">
        <v>113</v>
      </c>
      <c r="C53" s="14" t="s">
        <v>19</v>
      </c>
      <c r="D53" s="14" t="s">
        <v>20</v>
      </c>
      <c r="E53" s="14" t="s">
        <v>24</v>
      </c>
      <c r="F53" s="118">
        <v>64.404319999999998</v>
      </c>
    </row>
    <row r="54" spans="1:6" x14ac:dyDescent="0.25">
      <c r="A54" s="14" t="s">
        <v>72</v>
      </c>
      <c r="B54" s="14" t="s">
        <v>114</v>
      </c>
      <c r="C54" s="14" t="s">
        <v>19</v>
      </c>
      <c r="D54" s="14" t="s">
        <v>20</v>
      </c>
      <c r="E54" s="14" t="s">
        <v>21</v>
      </c>
      <c r="F54" s="118">
        <v>3.2008000000000001</v>
      </c>
    </row>
    <row r="55" spans="1:6" x14ac:dyDescent="0.25">
      <c r="A55" s="14" t="s">
        <v>73</v>
      </c>
      <c r="B55" s="14" t="s">
        <v>115</v>
      </c>
      <c r="C55" s="14" t="s">
        <v>19</v>
      </c>
      <c r="D55" s="14" t="s">
        <v>20</v>
      </c>
      <c r="E55" s="14" t="s">
        <v>24</v>
      </c>
      <c r="F55" s="118">
        <v>201.228488</v>
      </c>
    </row>
    <row r="56" spans="1:6" x14ac:dyDescent="0.25">
      <c r="A56" s="14" t="s">
        <v>74</v>
      </c>
      <c r="B56" s="14" t="s">
        <v>116</v>
      </c>
      <c r="C56" s="14" t="s">
        <v>19</v>
      </c>
      <c r="D56" s="14" t="s">
        <v>20</v>
      </c>
      <c r="E56" s="14" t="s">
        <v>21</v>
      </c>
      <c r="F56" s="118">
        <v>174.44492</v>
      </c>
    </row>
    <row r="57" spans="1:6" x14ac:dyDescent="0.25">
      <c r="A57" s="14" t="s">
        <v>75</v>
      </c>
      <c r="B57" s="14" t="s">
        <v>117</v>
      </c>
      <c r="C57" s="14" t="s">
        <v>19</v>
      </c>
      <c r="D57" s="14" t="s">
        <v>20</v>
      </c>
      <c r="E57" s="14" t="s">
        <v>21</v>
      </c>
      <c r="F57" s="118">
        <v>317.10000000000002</v>
      </c>
    </row>
    <row r="58" spans="1:6" x14ac:dyDescent="0.25">
      <c r="A58" s="14" t="s">
        <v>76</v>
      </c>
      <c r="B58" s="14" t="s">
        <v>117</v>
      </c>
      <c r="C58" s="14" t="s">
        <v>19</v>
      </c>
      <c r="D58" s="14" t="s">
        <v>20</v>
      </c>
      <c r="E58" s="14" t="s">
        <v>21</v>
      </c>
      <c r="F58" s="118">
        <v>23.669540000000001</v>
      </c>
    </row>
    <row r="59" spans="1:6" x14ac:dyDescent="0.25">
      <c r="A59" s="14" t="s">
        <v>77</v>
      </c>
      <c r="B59" s="14" t="s">
        <v>117</v>
      </c>
      <c r="C59" s="14" t="s">
        <v>19</v>
      </c>
      <c r="D59" s="14" t="s">
        <v>20</v>
      </c>
      <c r="E59" s="14" t="s">
        <v>21</v>
      </c>
      <c r="F59" s="118">
        <v>1646.9741415999999</v>
      </c>
    </row>
    <row r="60" spans="1:6" x14ac:dyDescent="0.25">
      <c r="A60" s="14" t="s">
        <v>78</v>
      </c>
      <c r="B60" s="14" t="s">
        <v>118</v>
      </c>
      <c r="C60" s="14" t="s">
        <v>19</v>
      </c>
      <c r="D60" s="14" t="s">
        <v>20</v>
      </c>
      <c r="E60" s="14" t="s">
        <v>21</v>
      </c>
      <c r="F60" s="118">
        <v>1723.9183158000001</v>
      </c>
    </row>
    <row r="61" spans="1:6" x14ac:dyDescent="0.25">
      <c r="A61" s="14" t="s">
        <v>79</v>
      </c>
      <c r="B61" s="14" t="s">
        <v>118</v>
      </c>
      <c r="C61" s="14" t="s">
        <v>19</v>
      </c>
      <c r="D61" s="14" t="s">
        <v>20</v>
      </c>
      <c r="E61" s="14" t="s">
        <v>21</v>
      </c>
      <c r="F61" s="118">
        <v>59.916240000000002</v>
      </c>
    </row>
    <row r="62" spans="1:6" x14ac:dyDescent="0.25">
      <c r="A62" s="14" t="s">
        <v>80</v>
      </c>
      <c r="B62" s="14" t="s">
        <v>119</v>
      </c>
      <c r="C62" s="14" t="s">
        <v>19</v>
      </c>
      <c r="D62" s="14" t="s">
        <v>20</v>
      </c>
      <c r="E62" s="14" t="s">
        <v>21</v>
      </c>
      <c r="F62" s="118">
        <v>21.94</v>
      </c>
    </row>
    <row r="63" spans="1:6" x14ac:dyDescent="0.25">
      <c r="A63" s="14" t="s">
        <v>81</v>
      </c>
      <c r="B63" s="14" t="s">
        <v>120</v>
      </c>
      <c r="C63" s="14" t="s">
        <v>19</v>
      </c>
      <c r="D63" s="14" t="s">
        <v>20</v>
      </c>
      <c r="E63" s="14" t="s">
        <v>21</v>
      </c>
      <c r="F63" s="118">
        <v>120.24791999999999</v>
      </c>
    </row>
    <row r="64" spans="1:6" x14ac:dyDescent="0.25">
      <c r="A64" s="14" t="s">
        <v>82</v>
      </c>
      <c r="B64" s="14" t="s">
        <v>119</v>
      </c>
      <c r="C64" s="14" t="s">
        <v>19</v>
      </c>
      <c r="D64" s="14" t="s">
        <v>20</v>
      </c>
      <c r="E64" s="14" t="s">
        <v>21</v>
      </c>
      <c r="F64" s="118">
        <v>9.1995945999999993</v>
      </c>
    </row>
    <row r="65" spans="1:8" s="13" customFormat="1" x14ac:dyDescent="0.25">
      <c r="A65" s="14"/>
      <c r="B65" s="14"/>
      <c r="C65" s="14"/>
      <c r="D65" s="14"/>
      <c r="E65" s="14" t="s">
        <v>223</v>
      </c>
      <c r="F65" s="65">
        <f>SUM(F5:F64)</f>
        <v>13214.910333600001</v>
      </c>
    </row>
    <row r="66" spans="1:8" s="13" customFormat="1" x14ac:dyDescent="0.25">
      <c r="A66" s="14"/>
      <c r="B66" s="14"/>
      <c r="C66" s="14"/>
      <c r="D66" s="14"/>
      <c r="E66" s="14"/>
      <c r="F66" s="119"/>
    </row>
    <row r="67" spans="1:8" s="13" customFormat="1" x14ac:dyDescent="0.25">
      <c r="A67" s="14" t="s">
        <v>232</v>
      </c>
      <c r="B67" s="14"/>
      <c r="C67" s="14"/>
      <c r="D67" s="14"/>
      <c r="E67" s="14"/>
      <c r="F67" s="119"/>
    </row>
    <row r="68" spans="1:8" ht="28.5" x14ac:dyDescent="0.45">
      <c r="B68" s="33" t="s">
        <v>238</v>
      </c>
      <c r="D68" s="36"/>
    </row>
    <row r="70" spans="1:8" x14ac:dyDescent="0.25">
      <c r="A70" s="13" t="s">
        <v>141</v>
      </c>
      <c r="B70" s="13" t="s">
        <v>0</v>
      </c>
      <c r="C70" s="13" t="s">
        <v>14</v>
      </c>
      <c r="D70" s="13" t="s">
        <v>144</v>
      </c>
      <c r="E70" s="13" t="s">
        <v>15</v>
      </c>
      <c r="F70" s="13" t="s">
        <v>16</v>
      </c>
      <c r="G70" s="13" t="s">
        <v>17</v>
      </c>
      <c r="H70" s="13" t="s">
        <v>4</v>
      </c>
    </row>
    <row r="71" spans="1:8" x14ac:dyDescent="0.25">
      <c r="A71" s="14" t="s">
        <v>145</v>
      </c>
      <c r="B71" s="14" t="s">
        <v>146</v>
      </c>
      <c r="C71" s="14" t="s">
        <v>19</v>
      </c>
      <c r="D71" s="14" t="s">
        <v>147</v>
      </c>
      <c r="E71" s="14" t="s">
        <v>20</v>
      </c>
      <c r="F71" s="14" t="s">
        <v>21</v>
      </c>
      <c r="G71" s="14" t="s">
        <v>22</v>
      </c>
      <c r="H71" s="118">
        <v>4.4071999999999996</v>
      </c>
    </row>
    <row r="72" spans="1:8" x14ac:dyDescent="0.25">
      <c r="A72" s="14" t="s">
        <v>148</v>
      </c>
      <c r="B72" s="14" t="s">
        <v>149</v>
      </c>
      <c r="C72" s="14" t="s">
        <v>19</v>
      </c>
      <c r="D72" s="14" t="s">
        <v>147</v>
      </c>
      <c r="E72" s="14" t="s">
        <v>20</v>
      </c>
      <c r="F72" s="14" t="s">
        <v>21</v>
      </c>
      <c r="G72" s="14" t="s">
        <v>22</v>
      </c>
      <c r="H72" s="118">
        <v>71.936469599999995</v>
      </c>
    </row>
    <row r="73" spans="1:8" x14ac:dyDescent="0.25">
      <c r="A73" s="14" t="s">
        <v>150</v>
      </c>
      <c r="B73" s="14" t="s">
        <v>151</v>
      </c>
      <c r="C73" s="14" t="s">
        <v>19</v>
      </c>
      <c r="D73" s="14" t="s">
        <v>147</v>
      </c>
      <c r="E73" s="14" t="s">
        <v>20</v>
      </c>
      <c r="F73" s="14" t="s">
        <v>21</v>
      </c>
      <c r="G73" s="14" t="s">
        <v>22</v>
      </c>
      <c r="H73" s="118">
        <v>64.223575999999994</v>
      </c>
    </row>
    <row r="74" spans="1:8" x14ac:dyDescent="0.25">
      <c r="A74" s="14" t="s">
        <v>152</v>
      </c>
      <c r="B74" s="14" t="s">
        <v>153</v>
      </c>
      <c r="C74" s="14" t="s">
        <v>19</v>
      </c>
      <c r="D74" s="14" t="s">
        <v>147</v>
      </c>
      <c r="E74" s="14" t="s">
        <v>20</v>
      </c>
      <c r="F74" s="14" t="s">
        <v>21</v>
      </c>
      <c r="G74" s="14" t="s">
        <v>22</v>
      </c>
      <c r="H74" s="118">
        <v>7.9207200000000002</v>
      </c>
    </row>
    <row r="75" spans="1:8" x14ac:dyDescent="0.25">
      <c r="A75" s="14" t="s">
        <v>154</v>
      </c>
      <c r="B75" s="14" t="s">
        <v>155</v>
      </c>
      <c r="C75" s="14" t="s">
        <v>19</v>
      </c>
      <c r="D75" s="14" t="s">
        <v>147</v>
      </c>
      <c r="E75" s="14" t="s">
        <v>20</v>
      </c>
      <c r="F75" s="14" t="s">
        <v>21</v>
      </c>
      <c r="G75" s="14" t="s">
        <v>22</v>
      </c>
      <c r="H75" s="118">
        <v>444.833055</v>
      </c>
    </row>
    <row r="76" spans="1:8" x14ac:dyDescent="0.25">
      <c r="A76" s="14" t="s">
        <v>156</v>
      </c>
      <c r="B76" s="14" t="s">
        <v>157</v>
      </c>
      <c r="C76" s="14" t="s">
        <v>19</v>
      </c>
      <c r="D76" s="14" t="s">
        <v>147</v>
      </c>
      <c r="E76" s="14" t="s">
        <v>20</v>
      </c>
      <c r="F76" s="14" t="s">
        <v>21</v>
      </c>
      <c r="G76" s="14" t="s">
        <v>22</v>
      </c>
      <c r="H76" s="118">
        <v>33.824440000000003</v>
      </c>
    </row>
    <row r="77" spans="1:8" x14ac:dyDescent="0.25">
      <c r="A77" s="14" t="s">
        <v>158</v>
      </c>
      <c r="B77" s="14" t="s">
        <v>159</v>
      </c>
      <c r="C77" s="14" t="s">
        <v>19</v>
      </c>
      <c r="D77" s="14" t="s">
        <v>147</v>
      </c>
      <c r="E77" s="14" t="s">
        <v>20</v>
      </c>
      <c r="F77" s="14" t="s">
        <v>21</v>
      </c>
      <c r="G77" s="14" t="s">
        <v>22</v>
      </c>
      <c r="H77" s="118">
        <v>338.29056800000001</v>
      </c>
    </row>
    <row r="78" spans="1:8" x14ac:dyDescent="0.25">
      <c r="A78" s="14" t="s">
        <v>160</v>
      </c>
      <c r="B78" s="14" t="s">
        <v>161</v>
      </c>
      <c r="C78" s="14" t="s">
        <v>19</v>
      </c>
      <c r="D78" s="14" t="s">
        <v>147</v>
      </c>
      <c r="E78" s="14" t="s">
        <v>20</v>
      </c>
      <c r="F78" s="14" t="s">
        <v>21</v>
      </c>
      <c r="G78" s="14" t="s">
        <v>22</v>
      </c>
      <c r="H78" s="118">
        <v>1236.7393939999999</v>
      </c>
    </row>
    <row r="79" spans="1:8" x14ac:dyDescent="0.25">
      <c r="A79" s="14" t="s">
        <v>162</v>
      </c>
      <c r="B79" s="14" t="s">
        <v>163</v>
      </c>
      <c r="C79" s="14" t="s">
        <v>19</v>
      </c>
      <c r="D79" s="14" t="s">
        <v>147</v>
      </c>
      <c r="E79" s="14" t="s">
        <v>20</v>
      </c>
      <c r="F79" s="14" t="s">
        <v>21</v>
      </c>
      <c r="G79" s="14" t="s">
        <v>22</v>
      </c>
      <c r="H79" s="118">
        <v>11.11164</v>
      </c>
    </row>
    <row r="80" spans="1:8" x14ac:dyDescent="0.25">
      <c r="A80" s="14" t="s">
        <v>164</v>
      </c>
      <c r="B80" s="14" t="s">
        <v>165</v>
      </c>
      <c r="C80" s="14" t="s">
        <v>19</v>
      </c>
      <c r="D80" s="14" t="s">
        <v>147</v>
      </c>
      <c r="E80" s="14" t="s">
        <v>20</v>
      </c>
      <c r="F80" s="14" t="s">
        <v>21</v>
      </c>
      <c r="G80" s="14" t="s">
        <v>22</v>
      </c>
      <c r="H80" s="118">
        <v>2.3352499999999998</v>
      </c>
    </row>
    <row r="81" spans="1:8" x14ac:dyDescent="0.25">
      <c r="A81" s="14" t="s">
        <v>166</v>
      </c>
      <c r="B81" s="14" t="s">
        <v>167</v>
      </c>
      <c r="C81" s="14" t="s">
        <v>19</v>
      </c>
      <c r="D81" s="14" t="s">
        <v>147</v>
      </c>
      <c r="E81" s="14" t="s">
        <v>20</v>
      </c>
      <c r="F81" s="14" t="s">
        <v>24</v>
      </c>
      <c r="G81" s="14" t="s">
        <v>22</v>
      </c>
      <c r="H81" s="118">
        <v>369.16</v>
      </c>
    </row>
    <row r="82" spans="1:8" x14ac:dyDescent="0.25">
      <c r="A82" s="14" t="s">
        <v>168</v>
      </c>
      <c r="B82" s="14" t="s">
        <v>169</v>
      </c>
      <c r="C82" s="14" t="s">
        <v>19</v>
      </c>
      <c r="D82" s="14" t="s">
        <v>147</v>
      </c>
      <c r="E82" s="14" t="s">
        <v>20</v>
      </c>
      <c r="F82" s="14" t="s">
        <v>24</v>
      </c>
      <c r="G82" s="14" t="s">
        <v>22</v>
      </c>
      <c r="H82" s="118">
        <v>80.757603599999996</v>
      </c>
    </row>
    <row r="83" spans="1:8" x14ac:dyDescent="0.25">
      <c r="A83" s="14" t="s">
        <v>170</v>
      </c>
      <c r="B83" s="14" t="s">
        <v>171</v>
      </c>
      <c r="C83" s="14" t="s">
        <v>19</v>
      </c>
      <c r="D83" s="14" t="s">
        <v>147</v>
      </c>
      <c r="E83" s="14" t="s">
        <v>20</v>
      </c>
      <c r="F83" s="14" t="s">
        <v>24</v>
      </c>
      <c r="G83" s="14" t="s">
        <v>22</v>
      </c>
      <c r="H83" s="118">
        <v>51.267695600000003</v>
      </c>
    </row>
    <row r="84" spans="1:8" x14ac:dyDescent="0.25">
      <c r="A84" s="14" t="s">
        <v>172</v>
      </c>
      <c r="B84" s="14" t="s">
        <v>173</v>
      </c>
      <c r="C84" s="14" t="s">
        <v>19</v>
      </c>
      <c r="D84" s="14" t="s">
        <v>147</v>
      </c>
      <c r="E84" s="14" t="s">
        <v>20</v>
      </c>
      <c r="F84" s="14" t="s">
        <v>24</v>
      </c>
      <c r="G84" s="14" t="s">
        <v>22</v>
      </c>
      <c r="H84" s="118">
        <v>192.402805</v>
      </c>
    </row>
    <row r="85" spans="1:8" x14ac:dyDescent="0.25">
      <c r="A85" s="14" t="s">
        <v>174</v>
      </c>
      <c r="B85" s="14" t="s">
        <v>175</v>
      </c>
      <c r="C85" s="14" t="s">
        <v>19</v>
      </c>
      <c r="D85" s="14" t="s">
        <v>147</v>
      </c>
      <c r="E85" s="14" t="s">
        <v>20</v>
      </c>
      <c r="F85" s="14" t="s">
        <v>24</v>
      </c>
      <c r="G85" s="14" t="s">
        <v>22</v>
      </c>
      <c r="H85" s="118">
        <v>9.99</v>
      </c>
    </row>
    <row r="86" spans="1:8" x14ac:dyDescent="0.25">
      <c r="A86" s="14" t="s">
        <v>176</v>
      </c>
      <c r="B86" s="14" t="s">
        <v>177</v>
      </c>
      <c r="C86" s="14" t="s">
        <v>19</v>
      </c>
      <c r="D86" s="14" t="s">
        <v>147</v>
      </c>
      <c r="E86" s="14" t="s">
        <v>20</v>
      </c>
      <c r="F86" s="14" t="s">
        <v>24</v>
      </c>
      <c r="G86" s="14" t="s">
        <v>22</v>
      </c>
      <c r="H86" s="118">
        <v>116.56529</v>
      </c>
    </row>
    <row r="87" spans="1:8" x14ac:dyDescent="0.25">
      <c r="A87" s="14" t="s">
        <v>178</v>
      </c>
      <c r="B87" s="14" t="s">
        <v>179</v>
      </c>
      <c r="C87" s="14" t="s">
        <v>19</v>
      </c>
      <c r="D87" s="14" t="s">
        <v>147</v>
      </c>
      <c r="E87" s="14" t="s">
        <v>20</v>
      </c>
      <c r="F87" s="14" t="s">
        <v>21</v>
      </c>
      <c r="G87" s="14" t="s">
        <v>22</v>
      </c>
      <c r="H87" s="118">
        <v>234.29928580000001</v>
      </c>
    </row>
    <row r="88" spans="1:8" x14ac:dyDescent="0.25">
      <c r="A88" t="s">
        <v>241</v>
      </c>
      <c r="B88" t="s">
        <v>242</v>
      </c>
      <c r="C88" t="s">
        <v>19</v>
      </c>
      <c r="D88" t="s">
        <v>147</v>
      </c>
      <c r="E88" t="s">
        <v>20</v>
      </c>
      <c r="F88" t="s">
        <v>21</v>
      </c>
      <c r="G88" t="s">
        <v>22</v>
      </c>
      <c r="H88" s="117">
        <v>342.00799999999998</v>
      </c>
    </row>
    <row r="89" spans="1:8" x14ac:dyDescent="0.25">
      <c r="A89" t="s">
        <v>243</v>
      </c>
      <c r="B89" t="s">
        <v>244</v>
      </c>
      <c r="C89" t="s">
        <v>19</v>
      </c>
      <c r="D89" t="s">
        <v>147</v>
      </c>
      <c r="E89" t="s">
        <v>20</v>
      </c>
      <c r="F89" t="s">
        <v>21</v>
      </c>
      <c r="G89" t="s">
        <v>22</v>
      </c>
      <c r="H89" s="118">
        <v>101.62367999999999</v>
      </c>
    </row>
    <row r="90" spans="1:8" x14ac:dyDescent="0.25">
      <c r="A90" t="s">
        <v>245</v>
      </c>
      <c r="B90" t="s">
        <v>246</v>
      </c>
      <c r="C90" t="s">
        <v>19</v>
      </c>
      <c r="D90" t="s">
        <v>147</v>
      </c>
      <c r="E90" t="s">
        <v>20</v>
      </c>
      <c r="F90" t="s">
        <v>21</v>
      </c>
      <c r="G90" t="s">
        <v>22</v>
      </c>
      <c r="H90" s="118">
        <v>1691.5814198</v>
      </c>
    </row>
    <row r="91" spans="1:8" x14ac:dyDescent="0.25">
      <c r="A91" t="s">
        <v>247</v>
      </c>
      <c r="B91" t="s">
        <v>248</v>
      </c>
      <c r="C91" t="s">
        <v>19</v>
      </c>
      <c r="D91" t="s">
        <v>147</v>
      </c>
      <c r="E91" t="s">
        <v>20</v>
      </c>
      <c r="F91" t="s">
        <v>21</v>
      </c>
      <c r="G91" t="s">
        <v>22</v>
      </c>
      <c r="H91" s="118">
        <v>206.14748</v>
      </c>
    </row>
    <row r="92" spans="1:8" x14ac:dyDescent="0.25">
      <c r="A92" t="s">
        <v>249</v>
      </c>
      <c r="B92" t="s">
        <v>250</v>
      </c>
      <c r="C92" t="s">
        <v>19</v>
      </c>
      <c r="D92" t="s">
        <v>147</v>
      </c>
      <c r="E92" t="s">
        <v>20</v>
      </c>
      <c r="F92" t="s">
        <v>21</v>
      </c>
      <c r="G92" t="s">
        <v>22</v>
      </c>
      <c r="H92" s="118">
        <v>1.9179999999999999</v>
      </c>
    </row>
    <row r="93" spans="1:8" x14ac:dyDescent="0.25">
      <c r="A93" t="s">
        <v>251</v>
      </c>
      <c r="B93" t="s">
        <v>252</v>
      </c>
      <c r="C93" t="s">
        <v>19</v>
      </c>
      <c r="D93" t="s">
        <v>147</v>
      </c>
      <c r="E93" t="s">
        <v>20</v>
      </c>
      <c r="F93" t="s">
        <v>21</v>
      </c>
      <c r="G93" t="s">
        <v>22</v>
      </c>
      <c r="H93" s="118">
        <v>149.38198600000001</v>
      </c>
    </row>
    <row r="94" spans="1:8" x14ac:dyDescent="0.25">
      <c r="A94" t="s">
        <v>253</v>
      </c>
      <c r="B94" t="s">
        <v>254</v>
      </c>
      <c r="C94" t="s">
        <v>19</v>
      </c>
      <c r="D94" t="s">
        <v>147</v>
      </c>
      <c r="E94" t="s">
        <v>20</v>
      </c>
      <c r="F94" t="s">
        <v>21</v>
      </c>
      <c r="G94" t="s">
        <v>22</v>
      </c>
      <c r="H94" s="118">
        <v>99.567999999999998</v>
      </c>
    </row>
    <row r="95" spans="1:8" x14ac:dyDescent="0.25">
      <c r="A95" t="s">
        <v>255</v>
      </c>
      <c r="B95" t="s">
        <v>256</v>
      </c>
      <c r="C95" t="s">
        <v>19</v>
      </c>
      <c r="D95" t="s">
        <v>147</v>
      </c>
      <c r="E95" t="s">
        <v>20</v>
      </c>
      <c r="F95" t="s">
        <v>21</v>
      </c>
      <c r="G95" t="s">
        <v>22</v>
      </c>
      <c r="H95" s="118">
        <v>134.8345856</v>
      </c>
    </row>
    <row r="96" spans="1:8" x14ac:dyDescent="0.25">
      <c r="A96" t="s">
        <v>257</v>
      </c>
      <c r="B96" t="s">
        <v>258</v>
      </c>
      <c r="C96" t="s">
        <v>19</v>
      </c>
      <c r="D96" t="s">
        <v>147</v>
      </c>
      <c r="E96" t="s">
        <v>20</v>
      </c>
      <c r="F96" t="s">
        <v>21</v>
      </c>
      <c r="G96" t="s">
        <v>22</v>
      </c>
      <c r="H96" s="118">
        <v>121.928455</v>
      </c>
    </row>
    <row r="97" spans="1:8" x14ac:dyDescent="0.25">
      <c r="A97" t="s">
        <v>259</v>
      </c>
      <c r="B97" t="s">
        <v>260</v>
      </c>
      <c r="C97" t="s">
        <v>19</v>
      </c>
      <c r="D97" t="s">
        <v>147</v>
      </c>
      <c r="E97" t="s">
        <v>20</v>
      </c>
      <c r="F97" t="s">
        <v>21</v>
      </c>
      <c r="G97" t="s">
        <v>22</v>
      </c>
      <c r="H97" s="118">
        <v>310.14</v>
      </c>
    </row>
    <row r="98" spans="1:8" x14ac:dyDescent="0.25">
      <c r="A98" t="s">
        <v>261</v>
      </c>
      <c r="B98" t="s">
        <v>262</v>
      </c>
      <c r="C98" t="s">
        <v>19</v>
      </c>
      <c r="D98" t="s">
        <v>147</v>
      </c>
      <c r="E98" t="s">
        <v>20</v>
      </c>
      <c r="F98" t="s">
        <v>21</v>
      </c>
      <c r="G98" t="s">
        <v>22</v>
      </c>
      <c r="H98" s="118">
        <v>155.33131</v>
      </c>
    </row>
    <row r="99" spans="1:8" x14ac:dyDescent="0.25">
      <c r="A99" t="s">
        <v>263</v>
      </c>
      <c r="B99" t="s">
        <v>264</v>
      </c>
      <c r="C99" t="s">
        <v>19</v>
      </c>
      <c r="D99" t="s">
        <v>147</v>
      </c>
      <c r="E99" t="s">
        <v>20</v>
      </c>
      <c r="F99" t="s">
        <v>21</v>
      </c>
      <c r="G99" t="s">
        <v>22</v>
      </c>
      <c r="H99" s="118">
        <v>1302.702994</v>
      </c>
    </row>
    <row r="100" spans="1:8" x14ac:dyDescent="0.25">
      <c r="A100" t="s">
        <v>265</v>
      </c>
      <c r="B100" t="s">
        <v>266</v>
      </c>
      <c r="C100" t="s">
        <v>19</v>
      </c>
      <c r="D100" t="s">
        <v>147</v>
      </c>
      <c r="E100" t="s">
        <v>20</v>
      </c>
      <c r="F100" t="s">
        <v>21</v>
      </c>
      <c r="G100" t="s">
        <v>22</v>
      </c>
      <c r="H100" s="118">
        <v>987.72134059999996</v>
      </c>
    </row>
    <row r="101" spans="1:8" x14ac:dyDescent="0.25">
      <c r="A101" t="s">
        <v>267</v>
      </c>
      <c r="B101" t="s">
        <v>268</v>
      </c>
      <c r="C101" t="s">
        <v>19</v>
      </c>
      <c r="D101" t="s">
        <v>147</v>
      </c>
      <c r="E101" t="s">
        <v>20</v>
      </c>
      <c r="F101" t="s">
        <v>21</v>
      </c>
      <c r="G101" t="s">
        <v>22</v>
      </c>
      <c r="H101" s="118">
        <v>7.8</v>
      </c>
    </row>
    <row r="102" spans="1:8" x14ac:dyDescent="0.25">
      <c r="A102" t="s">
        <v>269</v>
      </c>
      <c r="B102" t="s">
        <v>270</v>
      </c>
      <c r="C102" t="s">
        <v>19</v>
      </c>
      <c r="D102" t="s">
        <v>147</v>
      </c>
      <c r="E102" t="s">
        <v>20</v>
      </c>
      <c r="F102" t="s">
        <v>21</v>
      </c>
      <c r="G102" t="s">
        <v>22</v>
      </c>
      <c r="H102" s="118">
        <v>83.822550000000007</v>
      </c>
    </row>
    <row r="103" spans="1:8" x14ac:dyDescent="0.25">
      <c r="A103" t="s">
        <v>271</v>
      </c>
      <c r="B103" t="s">
        <v>272</v>
      </c>
      <c r="C103" t="s">
        <v>19</v>
      </c>
      <c r="D103" t="s">
        <v>147</v>
      </c>
      <c r="E103" t="s">
        <v>20</v>
      </c>
      <c r="F103" t="s">
        <v>21</v>
      </c>
      <c r="G103" t="s">
        <v>22</v>
      </c>
      <c r="H103" s="118">
        <v>44.108075999999997</v>
      </c>
    </row>
    <row r="104" spans="1:8" x14ac:dyDescent="0.25">
      <c r="A104" t="s">
        <v>273</v>
      </c>
      <c r="B104" t="s">
        <v>274</v>
      </c>
      <c r="C104" t="s">
        <v>19</v>
      </c>
      <c r="D104" t="s">
        <v>147</v>
      </c>
      <c r="E104" t="s">
        <v>20</v>
      </c>
      <c r="F104" t="s">
        <v>21</v>
      </c>
      <c r="G104" t="s">
        <v>22</v>
      </c>
      <c r="H104" s="118">
        <v>12.875</v>
      </c>
    </row>
    <row r="105" spans="1:8" x14ac:dyDescent="0.25">
      <c r="A105" t="s">
        <v>275</v>
      </c>
      <c r="B105" t="s">
        <v>276</v>
      </c>
      <c r="C105" t="s">
        <v>19</v>
      </c>
      <c r="D105" t="s">
        <v>147</v>
      </c>
      <c r="E105" t="s">
        <v>20</v>
      </c>
      <c r="F105" t="s">
        <v>21</v>
      </c>
      <c r="G105" t="s">
        <v>22</v>
      </c>
      <c r="H105" s="118">
        <v>138.446</v>
      </c>
    </row>
    <row r="106" spans="1:8" x14ac:dyDescent="0.25">
      <c r="A106" s="14" t="s">
        <v>278</v>
      </c>
      <c r="B106" s="14" t="s">
        <v>279</v>
      </c>
      <c r="C106" s="14" t="s">
        <v>19</v>
      </c>
      <c r="D106" s="14" t="s">
        <v>147</v>
      </c>
      <c r="E106" s="14" t="s">
        <v>20</v>
      </c>
      <c r="F106" s="14" t="s">
        <v>21</v>
      </c>
      <c r="G106" s="14" t="s">
        <v>22</v>
      </c>
      <c r="H106" s="118">
        <v>129.32486599999999</v>
      </c>
    </row>
    <row r="107" spans="1:8" x14ac:dyDescent="0.25">
      <c r="A107" s="14" t="s">
        <v>280</v>
      </c>
      <c r="B107" s="14" t="s">
        <v>281</v>
      </c>
      <c r="C107" s="14" t="s">
        <v>19</v>
      </c>
      <c r="D107" s="14" t="s">
        <v>147</v>
      </c>
      <c r="E107" s="14" t="s">
        <v>20</v>
      </c>
      <c r="F107" s="14" t="s">
        <v>21</v>
      </c>
      <c r="G107" s="14" t="s">
        <v>22</v>
      </c>
      <c r="H107" s="118">
        <v>212.22</v>
      </c>
    </row>
    <row r="108" spans="1:8" x14ac:dyDescent="0.25">
      <c r="A108" s="14" t="s">
        <v>282</v>
      </c>
      <c r="B108" s="14" t="s">
        <v>283</v>
      </c>
      <c r="C108" s="14" t="s">
        <v>19</v>
      </c>
      <c r="D108" s="14" t="s">
        <v>147</v>
      </c>
      <c r="E108" s="14" t="s">
        <v>20</v>
      </c>
      <c r="F108" s="14" t="s">
        <v>21</v>
      </c>
      <c r="G108" s="14" t="s">
        <v>22</v>
      </c>
      <c r="H108" s="118">
        <v>201.62271999999999</v>
      </c>
    </row>
    <row r="109" spans="1:8" x14ac:dyDescent="0.25">
      <c r="A109" s="14" t="s">
        <v>284</v>
      </c>
      <c r="B109" s="14" t="s">
        <v>285</v>
      </c>
      <c r="C109" s="14" t="s">
        <v>19</v>
      </c>
      <c r="D109" s="14" t="s">
        <v>147</v>
      </c>
      <c r="E109" s="14" t="s">
        <v>20</v>
      </c>
      <c r="F109" s="14" t="s">
        <v>21</v>
      </c>
      <c r="G109" s="14" t="s">
        <v>22</v>
      </c>
      <c r="H109" s="118">
        <v>508.46619559999999</v>
      </c>
    </row>
    <row r="110" spans="1:8" x14ac:dyDescent="0.25">
      <c r="A110" s="14" t="s">
        <v>286</v>
      </c>
      <c r="B110" s="14" t="s">
        <v>287</v>
      </c>
      <c r="C110" s="14" t="s">
        <v>19</v>
      </c>
      <c r="D110" s="14" t="s">
        <v>147</v>
      </c>
      <c r="E110" s="14" t="s">
        <v>20</v>
      </c>
      <c r="F110" s="14" t="s">
        <v>21</v>
      </c>
      <c r="G110" s="14" t="s">
        <v>22</v>
      </c>
      <c r="H110" s="118">
        <v>398.09</v>
      </c>
    </row>
    <row r="111" spans="1:8" x14ac:dyDescent="0.25">
      <c r="A111" s="14" t="s">
        <v>288</v>
      </c>
      <c r="B111" s="14" t="s">
        <v>289</v>
      </c>
      <c r="C111" s="14" t="s">
        <v>19</v>
      </c>
      <c r="D111" s="14" t="s">
        <v>147</v>
      </c>
      <c r="E111" s="14" t="s">
        <v>20</v>
      </c>
      <c r="F111" s="14" t="s">
        <v>21</v>
      </c>
      <c r="G111" s="14" t="s">
        <v>22</v>
      </c>
      <c r="H111" s="118">
        <v>1462.5850444</v>
      </c>
    </row>
    <row r="112" spans="1:8" x14ac:dyDescent="0.25">
      <c r="A112" s="14" t="s">
        <v>290</v>
      </c>
      <c r="B112" s="14" t="s">
        <v>291</v>
      </c>
      <c r="C112" s="14" t="s">
        <v>19</v>
      </c>
      <c r="D112" s="14" t="s">
        <v>147</v>
      </c>
      <c r="E112" s="14" t="s">
        <v>20</v>
      </c>
      <c r="F112" s="14" t="s">
        <v>21</v>
      </c>
      <c r="G112" s="14" t="s">
        <v>22</v>
      </c>
      <c r="H112" s="118">
        <v>462.23175400000002</v>
      </c>
    </row>
    <row r="113" spans="1:8" x14ac:dyDescent="0.25">
      <c r="A113" s="14" t="s">
        <v>292</v>
      </c>
      <c r="B113" s="14" t="s">
        <v>293</v>
      </c>
      <c r="C113" s="14" t="s">
        <v>19</v>
      </c>
      <c r="D113" s="14" t="s">
        <v>147</v>
      </c>
      <c r="E113" s="14" t="s">
        <v>20</v>
      </c>
      <c r="F113" s="14" t="s">
        <v>21</v>
      </c>
      <c r="G113" s="14" t="s">
        <v>22</v>
      </c>
      <c r="H113" s="118">
        <v>5.85</v>
      </c>
    </row>
    <row r="114" spans="1:8" x14ac:dyDescent="0.25">
      <c r="A114" s="14" t="s">
        <v>294</v>
      </c>
      <c r="B114" s="14" t="s">
        <v>295</v>
      </c>
      <c r="C114" s="14" t="s">
        <v>19</v>
      </c>
      <c r="D114" s="14" t="s">
        <v>147</v>
      </c>
      <c r="E114" s="14" t="s">
        <v>20</v>
      </c>
      <c r="F114" s="14" t="s">
        <v>21</v>
      </c>
      <c r="G114" s="14" t="s">
        <v>22</v>
      </c>
      <c r="H114" s="118">
        <v>518.3903186</v>
      </c>
    </row>
    <row r="115" spans="1:8" x14ac:dyDescent="0.25">
      <c r="A115" s="14" t="s">
        <v>296</v>
      </c>
      <c r="B115" s="14" t="s">
        <v>297</v>
      </c>
      <c r="C115" s="14" t="s">
        <v>19</v>
      </c>
      <c r="D115" s="14" t="s">
        <v>147</v>
      </c>
      <c r="E115" s="14" t="s">
        <v>20</v>
      </c>
      <c r="F115" s="14" t="s">
        <v>21</v>
      </c>
      <c r="G115" s="14" t="s">
        <v>22</v>
      </c>
      <c r="H115" s="118">
        <v>502.7332088</v>
      </c>
    </row>
    <row r="116" spans="1:8" x14ac:dyDescent="0.25">
      <c r="G116" t="s">
        <v>223</v>
      </c>
      <c r="H116" s="118">
        <f>SUBTOTAL(109,H71:H115)</f>
        <v>13563.517977000001</v>
      </c>
    </row>
    <row r="117" spans="1:8" x14ac:dyDescent="0.25">
      <c r="H117" s="133">
        <f>H116/VENTAS!J71</f>
        <v>0.68377752476033749</v>
      </c>
    </row>
    <row r="121" spans="1:8" x14ac:dyDescent="0.25">
      <c r="A121" t="s">
        <v>232</v>
      </c>
      <c r="C121" s="175">
        <v>44440</v>
      </c>
    </row>
    <row r="123" spans="1:8" x14ac:dyDescent="0.25">
      <c r="A123" s="13" t="s">
        <v>13</v>
      </c>
      <c r="B123" s="13" t="s">
        <v>0</v>
      </c>
      <c r="C123" s="13" t="s">
        <v>14</v>
      </c>
      <c r="D123" s="13" t="s">
        <v>144</v>
      </c>
      <c r="E123" s="13" t="s">
        <v>15</v>
      </c>
      <c r="F123" s="13" t="s">
        <v>16</v>
      </c>
      <c r="G123" s="13" t="s">
        <v>17</v>
      </c>
      <c r="H123" s="13" t="s">
        <v>4</v>
      </c>
    </row>
    <row r="124" spans="1:8" x14ac:dyDescent="0.25">
      <c r="A124" s="14" t="s">
        <v>308</v>
      </c>
      <c r="B124" s="14" t="s">
        <v>309</v>
      </c>
      <c r="C124" s="14" t="s">
        <v>19</v>
      </c>
      <c r="D124" s="14" t="s">
        <v>147</v>
      </c>
      <c r="E124" s="14" t="s">
        <v>20</v>
      </c>
      <c r="F124" s="14" t="s">
        <v>21</v>
      </c>
      <c r="G124" s="14" t="s">
        <v>22</v>
      </c>
      <c r="H124" s="13">
        <v>126.6303486</v>
      </c>
    </row>
    <row r="125" spans="1:8" x14ac:dyDescent="0.25">
      <c r="A125" s="14" t="s">
        <v>310</v>
      </c>
      <c r="B125" s="14" t="s">
        <v>311</v>
      </c>
      <c r="C125" s="14" t="s">
        <v>19</v>
      </c>
      <c r="D125" s="14" t="s">
        <v>147</v>
      </c>
      <c r="E125" s="14" t="s">
        <v>20</v>
      </c>
      <c r="F125" s="14" t="s">
        <v>21</v>
      </c>
      <c r="G125" s="14" t="s">
        <v>22</v>
      </c>
      <c r="H125" s="13">
        <v>3.25</v>
      </c>
    </row>
    <row r="126" spans="1:8" x14ac:dyDescent="0.25">
      <c r="A126" s="14" t="s">
        <v>312</v>
      </c>
      <c r="B126" s="14" t="s">
        <v>313</v>
      </c>
      <c r="C126" s="14" t="s">
        <v>19</v>
      </c>
      <c r="D126" s="14" t="s">
        <v>147</v>
      </c>
      <c r="E126" s="14" t="s">
        <v>20</v>
      </c>
      <c r="F126" s="14" t="s">
        <v>21</v>
      </c>
      <c r="G126" s="14" t="s">
        <v>22</v>
      </c>
      <c r="H126" s="13">
        <v>173.14</v>
      </c>
    </row>
    <row r="127" spans="1:8" x14ac:dyDescent="0.25">
      <c r="A127" s="14" t="s">
        <v>314</v>
      </c>
      <c r="B127" s="14" t="s">
        <v>315</v>
      </c>
      <c r="C127" s="14" t="s">
        <v>19</v>
      </c>
      <c r="D127" s="14" t="s">
        <v>147</v>
      </c>
      <c r="E127" s="14" t="s">
        <v>20</v>
      </c>
      <c r="F127" s="14" t="s">
        <v>21</v>
      </c>
      <c r="G127" s="14" t="s">
        <v>22</v>
      </c>
      <c r="H127" s="13">
        <v>304.54037</v>
      </c>
    </row>
    <row r="128" spans="1:8" x14ac:dyDescent="0.25">
      <c r="A128" s="14" t="s">
        <v>316</v>
      </c>
      <c r="B128" s="14" t="s">
        <v>317</v>
      </c>
      <c r="C128" s="14" t="s">
        <v>19</v>
      </c>
      <c r="D128" s="14" t="s">
        <v>147</v>
      </c>
      <c r="E128" s="14" t="s">
        <v>20</v>
      </c>
      <c r="F128" s="14" t="s">
        <v>21</v>
      </c>
      <c r="G128" s="14" t="s">
        <v>22</v>
      </c>
      <c r="H128" s="13">
        <v>152.34263999999999</v>
      </c>
    </row>
    <row r="129" spans="1:8" x14ac:dyDescent="0.25">
      <c r="A129" s="14" t="s">
        <v>320</v>
      </c>
      <c r="B129" s="14" t="s">
        <v>321</v>
      </c>
      <c r="C129" s="14" t="s">
        <v>19</v>
      </c>
      <c r="D129" s="14" t="s">
        <v>147</v>
      </c>
      <c r="E129" s="14" t="s">
        <v>20</v>
      </c>
      <c r="F129" s="14" t="s">
        <v>21</v>
      </c>
      <c r="G129" s="14" t="s">
        <v>22</v>
      </c>
      <c r="H129" s="13">
        <v>9.9619999999999997</v>
      </c>
    </row>
    <row r="130" spans="1:8" x14ac:dyDescent="0.25">
      <c r="A130" s="14" t="s">
        <v>322</v>
      </c>
      <c r="B130" s="14" t="s">
        <v>323</v>
      </c>
      <c r="C130" s="14" t="s">
        <v>19</v>
      </c>
      <c r="D130" s="14" t="s">
        <v>147</v>
      </c>
      <c r="E130" s="14" t="s">
        <v>20</v>
      </c>
      <c r="F130" s="14" t="s">
        <v>21</v>
      </c>
      <c r="G130" s="14" t="s">
        <v>22</v>
      </c>
      <c r="H130" s="13">
        <v>1766.9788168</v>
      </c>
    </row>
    <row r="131" spans="1:8" x14ac:dyDescent="0.25">
      <c r="A131" s="14" t="s">
        <v>324</v>
      </c>
      <c r="B131" s="14" t="s">
        <v>325</v>
      </c>
      <c r="C131" s="14" t="s">
        <v>19</v>
      </c>
      <c r="D131" s="14" t="s">
        <v>147</v>
      </c>
      <c r="E131" s="14" t="s">
        <v>20</v>
      </c>
      <c r="F131" s="14" t="s">
        <v>21</v>
      </c>
      <c r="G131" s="14" t="s">
        <v>22</v>
      </c>
      <c r="H131" s="13">
        <v>373.1432848</v>
      </c>
    </row>
    <row r="132" spans="1:8" x14ac:dyDescent="0.25">
      <c r="A132" s="14" t="s">
        <v>326</v>
      </c>
      <c r="B132" s="14" t="s">
        <v>327</v>
      </c>
      <c r="C132" s="14" t="s">
        <v>19</v>
      </c>
      <c r="D132" s="14" t="s">
        <v>147</v>
      </c>
      <c r="E132" s="14" t="s">
        <v>20</v>
      </c>
      <c r="F132" s="14" t="s">
        <v>21</v>
      </c>
      <c r="G132" s="14" t="s">
        <v>22</v>
      </c>
      <c r="H132" s="13">
        <v>44.735999999999997</v>
      </c>
    </row>
    <row r="133" spans="1:8" x14ac:dyDescent="0.25">
      <c r="A133" s="14" t="s">
        <v>328</v>
      </c>
      <c r="B133" s="14" t="s">
        <v>329</v>
      </c>
      <c r="C133" s="14" t="s">
        <v>19</v>
      </c>
      <c r="D133" s="14" t="s">
        <v>147</v>
      </c>
      <c r="E133" s="14" t="s">
        <v>20</v>
      </c>
      <c r="F133" s="14" t="s">
        <v>21</v>
      </c>
      <c r="G133" s="14" t="s">
        <v>22</v>
      </c>
      <c r="H133" s="13">
        <v>143.45079200000001</v>
      </c>
    </row>
    <row r="134" spans="1:8" x14ac:dyDescent="0.25">
      <c r="A134" s="14" t="s">
        <v>330</v>
      </c>
      <c r="B134" s="14" t="s">
        <v>331</v>
      </c>
      <c r="C134" s="14" t="s">
        <v>19</v>
      </c>
      <c r="D134" s="14" t="s">
        <v>147</v>
      </c>
      <c r="E134" s="14" t="s">
        <v>20</v>
      </c>
      <c r="F134" s="14" t="s">
        <v>21</v>
      </c>
      <c r="G134" s="14" t="s">
        <v>22</v>
      </c>
      <c r="H134" s="13">
        <v>25</v>
      </c>
    </row>
    <row r="135" spans="1:8" x14ac:dyDescent="0.25">
      <c r="A135" s="14" t="s">
        <v>332</v>
      </c>
      <c r="B135" s="14" t="s">
        <v>333</v>
      </c>
      <c r="C135" s="14" t="s">
        <v>19</v>
      </c>
      <c r="D135" s="14" t="s">
        <v>147</v>
      </c>
      <c r="E135" s="14" t="s">
        <v>20</v>
      </c>
      <c r="F135" s="14" t="s">
        <v>21</v>
      </c>
      <c r="G135" s="14" t="s">
        <v>22</v>
      </c>
      <c r="H135" s="13">
        <v>19.75</v>
      </c>
    </row>
    <row r="136" spans="1:8" x14ac:dyDescent="0.25">
      <c r="A136" s="14" t="s">
        <v>334</v>
      </c>
      <c r="B136" s="14" t="s">
        <v>335</v>
      </c>
      <c r="C136" s="14" t="s">
        <v>19</v>
      </c>
      <c r="D136" s="14" t="s">
        <v>147</v>
      </c>
      <c r="E136" s="14" t="s">
        <v>20</v>
      </c>
      <c r="F136" s="14" t="s">
        <v>21</v>
      </c>
      <c r="G136" s="14" t="s">
        <v>22</v>
      </c>
      <c r="H136" s="13">
        <v>65.353999999999999</v>
      </c>
    </row>
    <row r="137" spans="1:8" x14ac:dyDescent="0.25">
      <c r="A137" s="14" t="s">
        <v>336</v>
      </c>
      <c r="B137" s="14" t="s">
        <v>337</v>
      </c>
      <c r="C137" s="14" t="s">
        <v>19</v>
      </c>
      <c r="D137" s="14" t="s">
        <v>147</v>
      </c>
      <c r="E137" s="14" t="s">
        <v>20</v>
      </c>
      <c r="F137" s="14" t="s">
        <v>21</v>
      </c>
      <c r="G137" s="14" t="s">
        <v>22</v>
      </c>
      <c r="H137" s="13">
        <v>30.44</v>
      </c>
    </row>
    <row r="138" spans="1:8" x14ac:dyDescent="0.25">
      <c r="A138" s="14" t="s">
        <v>338</v>
      </c>
      <c r="B138" s="14" t="s">
        <v>339</v>
      </c>
      <c r="C138" s="14" t="s">
        <v>19</v>
      </c>
      <c r="D138" s="14" t="s">
        <v>147</v>
      </c>
      <c r="E138" s="14" t="s">
        <v>20</v>
      </c>
      <c r="F138" s="14" t="s">
        <v>21</v>
      </c>
      <c r="G138" s="14" t="s">
        <v>22</v>
      </c>
      <c r="H138" s="13">
        <v>21.5</v>
      </c>
    </row>
    <row r="139" spans="1:8" x14ac:dyDescent="0.25">
      <c r="A139" s="14" t="s">
        <v>340</v>
      </c>
      <c r="B139" s="14" t="s">
        <v>341</v>
      </c>
      <c r="C139" s="14" t="s">
        <v>19</v>
      </c>
      <c r="D139" s="14" t="s">
        <v>147</v>
      </c>
      <c r="E139" s="14" t="s">
        <v>20</v>
      </c>
      <c r="F139" s="14" t="s">
        <v>21</v>
      </c>
      <c r="G139" s="14" t="s">
        <v>22</v>
      </c>
      <c r="H139" s="13">
        <v>335.00173999999998</v>
      </c>
    </row>
    <row r="140" spans="1:8" x14ac:dyDescent="0.25">
      <c r="A140" s="14" t="s">
        <v>342</v>
      </c>
      <c r="B140" s="14" t="s">
        <v>343</v>
      </c>
      <c r="C140" s="14" t="s">
        <v>19</v>
      </c>
      <c r="D140" s="14" t="s">
        <v>147</v>
      </c>
      <c r="E140" s="14" t="s">
        <v>20</v>
      </c>
      <c r="F140" s="14" t="s">
        <v>21</v>
      </c>
      <c r="G140" s="14" t="s">
        <v>22</v>
      </c>
      <c r="H140" s="13">
        <v>312.18</v>
      </c>
    </row>
    <row r="141" spans="1:8" x14ac:dyDescent="0.25">
      <c r="A141" s="14" t="s">
        <v>344</v>
      </c>
      <c r="B141" s="14" t="s">
        <v>345</v>
      </c>
      <c r="C141" s="14" t="s">
        <v>19</v>
      </c>
      <c r="D141" s="14" t="s">
        <v>147</v>
      </c>
      <c r="E141" s="14" t="s">
        <v>20</v>
      </c>
      <c r="F141" s="14" t="s">
        <v>21</v>
      </c>
      <c r="G141" s="14" t="s">
        <v>22</v>
      </c>
      <c r="H141" s="13">
        <v>230.54650000000001</v>
      </c>
    </row>
    <row r="142" spans="1:8" x14ac:dyDescent="0.25">
      <c r="A142" s="14" t="s">
        <v>346</v>
      </c>
      <c r="B142" s="14" t="s">
        <v>347</v>
      </c>
      <c r="C142" s="14" t="s">
        <v>19</v>
      </c>
      <c r="D142" s="14" t="s">
        <v>147</v>
      </c>
      <c r="E142" s="14" t="s">
        <v>20</v>
      </c>
      <c r="F142" s="14" t="s">
        <v>21</v>
      </c>
      <c r="G142" s="14" t="s">
        <v>22</v>
      </c>
      <c r="H142" s="13">
        <v>1838.971084</v>
      </c>
    </row>
    <row r="143" spans="1:8" x14ac:dyDescent="0.25">
      <c r="A143" s="14" t="s">
        <v>348</v>
      </c>
      <c r="B143" s="14" t="s">
        <v>349</v>
      </c>
      <c r="C143" s="14" t="s">
        <v>19</v>
      </c>
      <c r="D143" s="14" t="s">
        <v>147</v>
      </c>
      <c r="E143" s="14" t="s">
        <v>20</v>
      </c>
      <c r="F143" s="14" t="s">
        <v>21</v>
      </c>
      <c r="G143" s="14" t="s">
        <v>22</v>
      </c>
      <c r="H143" s="13">
        <v>4.8015999999999996</v>
      </c>
    </row>
    <row r="144" spans="1:8" x14ac:dyDescent="0.25">
      <c r="A144" s="14" t="s">
        <v>350</v>
      </c>
      <c r="B144" s="14" t="s">
        <v>351</v>
      </c>
      <c r="C144" s="14" t="s">
        <v>19</v>
      </c>
      <c r="D144" s="14" t="s">
        <v>147</v>
      </c>
      <c r="E144" s="14" t="s">
        <v>20</v>
      </c>
      <c r="F144" s="14" t="s">
        <v>21</v>
      </c>
      <c r="G144" s="14" t="s">
        <v>22</v>
      </c>
      <c r="H144" s="13">
        <v>180.2312</v>
      </c>
    </row>
    <row r="145" spans="1:8" x14ac:dyDescent="0.25">
      <c r="A145" s="14" t="s">
        <v>352</v>
      </c>
      <c r="B145" s="14" t="s">
        <v>353</v>
      </c>
      <c r="C145" s="14" t="s">
        <v>19</v>
      </c>
      <c r="D145" s="14" t="s">
        <v>147</v>
      </c>
      <c r="E145" s="14" t="s">
        <v>20</v>
      </c>
      <c r="F145" s="14" t="s">
        <v>21</v>
      </c>
      <c r="G145" s="14" t="s">
        <v>22</v>
      </c>
      <c r="H145" s="13">
        <v>139.735356</v>
      </c>
    </row>
    <row r="146" spans="1:8" x14ac:dyDescent="0.25">
      <c r="A146" s="14" t="s">
        <v>354</v>
      </c>
      <c r="B146" s="14" t="s">
        <v>355</v>
      </c>
      <c r="C146" s="14" t="s">
        <v>19</v>
      </c>
      <c r="D146" s="14" t="s">
        <v>147</v>
      </c>
      <c r="E146" s="14" t="s">
        <v>20</v>
      </c>
      <c r="F146" s="14" t="s">
        <v>21</v>
      </c>
      <c r="G146" s="14" t="s">
        <v>22</v>
      </c>
      <c r="H146" s="13">
        <v>93.220519999999993</v>
      </c>
    </row>
    <row r="147" spans="1:8" x14ac:dyDescent="0.25">
      <c r="A147" s="14" t="s">
        <v>356</v>
      </c>
      <c r="B147" s="14" t="s">
        <v>357</v>
      </c>
      <c r="C147" s="14" t="s">
        <v>19</v>
      </c>
      <c r="D147" s="14" t="s">
        <v>147</v>
      </c>
      <c r="E147" s="14" t="s">
        <v>20</v>
      </c>
      <c r="F147" s="14" t="s">
        <v>21</v>
      </c>
      <c r="G147" s="14" t="s">
        <v>22</v>
      </c>
      <c r="H147" s="13">
        <v>23.33408</v>
      </c>
    </row>
    <row r="148" spans="1:8" x14ac:dyDescent="0.25">
      <c r="A148" s="14" t="s">
        <v>358</v>
      </c>
      <c r="B148" s="14" t="s">
        <v>359</v>
      </c>
      <c r="C148" s="14" t="s">
        <v>19</v>
      </c>
      <c r="D148" s="14" t="s">
        <v>147</v>
      </c>
      <c r="E148" s="14" t="s">
        <v>20</v>
      </c>
      <c r="F148" s="14" t="s">
        <v>21</v>
      </c>
      <c r="G148" s="14" t="s">
        <v>22</v>
      </c>
      <c r="H148" s="13">
        <v>236.76204000000001</v>
      </c>
    </row>
    <row r="149" spans="1:8" x14ac:dyDescent="0.25">
      <c r="A149" s="14" t="s">
        <v>360</v>
      </c>
      <c r="B149" s="14" t="s">
        <v>361</v>
      </c>
      <c r="C149" s="14" t="s">
        <v>19</v>
      </c>
      <c r="D149" s="14" t="s">
        <v>147</v>
      </c>
      <c r="E149" s="14" t="s">
        <v>20</v>
      </c>
      <c r="F149" s="14" t="s">
        <v>21</v>
      </c>
      <c r="G149" s="14" t="s">
        <v>22</v>
      </c>
      <c r="H149" s="13">
        <v>152.72882000000001</v>
      </c>
    </row>
    <row r="150" spans="1:8" x14ac:dyDescent="0.25">
      <c r="A150" s="14" t="s">
        <v>362</v>
      </c>
      <c r="B150" s="14" t="s">
        <v>363</v>
      </c>
      <c r="C150" s="14" t="s">
        <v>19</v>
      </c>
      <c r="D150" s="14" t="s">
        <v>147</v>
      </c>
      <c r="E150" s="14" t="s">
        <v>20</v>
      </c>
      <c r="F150" s="14" t="s">
        <v>21</v>
      </c>
      <c r="G150" s="14" t="s">
        <v>22</v>
      </c>
      <c r="H150" s="13">
        <v>15</v>
      </c>
    </row>
    <row r="151" spans="1:8" x14ac:dyDescent="0.25">
      <c r="A151" s="14" t="s">
        <v>364</v>
      </c>
      <c r="B151" s="14" t="s">
        <v>365</v>
      </c>
      <c r="C151" s="14" t="s">
        <v>19</v>
      </c>
      <c r="D151" s="14" t="s">
        <v>147</v>
      </c>
      <c r="E151" s="14" t="s">
        <v>20</v>
      </c>
      <c r="F151" s="14" t="s">
        <v>24</v>
      </c>
      <c r="G151" s="14" t="s">
        <v>22</v>
      </c>
      <c r="H151" s="13">
        <v>46</v>
      </c>
    </row>
    <row r="152" spans="1:8" x14ac:dyDescent="0.25">
      <c r="A152" s="14" t="s">
        <v>366</v>
      </c>
      <c r="B152" s="14" t="s">
        <v>367</v>
      </c>
      <c r="C152" s="14" t="s">
        <v>19</v>
      </c>
      <c r="D152" s="14" t="s">
        <v>147</v>
      </c>
      <c r="E152" s="14" t="s">
        <v>20</v>
      </c>
      <c r="F152" s="14" t="s">
        <v>21</v>
      </c>
      <c r="G152" s="14" t="s">
        <v>22</v>
      </c>
      <c r="H152" s="13">
        <v>429.89716600000003</v>
      </c>
    </row>
    <row r="153" spans="1:8" x14ac:dyDescent="0.25">
      <c r="A153" s="14" t="s">
        <v>368</v>
      </c>
      <c r="B153" s="14" t="s">
        <v>369</v>
      </c>
      <c r="C153" s="14" t="s">
        <v>19</v>
      </c>
      <c r="D153" s="14" t="s">
        <v>147</v>
      </c>
      <c r="E153" s="14" t="s">
        <v>20</v>
      </c>
      <c r="F153" s="14" t="s">
        <v>24</v>
      </c>
      <c r="G153" s="14" t="s">
        <v>22</v>
      </c>
      <c r="H153" s="13">
        <v>384.9</v>
      </c>
    </row>
    <row r="154" spans="1:8" x14ac:dyDescent="0.25">
      <c r="A154" s="14" t="s">
        <v>370</v>
      </c>
      <c r="B154" s="14" t="s">
        <v>371</v>
      </c>
      <c r="C154" s="14" t="s">
        <v>19</v>
      </c>
      <c r="D154" s="14" t="s">
        <v>147</v>
      </c>
      <c r="E154" s="14" t="s">
        <v>20</v>
      </c>
      <c r="F154" s="14" t="s">
        <v>21</v>
      </c>
      <c r="G154" s="14" t="s">
        <v>22</v>
      </c>
      <c r="H154" s="13">
        <v>212.48235</v>
      </c>
    </row>
    <row r="155" spans="1:8" x14ac:dyDescent="0.25">
      <c r="A155" s="14" t="s">
        <v>372</v>
      </c>
      <c r="B155" s="14" t="s">
        <v>373</v>
      </c>
      <c r="C155" s="14" t="s">
        <v>19</v>
      </c>
      <c r="D155" s="14" t="s">
        <v>147</v>
      </c>
      <c r="E155" s="14" t="s">
        <v>20</v>
      </c>
      <c r="F155" s="14" t="s">
        <v>21</v>
      </c>
      <c r="G155" s="14" t="s">
        <v>22</v>
      </c>
      <c r="H155" s="13">
        <v>119.44656000000001</v>
      </c>
    </row>
    <row r="156" spans="1:8" x14ac:dyDescent="0.25">
      <c r="A156" s="14" t="s">
        <v>374</v>
      </c>
      <c r="B156" s="14" t="s">
        <v>375</v>
      </c>
      <c r="C156" s="14" t="s">
        <v>19</v>
      </c>
      <c r="D156" s="14" t="s">
        <v>147</v>
      </c>
      <c r="E156" s="14" t="s">
        <v>20</v>
      </c>
      <c r="F156" s="14" t="s">
        <v>21</v>
      </c>
      <c r="G156" s="14" t="s">
        <v>22</v>
      </c>
      <c r="H156" s="13">
        <v>4.1867999999999999</v>
      </c>
    </row>
    <row r="157" spans="1:8" x14ac:dyDescent="0.25">
      <c r="A157" s="14" t="s">
        <v>376</v>
      </c>
      <c r="B157" s="14" t="s">
        <v>377</v>
      </c>
      <c r="C157" s="14" t="s">
        <v>19</v>
      </c>
      <c r="D157" s="14" t="s">
        <v>147</v>
      </c>
      <c r="E157" s="14" t="s">
        <v>20</v>
      </c>
      <c r="F157" s="14" t="s">
        <v>21</v>
      </c>
      <c r="G157" s="14" t="s">
        <v>22</v>
      </c>
      <c r="H157" s="13">
        <v>53.716000000000001</v>
      </c>
    </row>
    <row r="158" spans="1:8" x14ac:dyDescent="0.25">
      <c r="A158" s="14" t="s">
        <v>378</v>
      </c>
      <c r="B158" s="14" t="s">
        <v>379</v>
      </c>
      <c r="C158" s="14" t="s">
        <v>19</v>
      </c>
      <c r="D158" s="14" t="s">
        <v>147</v>
      </c>
      <c r="E158" s="14" t="s">
        <v>20</v>
      </c>
      <c r="F158" s="14" t="s">
        <v>21</v>
      </c>
      <c r="G158" s="14" t="s">
        <v>22</v>
      </c>
      <c r="H158" s="13">
        <v>1373.2481499999999</v>
      </c>
    </row>
    <row r="159" spans="1:8" x14ac:dyDescent="0.25">
      <c r="A159" s="14" t="s">
        <v>380</v>
      </c>
      <c r="B159" s="14" t="s">
        <v>381</v>
      </c>
      <c r="C159" s="14" t="s">
        <v>19</v>
      </c>
      <c r="D159" s="14" t="s">
        <v>147</v>
      </c>
      <c r="E159" s="14" t="s">
        <v>20</v>
      </c>
      <c r="F159" s="14" t="s">
        <v>21</v>
      </c>
      <c r="G159" s="14" t="s">
        <v>22</v>
      </c>
      <c r="H159" s="13">
        <v>13.9724</v>
      </c>
    </row>
    <row r="160" spans="1:8" x14ac:dyDescent="0.25">
      <c r="A160" s="14" t="s">
        <v>382</v>
      </c>
      <c r="B160" s="14" t="s">
        <v>383</v>
      </c>
      <c r="C160" s="14" t="s">
        <v>19</v>
      </c>
      <c r="D160" s="14" t="s">
        <v>147</v>
      </c>
      <c r="E160" s="14" t="s">
        <v>20</v>
      </c>
      <c r="F160" s="14" t="s">
        <v>21</v>
      </c>
      <c r="G160" s="14" t="s">
        <v>22</v>
      </c>
      <c r="H160" s="13">
        <v>18.126000000000001</v>
      </c>
    </row>
    <row r="161" spans="1:8" x14ac:dyDescent="0.25">
      <c r="A161" s="14" t="s">
        <v>384</v>
      </c>
      <c r="B161" s="14" t="s">
        <v>385</v>
      </c>
      <c r="C161" s="14" t="s">
        <v>19</v>
      </c>
      <c r="D161" s="14" t="s">
        <v>147</v>
      </c>
      <c r="E161" s="14" t="s">
        <v>20</v>
      </c>
      <c r="F161" s="14" t="s">
        <v>21</v>
      </c>
      <c r="G161" s="14" t="s">
        <v>22</v>
      </c>
      <c r="H161" s="13">
        <v>111.9739</v>
      </c>
    </row>
    <row r="162" spans="1:8" x14ac:dyDescent="0.25">
      <c r="A162" s="14" t="s">
        <v>386</v>
      </c>
      <c r="B162" s="14" t="s">
        <v>387</v>
      </c>
      <c r="C162" s="14" t="s">
        <v>19</v>
      </c>
      <c r="D162" s="14" t="s">
        <v>147</v>
      </c>
      <c r="E162" s="14" t="s">
        <v>20</v>
      </c>
      <c r="F162" s="14" t="s">
        <v>21</v>
      </c>
      <c r="G162" s="14" t="s">
        <v>22</v>
      </c>
      <c r="H162" s="13">
        <v>100.33969999999999</v>
      </c>
    </row>
    <row r="163" spans="1:8" x14ac:dyDescent="0.25">
      <c r="A163" s="14" t="s">
        <v>388</v>
      </c>
      <c r="B163" s="14" t="s">
        <v>389</v>
      </c>
      <c r="C163" s="14" t="s">
        <v>19</v>
      </c>
      <c r="D163" s="14" t="s">
        <v>147</v>
      </c>
      <c r="E163" s="14" t="s">
        <v>20</v>
      </c>
      <c r="F163" s="14" t="s">
        <v>21</v>
      </c>
      <c r="G163" s="14" t="s">
        <v>22</v>
      </c>
      <c r="H163" s="13">
        <v>129.55458999999999</v>
      </c>
    </row>
    <row r="164" spans="1:8" x14ac:dyDescent="0.25">
      <c r="A164" s="14" t="s">
        <v>390</v>
      </c>
      <c r="B164" s="14" t="s">
        <v>391</v>
      </c>
      <c r="C164" s="14" t="s">
        <v>19</v>
      </c>
      <c r="D164" s="14" t="s">
        <v>147</v>
      </c>
      <c r="E164" s="14" t="s">
        <v>20</v>
      </c>
      <c r="F164" s="14" t="s">
        <v>21</v>
      </c>
      <c r="G164" s="14" t="s">
        <v>22</v>
      </c>
      <c r="H164" s="13">
        <v>65.233440000000002</v>
      </c>
    </row>
    <row r="165" spans="1:8" x14ac:dyDescent="0.25">
      <c r="A165" s="14" t="s">
        <v>392</v>
      </c>
      <c r="B165" s="14" t="s">
        <v>393</v>
      </c>
      <c r="C165" s="14" t="s">
        <v>19</v>
      </c>
      <c r="D165" s="14" t="s">
        <v>147</v>
      </c>
      <c r="E165" s="14" t="s">
        <v>20</v>
      </c>
      <c r="F165" s="14" t="s">
        <v>21</v>
      </c>
      <c r="G165" s="14" t="s">
        <v>22</v>
      </c>
      <c r="H165" s="13">
        <v>302</v>
      </c>
    </row>
    <row r="166" spans="1:8" x14ac:dyDescent="0.25">
      <c r="A166" s="14" t="s">
        <v>394</v>
      </c>
      <c r="B166" s="14" t="s">
        <v>395</v>
      </c>
      <c r="C166" s="14" t="s">
        <v>19</v>
      </c>
      <c r="D166" s="14" t="s">
        <v>147</v>
      </c>
      <c r="E166" s="14" t="s">
        <v>20</v>
      </c>
      <c r="F166" s="14" t="s">
        <v>21</v>
      </c>
      <c r="G166" s="14" t="s">
        <v>22</v>
      </c>
      <c r="H166" s="146">
        <v>193.92671999999999</v>
      </c>
    </row>
    <row r="167" spans="1:8" x14ac:dyDescent="0.25">
      <c r="A167" s="14" t="s">
        <v>396</v>
      </c>
      <c r="B167" s="14" t="s">
        <v>397</v>
      </c>
      <c r="C167" s="14" t="s">
        <v>19</v>
      </c>
      <c r="D167" s="14" t="s">
        <v>147</v>
      </c>
      <c r="E167" s="14" t="s">
        <v>20</v>
      </c>
      <c r="F167" s="14" t="s">
        <v>21</v>
      </c>
      <c r="G167" s="14" t="s">
        <v>22</v>
      </c>
      <c r="H167" s="146">
        <v>373.65502600000002</v>
      </c>
    </row>
    <row r="168" spans="1:8" x14ac:dyDescent="0.25">
      <c r="A168" s="14" t="s">
        <v>398</v>
      </c>
      <c r="B168" s="14" t="s">
        <v>399</v>
      </c>
      <c r="C168" s="14" t="s">
        <v>19</v>
      </c>
      <c r="D168" s="14" t="s">
        <v>147</v>
      </c>
      <c r="E168" s="14" t="s">
        <v>20</v>
      </c>
      <c r="F168" s="14" t="s">
        <v>21</v>
      </c>
      <c r="G168" s="14" t="s">
        <v>22</v>
      </c>
      <c r="H168" s="146">
        <v>257.90161000000001</v>
      </c>
    </row>
    <row r="169" spans="1:8" x14ac:dyDescent="0.25">
      <c r="A169" s="14" t="s">
        <v>400</v>
      </c>
      <c r="B169" s="14" t="s">
        <v>401</v>
      </c>
      <c r="C169" s="14" t="s">
        <v>19</v>
      </c>
      <c r="D169" s="14" t="s">
        <v>147</v>
      </c>
      <c r="E169" s="14" t="s">
        <v>20</v>
      </c>
      <c r="F169" s="14" t="s">
        <v>21</v>
      </c>
      <c r="G169" s="14" t="s">
        <v>22</v>
      </c>
      <c r="H169" s="146">
        <v>99.304544000000007</v>
      </c>
    </row>
    <row r="170" spans="1:8" x14ac:dyDescent="0.25">
      <c r="A170" s="14" t="s">
        <v>402</v>
      </c>
      <c r="B170" s="14" t="s">
        <v>403</v>
      </c>
      <c r="C170" s="14" t="s">
        <v>19</v>
      </c>
      <c r="D170" s="14" t="s">
        <v>147</v>
      </c>
      <c r="E170" s="14" t="s">
        <v>20</v>
      </c>
      <c r="F170" s="14" t="s">
        <v>21</v>
      </c>
      <c r="G170" s="14" t="s">
        <v>22</v>
      </c>
      <c r="H170" s="146">
        <v>141.09309999999999</v>
      </c>
    </row>
    <row r="171" spans="1:8" x14ac:dyDescent="0.25">
      <c r="A171" s="14" t="s">
        <v>404</v>
      </c>
      <c r="B171" s="14" t="s">
        <v>405</v>
      </c>
      <c r="C171" s="14" t="s">
        <v>19</v>
      </c>
      <c r="D171" s="14" t="s">
        <v>147</v>
      </c>
      <c r="E171" s="14" t="s">
        <v>20</v>
      </c>
      <c r="F171" s="14" t="s">
        <v>21</v>
      </c>
      <c r="G171" s="14" t="s">
        <v>22</v>
      </c>
      <c r="H171" s="146">
        <v>462.68</v>
      </c>
    </row>
    <row r="172" spans="1:8" x14ac:dyDescent="0.25">
      <c r="A172" s="14" t="s">
        <v>406</v>
      </c>
      <c r="B172" s="14" t="s">
        <v>407</v>
      </c>
      <c r="C172" s="14" t="s">
        <v>19</v>
      </c>
      <c r="D172" s="14" t="s">
        <v>147</v>
      </c>
      <c r="E172" s="14" t="s">
        <v>20</v>
      </c>
      <c r="F172" s="14" t="s">
        <v>21</v>
      </c>
      <c r="G172" s="14" t="s">
        <v>22</v>
      </c>
      <c r="H172" s="146">
        <v>84.562826000000001</v>
      </c>
    </row>
    <row r="173" spans="1:8" x14ac:dyDescent="0.25">
      <c r="A173" s="14" t="s">
        <v>408</v>
      </c>
      <c r="B173" s="14" t="s">
        <v>409</v>
      </c>
      <c r="C173" s="14" t="s">
        <v>19</v>
      </c>
      <c r="D173" s="14" t="s">
        <v>147</v>
      </c>
      <c r="E173" s="14" t="s">
        <v>20</v>
      </c>
      <c r="F173" s="14" t="s">
        <v>21</v>
      </c>
      <c r="G173" s="14" t="s">
        <v>22</v>
      </c>
      <c r="H173" s="146">
        <v>219.66640000000001</v>
      </c>
    </row>
    <row r="174" spans="1:8" x14ac:dyDescent="0.25">
      <c r="A174" s="14" t="s">
        <v>410</v>
      </c>
      <c r="B174" s="14" t="s">
        <v>411</v>
      </c>
      <c r="C174" s="14" t="s">
        <v>19</v>
      </c>
      <c r="D174" s="14" t="s">
        <v>147</v>
      </c>
      <c r="E174" s="14" t="s">
        <v>20</v>
      </c>
      <c r="F174" s="14" t="s">
        <v>21</v>
      </c>
      <c r="G174" s="14" t="s">
        <v>22</v>
      </c>
      <c r="H174" s="146">
        <v>111.51330799999999</v>
      </c>
    </row>
    <row r="175" spans="1:8" x14ac:dyDescent="0.25">
      <c r="G175" t="s">
        <v>318</v>
      </c>
      <c r="H175" s="117">
        <f>SUBTOTAL(109,Tabla112[Total])</f>
        <v>12132.111782200001</v>
      </c>
    </row>
    <row r="176" spans="1:8" x14ac:dyDescent="0.25">
      <c r="H176" s="174">
        <v>0.75</v>
      </c>
    </row>
    <row r="177" spans="1:8" x14ac:dyDescent="0.25">
      <c r="H177" s="168">
        <f>Tabla112[[#Totals],[Total]]/VENTAS!J109</f>
        <v>0.75319132196217653</v>
      </c>
    </row>
    <row r="178" spans="1:8" x14ac:dyDescent="0.25">
      <c r="C178" s="175" t="s">
        <v>535</v>
      </c>
    </row>
    <row r="180" spans="1:8" x14ac:dyDescent="0.25">
      <c r="A180" s="13" t="s">
        <v>13</v>
      </c>
      <c r="B180" s="13" t="s">
        <v>0</v>
      </c>
      <c r="C180" s="13" t="s">
        <v>14</v>
      </c>
      <c r="D180" s="13" t="s">
        <v>144</v>
      </c>
      <c r="E180" s="13" t="s">
        <v>15</v>
      </c>
      <c r="F180" s="13" t="s">
        <v>16</v>
      </c>
      <c r="G180" s="13" t="s">
        <v>17</v>
      </c>
      <c r="H180" s="13" t="s">
        <v>4</v>
      </c>
    </row>
    <row r="181" spans="1:8" x14ac:dyDescent="0.25">
      <c r="A181" s="14" t="s">
        <v>421</v>
      </c>
      <c r="B181" s="14" t="s">
        <v>422</v>
      </c>
      <c r="C181" s="14" t="s">
        <v>19</v>
      </c>
      <c r="D181" s="14" t="s">
        <v>147</v>
      </c>
      <c r="E181" s="14" t="s">
        <v>20</v>
      </c>
      <c r="F181" s="14" t="s">
        <v>21</v>
      </c>
      <c r="G181" s="14" t="s">
        <v>22</v>
      </c>
      <c r="H181" s="118">
        <v>783.62382400000001</v>
      </c>
    </row>
    <row r="182" spans="1:8" x14ac:dyDescent="0.25">
      <c r="A182" s="14" t="s">
        <v>423</v>
      </c>
      <c r="B182" s="14" t="s">
        <v>424</v>
      </c>
      <c r="C182" s="14" t="s">
        <v>19</v>
      </c>
      <c r="D182" s="14" t="s">
        <v>147</v>
      </c>
      <c r="E182" s="14" t="s">
        <v>20</v>
      </c>
      <c r="F182" s="14" t="s">
        <v>24</v>
      </c>
      <c r="G182" s="14" t="s">
        <v>22</v>
      </c>
      <c r="H182" s="118">
        <v>266.4676</v>
      </c>
    </row>
    <row r="183" spans="1:8" x14ac:dyDescent="0.25">
      <c r="A183" s="14" t="s">
        <v>425</v>
      </c>
      <c r="B183" s="14" t="s">
        <v>426</v>
      </c>
      <c r="C183" s="14" t="s">
        <v>19</v>
      </c>
      <c r="D183" s="14" t="s">
        <v>147</v>
      </c>
      <c r="E183" s="14" t="s">
        <v>20</v>
      </c>
      <c r="F183" s="14" t="s">
        <v>21</v>
      </c>
      <c r="G183" s="14" t="s">
        <v>22</v>
      </c>
      <c r="H183" s="118">
        <v>155.59105199999999</v>
      </c>
    </row>
    <row r="184" spans="1:8" x14ac:dyDescent="0.25">
      <c r="A184" s="14" t="s">
        <v>427</v>
      </c>
      <c r="B184" s="14" t="s">
        <v>428</v>
      </c>
      <c r="C184" s="14" t="s">
        <v>19</v>
      </c>
      <c r="D184" s="14" t="s">
        <v>147</v>
      </c>
      <c r="E184" s="14" t="s">
        <v>20</v>
      </c>
      <c r="F184" s="14" t="s">
        <v>21</v>
      </c>
      <c r="G184" s="14" t="s">
        <v>22</v>
      </c>
      <c r="H184" s="118">
        <v>45.405045999999999</v>
      </c>
    </row>
    <row r="185" spans="1:8" x14ac:dyDescent="0.25">
      <c r="A185" s="14" t="s">
        <v>429</v>
      </c>
      <c r="B185" s="14" t="s">
        <v>430</v>
      </c>
      <c r="C185" s="14" t="s">
        <v>19</v>
      </c>
      <c r="D185" s="14" t="s">
        <v>147</v>
      </c>
      <c r="E185" s="14" t="s">
        <v>20</v>
      </c>
      <c r="F185" s="14" t="s">
        <v>21</v>
      </c>
      <c r="G185" s="14" t="s">
        <v>22</v>
      </c>
      <c r="H185" s="118">
        <v>104.644488</v>
      </c>
    </row>
    <row r="186" spans="1:8" x14ac:dyDescent="0.25">
      <c r="A186" s="14" t="s">
        <v>431</v>
      </c>
      <c r="B186" s="14" t="s">
        <v>432</v>
      </c>
      <c r="C186" s="14" t="s">
        <v>19</v>
      </c>
      <c r="D186" s="14" t="s">
        <v>147</v>
      </c>
      <c r="E186" s="14" t="s">
        <v>20</v>
      </c>
      <c r="F186" s="14" t="s">
        <v>21</v>
      </c>
      <c r="G186" s="14" t="s">
        <v>22</v>
      </c>
      <c r="H186" s="118">
        <v>219.9812</v>
      </c>
    </row>
    <row r="187" spans="1:8" x14ac:dyDescent="0.25">
      <c r="A187" s="14" t="s">
        <v>433</v>
      </c>
      <c r="B187" s="14" t="s">
        <v>434</v>
      </c>
      <c r="C187" s="14" t="s">
        <v>19</v>
      </c>
      <c r="D187" s="14" t="s">
        <v>147</v>
      </c>
      <c r="E187" s="14" t="s">
        <v>20</v>
      </c>
      <c r="F187" s="14" t="s">
        <v>21</v>
      </c>
      <c r="G187" s="14" t="s">
        <v>22</v>
      </c>
      <c r="H187" s="118">
        <v>96.808899999999994</v>
      </c>
    </row>
    <row r="188" spans="1:8" x14ac:dyDescent="0.25">
      <c r="A188" s="14" t="s">
        <v>435</v>
      </c>
      <c r="B188" s="14" t="s">
        <v>436</v>
      </c>
      <c r="C188" s="14" t="s">
        <v>19</v>
      </c>
      <c r="D188" s="14" t="s">
        <v>147</v>
      </c>
      <c r="E188" s="14" t="s">
        <v>20</v>
      </c>
      <c r="F188" s="14" t="s">
        <v>21</v>
      </c>
      <c r="G188" s="14" t="s">
        <v>22</v>
      </c>
      <c r="H188" s="118">
        <v>366.4</v>
      </c>
    </row>
    <row r="189" spans="1:8" x14ac:dyDescent="0.25">
      <c r="A189" s="14" t="s">
        <v>437</v>
      </c>
      <c r="B189" s="14" t="s">
        <v>438</v>
      </c>
      <c r="C189" s="14" t="s">
        <v>19</v>
      </c>
      <c r="D189" s="14" t="s">
        <v>147</v>
      </c>
      <c r="E189" s="14" t="s">
        <v>20</v>
      </c>
      <c r="F189" s="14" t="s">
        <v>21</v>
      </c>
      <c r="G189" s="14" t="s">
        <v>22</v>
      </c>
      <c r="H189" s="118">
        <v>473.14728000000002</v>
      </c>
    </row>
    <row r="190" spans="1:8" x14ac:dyDescent="0.25">
      <c r="A190" s="14" t="s">
        <v>439</v>
      </c>
      <c r="B190" s="14" t="s">
        <v>440</v>
      </c>
      <c r="C190" s="14" t="s">
        <v>19</v>
      </c>
      <c r="D190" s="14" t="s">
        <v>147</v>
      </c>
      <c r="E190" s="14" t="s">
        <v>20</v>
      </c>
      <c r="F190" s="14" t="s">
        <v>24</v>
      </c>
      <c r="G190" s="14" t="s">
        <v>22</v>
      </c>
      <c r="H190" s="118">
        <v>379.08</v>
      </c>
    </row>
    <row r="191" spans="1:8" x14ac:dyDescent="0.25">
      <c r="A191" s="14" t="s">
        <v>441</v>
      </c>
      <c r="B191" s="14" t="s">
        <v>442</v>
      </c>
      <c r="C191" s="14" t="s">
        <v>19</v>
      </c>
      <c r="D191" s="14" t="s">
        <v>147</v>
      </c>
      <c r="E191" s="14" t="s">
        <v>20</v>
      </c>
      <c r="F191" s="14" t="s">
        <v>21</v>
      </c>
      <c r="G191" s="14" t="s">
        <v>22</v>
      </c>
      <c r="H191" s="118">
        <v>185.41595599999999</v>
      </c>
    </row>
    <row r="192" spans="1:8" x14ac:dyDescent="0.25">
      <c r="A192" s="14" t="s">
        <v>443</v>
      </c>
      <c r="B192" s="14" t="s">
        <v>444</v>
      </c>
      <c r="C192" s="14" t="s">
        <v>19</v>
      </c>
      <c r="D192" s="14" t="s">
        <v>147</v>
      </c>
      <c r="E192" s="14" t="s">
        <v>20</v>
      </c>
      <c r="F192" s="14" t="s">
        <v>21</v>
      </c>
      <c r="G192" s="14" t="s">
        <v>22</v>
      </c>
      <c r="H192" s="118">
        <v>293.657512</v>
      </c>
    </row>
    <row r="193" spans="1:8" x14ac:dyDescent="0.25">
      <c r="A193" s="14" t="s">
        <v>445</v>
      </c>
      <c r="B193" s="14" t="s">
        <v>446</v>
      </c>
      <c r="C193" s="14" t="s">
        <v>19</v>
      </c>
      <c r="D193" s="14" t="s">
        <v>147</v>
      </c>
      <c r="E193" s="14" t="s">
        <v>20</v>
      </c>
      <c r="F193" s="14" t="s">
        <v>21</v>
      </c>
      <c r="G193" s="14" t="s">
        <v>22</v>
      </c>
      <c r="H193" s="118">
        <v>235.97698</v>
      </c>
    </row>
    <row r="194" spans="1:8" x14ac:dyDescent="0.25">
      <c r="A194" s="14" t="s">
        <v>447</v>
      </c>
      <c r="B194" s="14" t="s">
        <v>448</v>
      </c>
      <c r="C194" s="14" t="s">
        <v>19</v>
      </c>
      <c r="D194" s="14" t="s">
        <v>147</v>
      </c>
      <c r="E194" s="14" t="s">
        <v>20</v>
      </c>
      <c r="F194" s="14" t="s">
        <v>21</v>
      </c>
      <c r="G194" s="14" t="s">
        <v>22</v>
      </c>
      <c r="H194" s="118">
        <v>109.10085599999999</v>
      </c>
    </row>
    <row r="195" spans="1:8" x14ac:dyDescent="0.25">
      <c r="A195" s="14" t="s">
        <v>449</v>
      </c>
      <c r="B195" s="14" t="s">
        <v>450</v>
      </c>
      <c r="C195" s="14" t="s">
        <v>19</v>
      </c>
      <c r="D195" s="14" t="s">
        <v>147</v>
      </c>
      <c r="E195" s="14" t="s">
        <v>20</v>
      </c>
      <c r="F195" s="14" t="s">
        <v>21</v>
      </c>
      <c r="G195" s="14" t="s">
        <v>22</v>
      </c>
      <c r="H195" s="118">
        <v>161.65770800000001</v>
      </c>
    </row>
    <row r="196" spans="1:8" x14ac:dyDescent="0.25">
      <c r="A196" s="14" t="s">
        <v>453</v>
      </c>
      <c r="B196" s="14" t="s">
        <v>454</v>
      </c>
      <c r="C196" s="14" t="s">
        <v>19</v>
      </c>
      <c r="D196" s="14" t="s">
        <v>147</v>
      </c>
      <c r="E196" s="14" t="s">
        <v>20</v>
      </c>
      <c r="F196" s="14" t="s">
        <v>21</v>
      </c>
      <c r="G196" s="14" t="s">
        <v>22</v>
      </c>
      <c r="H196" s="118">
        <v>918.14244799999994</v>
      </c>
    </row>
    <row r="197" spans="1:8" x14ac:dyDescent="0.25">
      <c r="A197" s="14" t="s">
        <v>455</v>
      </c>
      <c r="B197" s="14" t="s">
        <v>456</v>
      </c>
      <c r="C197" s="14" t="s">
        <v>19</v>
      </c>
      <c r="D197" s="14" t="s">
        <v>147</v>
      </c>
      <c r="E197" s="14" t="s">
        <v>20</v>
      </c>
      <c r="F197" s="14" t="s">
        <v>21</v>
      </c>
      <c r="G197" s="14" t="s">
        <v>22</v>
      </c>
      <c r="H197" s="118">
        <v>309.8</v>
      </c>
    </row>
    <row r="198" spans="1:8" x14ac:dyDescent="0.25">
      <c r="A198" s="14" t="s">
        <v>457</v>
      </c>
      <c r="B198" s="14" t="s">
        <v>458</v>
      </c>
      <c r="C198" s="14" t="s">
        <v>19</v>
      </c>
      <c r="D198" s="14" t="s">
        <v>147</v>
      </c>
      <c r="E198" s="14" t="s">
        <v>20</v>
      </c>
      <c r="F198" s="14" t="s">
        <v>21</v>
      </c>
      <c r="G198" s="14" t="s">
        <v>22</v>
      </c>
      <c r="H198" s="118">
        <v>1199.4408080000001</v>
      </c>
    </row>
    <row r="199" spans="1:8" x14ac:dyDescent="0.25">
      <c r="A199" s="14" t="s">
        <v>459</v>
      </c>
      <c r="B199" s="14" t="s">
        <v>460</v>
      </c>
      <c r="C199" s="14" t="s">
        <v>19</v>
      </c>
      <c r="D199" s="14" t="s">
        <v>147</v>
      </c>
      <c r="E199" s="14" t="s">
        <v>20</v>
      </c>
      <c r="F199" s="14" t="s">
        <v>21</v>
      </c>
      <c r="G199" s="14" t="s">
        <v>22</v>
      </c>
      <c r="H199" s="118">
        <v>432.86369999999999</v>
      </c>
    </row>
    <row r="200" spans="1:8" x14ac:dyDescent="0.25">
      <c r="A200" s="14" t="s">
        <v>461</v>
      </c>
      <c r="B200" s="14" t="s">
        <v>462</v>
      </c>
      <c r="C200" s="14" t="s">
        <v>19</v>
      </c>
      <c r="D200" s="14" t="s">
        <v>147</v>
      </c>
      <c r="E200" s="14" t="s">
        <v>20</v>
      </c>
      <c r="F200" s="14" t="s">
        <v>21</v>
      </c>
      <c r="G200" s="14" t="s">
        <v>22</v>
      </c>
      <c r="H200" s="118">
        <v>37.129600000000003</v>
      </c>
    </row>
    <row r="201" spans="1:8" x14ac:dyDescent="0.25">
      <c r="A201" s="14" t="s">
        <v>463</v>
      </c>
      <c r="B201" s="14" t="s">
        <v>464</v>
      </c>
      <c r="C201" s="14" t="s">
        <v>19</v>
      </c>
      <c r="D201" s="14" t="s">
        <v>147</v>
      </c>
      <c r="E201" s="14" t="s">
        <v>20</v>
      </c>
      <c r="F201" s="14" t="s">
        <v>21</v>
      </c>
      <c r="G201" s="14" t="s">
        <v>22</v>
      </c>
      <c r="H201" s="118">
        <v>22.691199999999998</v>
      </c>
    </row>
    <row r="202" spans="1:8" x14ac:dyDescent="0.25">
      <c r="A202" s="14" t="s">
        <v>465</v>
      </c>
      <c r="B202" s="14" t="s">
        <v>466</v>
      </c>
      <c r="C202" s="14" t="s">
        <v>19</v>
      </c>
      <c r="D202" s="14" t="s">
        <v>147</v>
      </c>
      <c r="E202" s="14" t="s">
        <v>20</v>
      </c>
      <c r="F202" s="14" t="s">
        <v>21</v>
      </c>
      <c r="G202" s="14" t="s">
        <v>22</v>
      </c>
      <c r="H202" s="118">
        <v>141.39292</v>
      </c>
    </row>
    <row r="203" spans="1:8" x14ac:dyDescent="0.25">
      <c r="A203" s="14" t="s">
        <v>467</v>
      </c>
      <c r="B203" s="14" t="s">
        <v>468</v>
      </c>
      <c r="C203" s="14" t="s">
        <v>19</v>
      </c>
      <c r="D203" s="14" t="s">
        <v>147</v>
      </c>
      <c r="E203" s="14" t="s">
        <v>20</v>
      </c>
      <c r="F203" s="14" t="s">
        <v>21</v>
      </c>
      <c r="G203" s="14" t="s">
        <v>22</v>
      </c>
      <c r="H203" s="118">
        <v>124.96026999999999</v>
      </c>
    </row>
    <row r="204" spans="1:8" x14ac:dyDescent="0.25">
      <c r="A204" s="14" t="s">
        <v>469</v>
      </c>
      <c r="B204" s="14" t="s">
        <v>470</v>
      </c>
      <c r="C204" s="14" t="s">
        <v>19</v>
      </c>
      <c r="D204" s="14" t="s">
        <v>147</v>
      </c>
      <c r="E204" s="14" t="s">
        <v>20</v>
      </c>
      <c r="F204" s="14" t="s">
        <v>21</v>
      </c>
      <c r="G204" s="14" t="s">
        <v>22</v>
      </c>
      <c r="H204" s="118">
        <v>265.02331199999998</v>
      </c>
    </row>
    <row r="205" spans="1:8" x14ac:dyDescent="0.25">
      <c r="A205" s="14" t="s">
        <v>471</v>
      </c>
      <c r="B205" s="14" t="s">
        <v>472</v>
      </c>
      <c r="C205" s="14" t="s">
        <v>19</v>
      </c>
      <c r="D205" s="14" t="s">
        <v>147</v>
      </c>
      <c r="E205" s="14" t="s">
        <v>20</v>
      </c>
      <c r="F205" s="14" t="s">
        <v>21</v>
      </c>
      <c r="G205" s="14" t="s">
        <v>22</v>
      </c>
      <c r="H205" s="118">
        <v>247.54135600000001</v>
      </c>
    </row>
    <row r="206" spans="1:8" x14ac:dyDescent="0.25">
      <c r="A206" s="14" t="s">
        <v>473</v>
      </c>
      <c r="B206" s="14" t="s">
        <v>474</v>
      </c>
      <c r="C206" s="14" t="s">
        <v>19</v>
      </c>
      <c r="D206" s="14" t="s">
        <v>147</v>
      </c>
      <c r="E206" s="14" t="s">
        <v>20</v>
      </c>
      <c r="F206" s="14" t="s">
        <v>21</v>
      </c>
      <c r="G206" s="14" t="s">
        <v>22</v>
      </c>
      <c r="H206" s="118">
        <v>279.60000000000002</v>
      </c>
    </row>
    <row r="207" spans="1:8" x14ac:dyDescent="0.25">
      <c r="A207" s="14" t="s">
        <v>475</v>
      </c>
      <c r="B207" s="14" t="s">
        <v>476</v>
      </c>
      <c r="C207" s="14" t="s">
        <v>19</v>
      </c>
      <c r="D207" s="14" t="s">
        <v>147</v>
      </c>
      <c r="E207" s="14" t="s">
        <v>20</v>
      </c>
      <c r="F207" s="14" t="s">
        <v>21</v>
      </c>
      <c r="G207" s="14" t="s">
        <v>22</v>
      </c>
      <c r="H207" s="118">
        <v>290.22134999999997</v>
      </c>
    </row>
    <row r="208" spans="1:8" x14ac:dyDescent="0.25">
      <c r="A208" s="14" t="s">
        <v>477</v>
      </c>
      <c r="B208" s="14" t="s">
        <v>478</v>
      </c>
      <c r="C208" s="14" t="s">
        <v>19</v>
      </c>
      <c r="D208" s="14" t="s">
        <v>147</v>
      </c>
      <c r="E208" s="14" t="s">
        <v>20</v>
      </c>
      <c r="F208" s="14" t="s">
        <v>21</v>
      </c>
      <c r="G208" s="14" t="s">
        <v>22</v>
      </c>
      <c r="H208" s="118">
        <v>198.62461200000001</v>
      </c>
    </row>
    <row r="209" spans="1:8" x14ac:dyDescent="0.25">
      <c r="A209" s="14" t="s">
        <v>479</v>
      </c>
      <c r="B209" s="14" t="s">
        <v>480</v>
      </c>
      <c r="C209" s="14" t="s">
        <v>19</v>
      </c>
      <c r="D209" s="14" t="s">
        <v>147</v>
      </c>
      <c r="E209" s="14" t="s">
        <v>20</v>
      </c>
      <c r="F209" s="14" t="s">
        <v>21</v>
      </c>
      <c r="G209" s="14" t="s">
        <v>22</v>
      </c>
      <c r="H209" s="118">
        <v>1210.7292399999999</v>
      </c>
    </row>
    <row r="210" spans="1:8" x14ac:dyDescent="0.25">
      <c r="A210" s="14" t="s">
        <v>481</v>
      </c>
      <c r="B210" s="14" t="s">
        <v>482</v>
      </c>
      <c r="C210" s="14" t="s">
        <v>19</v>
      </c>
      <c r="D210" s="14" t="s">
        <v>147</v>
      </c>
      <c r="E210" s="14" t="s">
        <v>20</v>
      </c>
      <c r="F210" s="14" t="s">
        <v>21</v>
      </c>
      <c r="G210" s="14" t="s">
        <v>22</v>
      </c>
      <c r="H210" s="118">
        <v>249.552122</v>
      </c>
    </row>
    <row r="211" spans="1:8" x14ac:dyDescent="0.25">
      <c r="A211" s="14" t="s">
        <v>483</v>
      </c>
      <c r="B211" s="14" t="s">
        <v>484</v>
      </c>
      <c r="C211" s="14" t="s">
        <v>19</v>
      </c>
      <c r="D211" s="14" t="s">
        <v>147</v>
      </c>
      <c r="E211" s="14" t="s">
        <v>20</v>
      </c>
      <c r="F211" s="14" t="s">
        <v>21</v>
      </c>
      <c r="G211" s="14" t="s">
        <v>22</v>
      </c>
      <c r="H211" s="118">
        <v>186.34370999999999</v>
      </c>
    </row>
    <row r="212" spans="1:8" x14ac:dyDescent="0.25">
      <c r="A212" s="14" t="s">
        <v>485</v>
      </c>
      <c r="B212" s="14" t="s">
        <v>486</v>
      </c>
      <c r="C212" s="14" t="s">
        <v>19</v>
      </c>
      <c r="D212" s="14" t="s">
        <v>147</v>
      </c>
      <c r="E212" s="14" t="s">
        <v>20</v>
      </c>
      <c r="F212" s="14" t="s">
        <v>21</v>
      </c>
      <c r="G212" s="14" t="s">
        <v>22</v>
      </c>
      <c r="H212" s="118">
        <v>101.8098</v>
      </c>
    </row>
    <row r="213" spans="1:8" x14ac:dyDescent="0.25">
      <c r="A213" s="14" t="s">
        <v>487</v>
      </c>
      <c r="B213" s="14" t="s">
        <v>488</v>
      </c>
      <c r="C213" s="14" t="s">
        <v>19</v>
      </c>
      <c r="D213" s="14" t="s">
        <v>147</v>
      </c>
      <c r="E213" s="14" t="s">
        <v>20</v>
      </c>
      <c r="F213" s="14" t="s">
        <v>21</v>
      </c>
      <c r="G213" s="14" t="s">
        <v>22</v>
      </c>
      <c r="H213" s="118">
        <v>39.791699999999999</v>
      </c>
    </row>
    <row r="214" spans="1:8" x14ac:dyDescent="0.25">
      <c r="A214" s="14" t="s">
        <v>489</v>
      </c>
      <c r="B214" s="14" t="s">
        <v>490</v>
      </c>
      <c r="C214" s="14" t="s">
        <v>19</v>
      </c>
      <c r="D214" s="14" t="s">
        <v>147</v>
      </c>
      <c r="E214" s="14" t="s">
        <v>20</v>
      </c>
      <c r="F214" s="14" t="s">
        <v>21</v>
      </c>
      <c r="G214" s="14" t="s">
        <v>22</v>
      </c>
      <c r="H214" s="118">
        <v>158.81809999999999</v>
      </c>
    </row>
    <row r="215" spans="1:8" x14ac:dyDescent="0.25">
      <c r="A215" s="14" t="s">
        <v>491</v>
      </c>
      <c r="B215" s="14" t="s">
        <v>492</v>
      </c>
      <c r="C215" s="14" t="s">
        <v>19</v>
      </c>
      <c r="D215" s="14" t="s">
        <v>147</v>
      </c>
      <c r="E215" s="14" t="s">
        <v>20</v>
      </c>
      <c r="F215" s="14" t="s">
        <v>21</v>
      </c>
      <c r="G215" s="14" t="s">
        <v>22</v>
      </c>
      <c r="H215" s="118">
        <v>399.86</v>
      </c>
    </row>
    <row r="216" spans="1:8" x14ac:dyDescent="0.25">
      <c r="A216" s="14" t="s">
        <v>493</v>
      </c>
      <c r="B216" s="14" t="s">
        <v>494</v>
      </c>
      <c r="C216" s="14" t="s">
        <v>19</v>
      </c>
      <c r="D216" s="14" t="s">
        <v>147</v>
      </c>
      <c r="E216" s="14" t="s">
        <v>20</v>
      </c>
      <c r="F216" s="14" t="s">
        <v>21</v>
      </c>
      <c r="G216" s="14" t="s">
        <v>22</v>
      </c>
      <c r="H216" s="118">
        <v>323.98989999999998</v>
      </c>
    </row>
    <row r="217" spans="1:8" x14ac:dyDescent="0.25">
      <c r="A217" s="14" t="s">
        <v>497</v>
      </c>
      <c r="B217" s="14" t="s">
        <v>498</v>
      </c>
      <c r="C217" s="14" t="s">
        <v>19</v>
      </c>
      <c r="D217" s="14" t="s">
        <v>147</v>
      </c>
      <c r="E217" s="14" t="s">
        <v>20</v>
      </c>
      <c r="F217" s="14" t="s">
        <v>21</v>
      </c>
      <c r="G217" s="14" t="s">
        <v>22</v>
      </c>
      <c r="H217" s="118">
        <v>1268.8351540000001</v>
      </c>
    </row>
    <row r="218" spans="1:8" x14ac:dyDescent="0.25">
      <c r="A218" s="14" t="s">
        <v>499</v>
      </c>
      <c r="B218" s="14" t="s">
        <v>500</v>
      </c>
      <c r="C218" s="14" t="s">
        <v>19</v>
      </c>
      <c r="D218" s="14" t="s">
        <v>147</v>
      </c>
      <c r="E218" s="14" t="s">
        <v>20</v>
      </c>
      <c r="F218" s="14" t="s">
        <v>21</v>
      </c>
      <c r="G218" s="14" t="s">
        <v>22</v>
      </c>
      <c r="H218" s="118">
        <v>666.86565599999994</v>
      </c>
    </row>
    <row r="219" spans="1:8" x14ac:dyDescent="0.25">
      <c r="G219" s="1" t="s">
        <v>501</v>
      </c>
      <c r="H219" s="120">
        <f>SUBTOTAL(109,H181:H218)</f>
        <v>12950.985360000002</v>
      </c>
    </row>
    <row r="222" spans="1:8" ht="36" x14ac:dyDescent="0.55000000000000004">
      <c r="A222" s="196" t="s">
        <v>644</v>
      </c>
    </row>
    <row r="224" spans="1:8" x14ac:dyDescent="0.25">
      <c r="A224" s="13" t="s">
        <v>13</v>
      </c>
      <c r="B224" s="13" t="s">
        <v>0</v>
      </c>
      <c r="C224" s="13" t="s">
        <v>14</v>
      </c>
      <c r="D224" s="13" t="s">
        <v>144</v>
      </c>
      <c r="E224" s="13" t="s">
        <v>15</v>
      </c>
      <c r="F224" s="13" t="s">
        <v>16</v>
      </c>
      <c r="G224" s="13" t="s">
        <v>17</v>
      </c>
      <c r="H224" s="13" t="s">
        <v>4</v>
      </c>
    </row>
    <row r="225" spans="1:8" x14ac:dyDescent="0.25">
      <c r="A225" s="14" t="s">
        <v>554</v>
      </c>
      <c r="B225" s="14" t="s">
        <v>555</v>
      </c>
      <c r="C225" s="14" t="s">
        <v>19</v>
      </c>
      <c r="D225" s="14" t="s">
        <v>147</v>
      </c>
      <c r="E225" s="14" t="s">
        <v>20</v>
      </c>
      <c r="F225" s="14" t="s">
        <v>21</v>
      </c>
      <c r="G225" s="14" t="s">
        <v>22</v>
      </c>
      <c r="H225" s="116">
        <v>392.70544599999999</v>
      </c>
    </row>
    <row r="226" spans="1:8" x14ac:dyDescent="0.25">
      <c r="A226" s="14" t="s">
        <v>556</v>
      </c>
      <c r="B226" s="14" t="s">
        <v>557</v>
      </c>
      <c r="C226" s="14" t="s">
        <v>19</v>
      </c>
      <c r="D226" s="14" t="s">
        <v>147</v>
      </c>
      <c r="E226" s="14" t="s">
        <v>20</v>
      </c>
      <c r="F226" s="14" t="s">
        <v>24</v>
      </c>
      <c r="G226" s="14" t="s">
        <v>22</v>
      </c>
      <c r="H226" s="116">
        <v>31.883600000000001</v>
      </c>
    </row>
    <row r="227" spans="1:8" x14ac:dyDescent="0.25">
      <c r="A227" s="14" t="s">
        <v>558</v>
      </c>
      <c r="B227" s="14" t="s">
        <v>559</v>
      </c>
      <c r="C227" s="14" t="s">
        <v>19</v>
      </c>
      <c r="D227" s="14" t="s">
        <v>147</v>
      </c>
      <c r="E227" s="14" t="s">
        <v>20</v>
      </c>
      <c r="F227" s="14" t="s">
        <v>21</v>
      </c>
      <c r="G227" s="14" t="s">
        <v>22</v>
      </c>
      <c r="H227" s="116">
        <v>1.2296</v>
      </c>
    </row>
    <row r="228" spans="1:8" x14ac:dyDescent="0.25">
      <c r="A228" s="14" t="s">
        <v>560</v>
      </c>
      <c r="B228" s="14" t="s">
        <v>561</v>
      </c>
      <c r="C228" s="14" t="s">
        <v>19</v>
      </c>
      <c r="D228" s="14" t="s">
        <v>147</v>
      </c>
      <c r="E228" s="14" t="s">
        <v>20</v>
      </c>
      <c r="F228" s="14" t="s">
        <v>21</v>
      </c>
      <c r="G228" s="14" t="s">
        <v>22</v>
      </c>
      <c r="H228" s="116">
        <v>233.369</v>
      </c>
    </row>
    <row r="229" spans="1:8" x14ac:dyDescent="0.25">
      <c r="A229" s="14" t="s">
        <v>562</v>
      </c>
      <c r="B229" s="14" t="s">
        <v>563</v>
      </c>
      <c r="C229" s="14" t="s">
        <v>19</v>
      </c>
      <c r="D229" s="14" t="s">
        <v>147</v>
      </c>
      <c r="E229" s="14" t="s">
        <v>20</v>
      </c>
      <c r="F229" s="14" t="s">
        <v>21</v>
      </c>
      <c r="G229" s="14" t="s">
        <v>22</v>
      </c>
      <c r="H229" s="116">
        <v>115.18640000000001</v>
      </c>
    </row>
    <row r="230" spans="1:8" x14ac:dyDescent="0.25">
      <c r="A230" s="14" t="s">
        <v>564</v>
      </c>
      <c r="B230" s="14" t="s">
        <v>565</v>
      </c>
      <c r="C230" s="14" t="s">
        <v>19</v>
      </c>
      <c r="D230" s="14" t="s">
        <v>147</v>
      </c>
      <c r="E230" s="14" t="s">
        <v>20</v>
      </c>
      <c r="F230" s="14" t="s">
        <v>21</v>
      </c>
      <c r="G230" s="14" t="s">
        <v>22</v>
      </c>
      <c r="H230" s="116">
        <v>352.29</v>
      </c>
    </row>
    <row r="231" spans="1:8" x14ac:dyDescent="0.25">
      <c r="A231" s="14" t="s">
        <v>566</v>
      </c>
      <c r="B231" s="14" t="s">
        <v>567</v>
      </c>
      <c r="C231" s="14" t="s">
        <v>19</v>
      </c>
      <c r="D231" s="14" t="s">
        <v>147</v>
      </c>
      <c r="E231" s="14" t="s">
        <v>20</v>
      </c>
      <c r="F231" s="14" t="s">
        <v>21</v>
      </c>
      <c r="G231" s="14" t="s">
        <v>22</v>
      </c>
      <c r="H231" s="116">
        <v>29.463999999999999</v>
      </c>
    </row>
    <row r="232" spans="1:8" x14ac:dyDescent="0.25">
      <c r="A232" s="14" t="s">
        <v>568</v>
      </c>
      <c r="B232" s="14" t="s">
        <v>569</v>
      </c>
      <c r="C232" s="14" t="s">
        <v>19</v>
      </c>
      <c r="D232" s="14" t="s">
        <v>147</v>
      </c>
      <c r="E232" s="14" t="s">
        <v>20</v>
      </c>
      <c r="F232" s="14" t="s">
        <v>21</v>
      </c>
      <c r="G232" s="14" t="s">
        <v>22</v>
      </c>
      <c r="H232" s="116">
        <v>276</v>
      </c>
    </row>
    <row r="233" spans="1:8" x14ac:dyDescent="0.25">
      <c r="A233" s="14" t="s">
        <v>570</v>
      </c>
      <c r="B233" s="14" t="s">
        <v>571</v>
      </c>
      <c r="C233" s="14" t="s">
        <v>19</v>
      </c>
      <c r="D233" s="14" t="s">
        <v>147</v>
      </c>
      <c r="E233" s="14" t="s">
        <v>20</v>
      </c>
      <c r="F233" s="14" t="s">
        <v>21</v>
      </c>
      <c r="G233" s="14" t="s">
        <v>22</v>
      </c>
      <c r="H233" s="116">
        <v>169.44607999999999</v>
      </c>
    </row>
    <row r="234" spans="1:8" x14ac:dyDescent="0.25">
      <c r="A234" s="14" t="s">
        <v>572</v>
      </c>
      <c r="B234" s="14" t="s">
        <v>573</v>
      </c>
      <c r="C234" s="14" t="s">
        <v>19</v>
      </c>
      <c r="D234" s="14" t="s">
        <v>147</v>
      </c>
      <c r="E234" s="14" t="s">
        <v>20</v>
      </c>
      <c r="F234" s="14" t="s">
        <v>21</v>
      </c>
      <c r="G234" s="14" t="s">
        <v>22</v>
      </c>
      <c r="H234" s="116">
        <v>35.340400000000002</v>
      </c>
    </row>
    <row r="235" spans="1:8" x14ac:dyDescent="0.25">
      <c r="A235" s="14" t="s">
        <v>574</v>
      </c>
      <c r="B235" s="14" t="s">
        <v>575</v>
      </c>
      <c r="C235" s="14" t="s">
        <v>19</v>
      </c>
      <c r="D235" s="14" t="s">
        <v>147</v>
      </c>
      <c r="E235" s="14" t="s">
        <v>20</v>
      </c>
      <c r="F235" s="14" t="s">
        <v>21</v>
      </c>
      <c r="G235" s="14" t="s">
        <v>22</v>
      </c>
      <c r="H235" s="116">
        <v>1589.730472</v>
      </c>
    </row>
    <row r="236" spans="1:8" x14ac:dyDescent="0.25">
      <c r="A236" s="14" t="s">
        <v>576</v>
      </c>
      <c r="B236" s="14" t="s">
        <v>577</v>
      </c>
      <c r="C236" s="14" t="s">
        <v>19</v>
      </c>
      <c r="D236" s="14" t="s">
        <v>147</v>
      </c>
      <c r="E236" s="14" t="s">
        <v>20</v>
      </c>
      <c r="F236" s="14" t="s">
        <v>21</v>
      </c>
      <c r="G236" s="14" t="s">
        <v>22</v>
      </c>
      <c r="H236" s="116">
        <v>368.25801999999999</v>
      </c>
    </row>
    <row r="237" spans="1:8" x14ac:dyDescent="0.25">
      <c r="A237" s="14" t="s">
        <v>578</v>
      </c>
      <c r="B237" s="14" t="s">
        <v>579</v>
      </c>
      <c r="C237" s="14" t="s">
        <v>19</v>
      </c>
      <c r="D237" s="14" t="s">
        <v>147</v>
      </c>
      <c r="E237" s="14" t="s">
        <v>20</v>
      </c>
      <c r="F237" s="14" t="s">
        <v>21</v>
      </c>
      <c r="G237" s="14" t="s">
        <v>22</v>
      </c>
      <c r="H237" s="116">
        <v>127.636</v>
      </c>
    </row>
    <row r="238" spans="1:8" x14ac:dyDescent="0.25">
      <c r="A238" s="14" t="s">
        <v>580</v>
      </c>
      <c r="B238" s="14" t="s">
        <v>581</v>
      </c>
      <c r="C238" s="14" t="s">
        <v>19</v>
      </c>
      <c r="D238" s="14" t="s">
        <v>147</v>
      </c>
      <c r="E238" s="14" t="s">
        <v>20</v>
      </c>
      <c r="F238" s="14" t="s">
        <v>21</v>
      </c>
      <c r="G238" s="14" t="s">
        <v>22</v>
      </c>
      <c r="H238" s="116">
        <v>181.69289800000001</v>
      </c>
    </row>
    <row r="239" spans="1:8" x14ac:dyDescent="0.25">
      <c r="A239" s="14" t="s">
        <v>582</v>
      </c>
      <c r="B239" s="14" t="s">
        <v>583</v>
      </c>
      <c r="C239" s="14" t="s">
        <v>19</v>
      </c>
      <c r="D239" s="14" t="s">
        <v>147</v>
      </c>
      <c r="E239" s="14" t="s">
        <v>20</v>
      </c>
      <c r="F239" s="14" t="s">
        <v>21</v>
      </c>
      <c r="G239" s="14" t="s">
        <v>22</v>
      </c>
      <c r="H239" s="116">
        <v>283.12626799999998</v>
      </c>
    </row>
    <row r="240" spans="1:8" x14ac:dyDescent="0.25">
      <c r="A240" s="14" t="s">
        <v>584</v>
      </c>
      <c r="B240" s="14" t="s">
        <v>585</v>
      </c>
      <c r="C240" s="14" t="s">
        <v>19</v>
      </c>
      <c r="D240" s="14" t="s">
        <v>147</v>
      </c>
      <c r="E240" s="14" t="s">
        <v>20</v>
      </c>
      <c r="F240" s="14" t="s">
        <v>21</v>
      </c>
      <c r="G240" s="14" t="s">
        <v>22</v>
      </c>
      <c r="H240" s="116">
        <v>79.905770000000004</v>
      </c>
    </row>
    <row r="241" spans="1:8" x14ac:dyDescent="0.25">
      <c r="A241" s="14" t="s">
        <v>586</v>
      </c>
      <c r="B241" s="14" t="s">
        <v>587</v>
      </c>
      <c r="C241" s="14" t="s">
        <v>19</v>
      </c>
      <c r="D241" s="14" t="s">
        <v>147</v>
      </c>
      <c r="E241" s="14" t="s">
        <v>20</v>
      </c>
      <c r="F241" s="14" t="s">
        <v>21</v>
      </c>
      <c r="G241" s="14" t="s">
        <v>22</v>
      </c>
      <c r="H241" s="116">
        <v>1.8444</v>
      </c>
    </row>
    <row r="242" spans="1:8" x14ac:dyDescent="0.25">
      <c r="A242" s="14" t="s">
        <v>588</v>
      </c>
      <c r="B242" s="14" t="s">
        <v>589</v>
      </c>
      <c r="C242" s="14" t="s">
        <v>19</v>
      </c>
      <c r="D242" s="14" t="s">
        <v>147</v>
      </c>
      <c r="E242" s="14" t="s">
        <v>20</v>
      </c>
      <c r="F242" s="14" t="s">
        <v>21</v>
      </c>
      <c r="G242" s="14" t="s">
        <v>22</v>
      </c>
      <c r="H242" s="116">
        <v>147.75720000000001</v>
      </c>
    </row>
    <row r="243" spans="1:8" x14ac:dyDescent="0.25">
      <c r="A243" s="14" t="s">
        <v>590</v>
      </c>
      <c r="B243" s="14" t="s">
        <v>591</v>
      </c>
      <c r="C243" s="14" t="s">
        <v>19</v>
      </c>
      <c r="D243" s="14" t="s">
        <v>147</v>
      </c>
      <c r="E243" s="14" t="s">
        <v>20</v>
      </c>
      <c r="F243" s="14" t="s">
        <v>21</v>
      </c>
      <c r="G243" s="14" t="s">
        <v>22</v>
      </c>
      <c r="H243" s="116">
        <v>75.535824000000005</v>
      </c>
    </row>
    <row r="244" spans="1:8" x14ac:dyDescent="0.25">
      <c r="A244" s="14" t="s">
        <v>592</v>
      </c>
      <c r="B244" s="14" t="s">
        <v>593</v>
      </c>
      <c r="C244" s="14" t="s">
        <v>19</v>
      </c>
      <c r="D244" s="14" t="s">
        <v>147</v>
      </c>
      <c r="E244" s="14" t="s">
        <v>20</v>
      </c>
      <c r="F244" s="14" t="s">
        <v>21</v>
      </c>
      <c r="G244" s="14" t="s">
        <v>22</v>
      </c>
      <c r="H244" s="116">
        <v>198.2</v>
      </c>
    </row>
    <row r="245" spans="1:8" x14ac:dyDescent="0.25">
      <c r="A245" s="14" t="s">
        <v>594</v>
      </c>
      <c r="B245" s="14" t="s">
        <v>595</v>
      </c>
      <c r="C245" s="14" t="s">
        <v>19</v>
      </c>
      <c r="D245" s="14" t="s">
        <v>147</v>
      </c>
      <c r="E245" s="14" t="s">
        <v>20</v>
      </c>
      <c r="F245" s="14" t="s">
        <v>21</v>
      </c>
      <c r="G245" s="14" t="s">
        <v>22</v>
      </c>
      <c r="H245" s="116">
        <v>59.292200000000001</v>
      </c>
    </row>
    <row r="246" spans="1:8" x14ac:dyDescent="0.25">
      <c r="A246" s="14" t="s">
        <v>596</v>
      </c>
      <c r="B246" s="14" t="s">
        <v>597</v>
      </c>
      <c r="C246" s="14" t="s">
        <v>19</v>
      </c>
      <c r="D246" s="14" t="s">
        <v>147</v>
      </c>
      <c r="E246" s="14" t="s">
        <v>20</v>
      </c>
      <c r="F246" s="14" t="s">
        <v>21</v>
      </c>
      <c r="G246" s="14" t="s">
        <v>22</v>
      </c>
      <c r="H246" s="116">
        <v>1569.0663316</v>
      </c>
    </row>
    <row r="247" spans="1:8" x14ac:dyDescent="0.25">
      <c r="A247" s="14" t="s">
        <v>598</v>
      </c>
      <c r="B247" s="14" t="s">
        <v>599</v>
      </c>
      <c r="C247" s="14" t="s">
        <v>19</v>
      </c>
      <c r="D247" s="14" t="s">
        <v>147</v>
      </c>
      <c r="E247" s="14" t="s">
        <v>20</v>
      </c>
      <c r="F247" s="14" t="s">
        <v>21</v>
      </c>
      <c r="G247" s="14" t="s">
        <v>22</v>
      </c>
      <c r="H247" s="116">
        <v>83.329599999999999</v>
      </c>
    </row>
    <row r="248" spans="1:8" x14ac:dyDescent="0.25">
      <c r="A248" s="14" t="s">
        <v>600</v>
      </c>
      <c r="B248" s="14" t="s">
        <v>601</v>
      </c>
      <c r="C248" s="14" t="s">
        <v>19</v>
      </c>
      <c r="D248" s="14" t="s">
        <v>147</v>
      </c>
      <c r="E248" s="14" t="s">
        <v>20</v>
      </c>
      <c r="F248" s="14" t="s">
        <v>21</v>
      </c>
      <c r="G248" s="14" t="s">
        <v>22</v>
      </c>
      <c r="H248" s="116">
        <v>98.891440000000003</v>
      </c>
    </row>
    <row r="249" spans="1:8" x14ac:dyDescent="0.25">
      <c r="A249" s="14" t="s">
        <v>602</v>
      </c>
      <c r="B249" s="14" t="s">
        <v>603</v>
      </c>
      <c r="C249" s="14" t="s">
        <v>19</v>
      </c>
      <c r="D249" s="14" t="s">
        <v>147</v>
      </c>
      <c r="E249" s="14" t="s">
        <v>20</v>
      </c>
      <c r="F249" s="14" t="s">
        <v>21</v>
      </c>
      <c r="G249" s="14" t="s">
        <v>22</v>
      </c>
      <c r="H249" s="116">
        <v>392.17738400000002</v>
      </c>
    </row>
    <row r="250" spans="1:8" x14ac:dyDescent="0.25">
      <c r="A250" s="14" t="s">
        <v>604</v>
      </c>
      <c r="B250" s="14" t="s">
        <v>605</v>
      </c>
      <c r="C250" s="14" t="s">
        <v>19</v>
      </c>
      <c r="D250" s="14" t="s">
        <v>147</v>
      </c>
      <c r="E250" s="14" t="s">
        <v>20</v>
      </c>
      <c r="F250" s="14" t="s">
        <v>21</v>
      </c>
      <c r="G250" s="14" t="s">
        <v>22</v>
      </c>
      <c r="H250" s="116">
        <v>17.600000000000001</v>
      </c>
    </row>
    <row r="251" spans="1:8" x14ac:dyDescent="0.25">
      <c r="A251" s="14" t="s">
        <v>606</v>
      </c>
      <c r="B251" s="14" t="s">
        <v>607</v>
      </c>
      <c r="C251" s="14" t="s">
        <v>19</v>
      </c>
      <c r="D251" s="14" t="s">
        <v>147</v>
      </c>
      <c r="E251" s="14" t="s">
        <v>20</v>
      </c>
      <c r="F251" s="14" t="s">
        <v>21</v>
      </c>
      <c r="G251" s="14" t="s">
        <v>22</v>
      </c>
      <c r="H251" s="116">
        <v>493.72986600000002</v>
      </c>
    </row>
    <row r="252" spans="1:8" x14ac:dyDescent="0.25">
      <c r="A252" s="14" t="s">
        <v>608</v>
      </c>
      <c r="B252" s="14" t="s">
        <v>609</v>
      </c>
      <c r="C252" s="14" t="s">
        <v>19</v>
      </c>
      <c r="D252" s="14" t="s">
        <v>147</v>
      </c>
      <c r="E252" s="14" t="s">
        <v>20</v>
      </c>
      <c r="F252" s="14" t="s">
        <v>21</v>
      </c>
      <c r="G252" s="14" t="s">
        <v>22</v>
      </c>
      <c r="H252" s="116">
        <v>170.3064</v>
      </c>
    </row>
    <row r="253" spans="1:8" x14ac:dyDescent="0.25">
      <c r="A253" s="14" t="s">
        <v>610</v>
      </c>
      <c r="B253" s="14" t="s">
        <v>611</v>
      </c>
      <c r="C253" s="14" t="s">
        <v>19</v>
      </c>
      <c r="D253" s="14" t="s">
        <v>147</v>
      </c>
      <c r="E253" s="14" t="s">
        <v>20</v>
      </c>
      <c r="F253" s="14" t="s">
        <v>21</v>
      </c>
      <c r="G253" s="14" t="s">
        <v>22</v>
      </c>
      <c r="H253" s="116">
        <v>187.93527800000001</v>
      </c>
    </row>
    <row r="254" spans="1:8" x14ac:dyDescent="0.25">
      <c r="A254" s="14" t="s">
        <v>612</v>
      </c>
      <c r="B254" s="14" t="s">
        <v>613</v>
      </c>
      <c r="C254" s="14" t="s">
        <v>19</v>
      </c>
      <c r="D254" s="14" t="s">
        <v>147</v>
      </c>
      <c r="E254" s="14" t="s">
        <v>20</v>
      </c>
      <c r="F254" s="14" t="s">
        <v>21</v>
      </c>
      <c r="G254" s="14" t="s">
        <v>22</v>
      </c>
      <c r="H254" s="116">
        <v>176.02086</v>
      </c>
    </row>
    <row r="255" spans="1:8" x14ac:dyDescent="0.25">
      <c r="A255" s="14" t="s">
        <v>614</v>
      </c>
      <c r="B255" s="14" t="s">
        <v>615</v>
      </c>
      <c r="C255" s="14" t="s">
        <v>19</v>
      </c>
      <c r="D255" s="14" t="s">
        <v>147</v>
      </c>
      <c r="E255" s="14" t="s">
        <v>20</v>
      </c>
      <c r="F255" s="14" t="s">
        <v>21</v>
      </c>
      <c r="G255" s="14" t="s">
        <v>22</v>
      </c>
      <c r="H255" s="116">
        <v>1643.987222</v>
      </c>
    </row>
    <row r="256" spans="1:8" x14ac:dyDescent="0.25">
      <c r="A256" s="14" t="s">
        <v>616</v>
      </c>
      <c r="B256" s="14" t="s">
        <v>617</v>
      </c>
      <c r="C256" s="14" t="s">
        <v>19</v>
      </c>
      <c r="D256" s="14" t="s">
        <v>147</v>
      </c>
      <c r="E256" s="14" t="s">
        <v>20</v>
      </c>
      <c r="F256" s="14" t="s">
        <v>21</v>
      </c>
      <c r="G256" s="14" t="s">
        <v>22</v>
      </c>
      <c r="H256" s="116">
        <v>411.49351999999999</v>
      </c>
    </row>
    <row r="257" spans="1:8" x14ac:dyDescent="0.25">
      <c r="A257" s="14" t="s">
        <v>618</v>
      </c>
      <c r="B257" s="14" t="s">
        <v>619</v>
      </c>
      <c r="C257" s="14" t="s">
        <v>19</v>
      </c>
      <c r="D257" s="14" t="s">
        <v>147</v>
      </c>
      <c r="E257" s="14" t="s">
        <v>20</v>
      </c>
      <c r="F257" s="14" t="s">
        <v>21</v>
      </c>
      <c r="G257" s="14" t="s">
        <v>22</v>
      </c>
      <c r="H257" s="116">
        <v>10.2035</v>
      </c>
    </row>
    <row r="258" spans="1:8" x14ac:dyDescent="0.25">
      <c r="A258" s="14" t="s">
        <v>620</v>
      </c>
      <c r="B258" s="14" t="s">
        <v>621</v>
      </c>
      <c r="C258" s="14" t="s">
        <v>19</v>
      </c>
      <c r="D258" s="14" t="s">
        <v>147</v>
      </c>
      <c r="E258" s="14" t="s">
        <v>20</v>
      </c>
      <c r="F258" s="14" t="s">
        <v>21</v>
      </c>
      <c r="G258" s="14" t="s">
        <v>22</v>
      </c>
      <c r="H258" s="116">
        <v>126.48714</v>
      </c>
    </row>
    <row r="259" spans="1:8" x14ac:dyDescent="0.25">
      <c r="A259" s="14" t="s">
        <v>622</v>
      </c>
      <c r="B259" s="14" t="s">
        <v>623</v>
      </c>
      <c r="C259" s="14" t="s">
        <v>19</v>
      </c>
      <c r="D259" s="14" t="s">
        <v>147</v>
      </c>
      <c r="E259" s="14" t="s">
        <v>20</v>
      </c>
      <c r="F259" s="14" t="s">
        <v>21</v>
      </c>
      <c r="G259" s="14" t="s">
        <v>22</v>
      </c>
      <c r="H259" s="116">
        <v>121.66615</v>
      </c>
    </row>
    <row r="260" spans="1:8" x14ac:dyDescent="0.25">
      <c r="A260" s="14" t="s">
        <v>624</v>
      </c>
      <c r="B260" s="14" t="s">
        <v>625</v>
      </c>
      <c r="C260" s="14" t="s">
        <v>19</v>
      </c>
      <c r="D260" s="14" t="s">
        <v>147</v>
      </c>
      <c r="E260" s="14" t="s">
        <v>20</v>
      </c>
      <c r="F260" s="14" t="s">
        <v>21</v>
      </c>
      <c r="G260" s="14" t="s">
        <v>22</v>
      </c>
      <c r="H260" s="116">
        <v>141.87960000000001</v>
      </c>
    </row>
    <row r="261" spans="1:8" x14ac:dyDescent="0.25">
      <c r="A261" s="14" t="s">
        <v>626</v>
      </c>
      <c r="B261" s="14" t="s">
        <v>627</v>
      </c>
      <c r="C261" s="14" t="s">
        <v>19</v>
      </c>
      <c r="D261" s="14" t="s">
        <v>147</v>
      </c>
      <c r="E261" s="14" t="s">
        <v>20</v>
      </c>
      <c r="F261" s="14" t="s">
        <v>21</v>
      </c>
      <c r="G261" s="14" t="s">
        <v>22</v>
      </c>
      <c r="H261" s="116">
        <v>166.8545</v>
      </c>
    </row>
    <row r="262" spans="1:8" x14ac:dyDescent="0.25">
      <c r="A262" s="14" t="s">
        <v>628</v>
      </c>
      <c r="B262" s="14" t="s">
        <v>629</v>
      </c>
      <c r="C262" s="14" t="s">
        <v>19</v>
      </c>
      <c r="D262" s="14" t="s">
        <v>147</v>
      </c>
      <c r="E262" s="14" t="s">
        <v>20</v>
      </c>
      <c r="F262" s="14" t="s">
        <v>24</v>
      </c>
      <c r="G262" s="14" t="s">
        <v>22</v>
      </c>
      <c r="H262" s="116">
        <v>183.6</v>
      </c>
    </row>
    <row r="263" spans="1:8" x14ac:dyDescent="0.25">
      <c r="A263" s="14" t="s">
        <v>630</v>
      </c>
      <c r="B263" s="14" t="s">
        <v>631</v>
      </c>
      <c r="C263" s="14" t="s">
        <v>19</v>
      </c>
      <c r="D263" s="14" t="s">
        <v>147</v>
      </c>
      <c r="E263" s="14" t="s">
        <v>20</v>
      </c>
      <c r="F263" s="14" t="s">
        <v>21</v>
      </c>
      <c r="G263" s="14" t="s">
        <v>22</v>
      </c>
      <c r="H263" s="116">
        <v>669.21542599999998</v>
      </c>
    </row>
    <row r="264" spans="1:8" x14ac:dyDescent="0.25">
      <c r="A264" s="14" t="s">
        <v>632</v>
      </c>
      <c r="B264" s="14" t="s">
        <v>633</v>
      </c>
      <c r="C264" s="14" t="s">
        <v>19</v>
      </c>
      <c r="D264" s="14" t="s">
        <v>147</v>
      </c>
      <c r="E264" s="14" t="s">
        <v>20</v>
      </c>
      <c r="F264" s="14" t="s">
        <v>21</v>
      </c>
      <c r="G264" s="14" t="s">
        <v>22</v>
      </c>
      <c r="H264" s="116">
        <v>549.12128800000005</v>
      </c>
    </row>
    <row r="265" spans="1:8" x14ac:dyDescent="0.25">
      <c r="A265" s="14" t="s">
        <v>634</v>
      </c>
      <c r="B265" s="14" t="s">
        <v>635</v>
      </c>
      <c r="C265" s="14" t="s">
        <v>19</v>
      </c>
      <c r="D265" s="14" t="s">
        <v>147</v>
      </c>
      <c r="E265" s="14" t="s">
        <v>20</v>
      </c>
      <c r="F265" s="14" t="s">
        <v>21</v>
      </c>
      <c r="G265" s="14" t="s">
        <v>22</v>
      </c>
      <c r="H265" s="116">
        <v>143.84979999999999</v>
      </c>
    </row>
    <row r="266" spans="1:8" x14ac:dyDescent="0.25">
      <c r="A266" s="14" t="s">
        <v>636</v>
      </c>
      <c r="B266" s="14" t="s">
        <v>637</v>
      </c>
      <c r="C266" s="14" t="s">
        <v>19</v>
      </c>
      <c r="D266" s="14" t="s">
        <v>147</v>
      </c>
      <c r="E266" s="14" t="s">
        <v>20</v>
      </c>
      <c r="F266" s="14" t="s">
        <v>21</v>
      </c>
      <c r="G266" s="14" t="s">
        <v>22</v>
      </c>
      <c r="H266" s="116">
        <v>810.80920000000003</v>
      </c>
    </row>
    <row r="267" spans="1:8" x14ac:dyDescent="0.25">
      <c r="A267" s="14" t="s">
        <v>638</v>
      </c>
      <c r="B267" s="14" t="s">
        <v>639</v>
      </c>
      <c r="C267" s="14" t="s">
        <v>19</v>
      </c>
      <c r="D267" s="14" t="s">
        <v>147</v>
      </c>
      <c r="E267" s="14" t="s">
        <v>20</v>
      </c>
      <c r="F267" s="14" t="s">
        <v>21</v>
      </c>
      <c r="G267" s="14" t="s">
        <v>22</v>
      </c>
      <c r="H267" s="116">
        <v>145.06662800000001</v>
      </c>
    </row>
    <row r="268" spans="1:8" x14ac:dyDescent="0.25">
      <c r="G268" t="s">
        <v>223</v>
      </c>
      <c r="H268" s="266">
        <f>SUBTOTAL(109,H225:H267)</f>
        <v>13063.184711599999</v>
      </c>
    </row>
    <row r="270" spans="1:8" ht="30.75" x14ac:dyDescent="0.45">
      <c r="A270" s="384" t="s">
        <v>793</v>
      </c>
    </row>
    <row r="272" spans="1:8" x14ac:dyDescent="0.25">
      <c r="A272" s="13" t="s">
        <v>13</v>
      </c>
      <c r="B272" s="13" t="s">
        <v>0</v>
      </c>
      <c r="C272" s="13" t="s">
        <v>14</v>
      </c>
      <c r="D272" s="13" t="s">
        <v>144</v>
      </c>
      <c r="E272" s="13" t="s">
        <v>15</v>
      </c>
      <c r="F272" s="13" t="s">
        <v>16</v>
      </c>
      <c r="G272" s="13" t="s">
        <v>17</v>
      </c>
      <c r="H272" s="13" t="s">
        <v>4</v>
      </c>
    </row>
    <row r="273" spans="1:8" x14ac:dyDescent="0.25">
      <c r="A273" s="14" t="s">
        <v>674</v>
      </c>
      <c r="B273" s="14" t="s">
        <v>675</v>
      </c>
      <c r="C273" s="14" t="s">
        <v>19</v>
      </c>
      <c r="D273" s="14" t="s">
        <v>147</v>
      </c>
      <c r="E273" s="14" t="s">
        <v>20</v>
      </c>
      <c r="F273" s="14" t="s">
        <v>21</v>
      </c>
      <c r="G273" s="14" t="s">
        <v>22</v>
      </c>
      <c r="H273" s="118">
        <v>109.0232</v>
      </c>
    </row>
    <row r="274" spans="1:8" x14ac:dyDescent="0.25">
      <c r="A274" s="14" t="s">
        <v>676</v>
      </c>
      <c r="B274" s="14" t="s">
        <v>677</v>
      </c>
      <c r="C274" s="14" t="s">
        <v>19</v>
      </c>
      <c r="D274" s="14" t="s">
        <v>147</v>
      </c>
      <c r="E274" s="14" t="s">
        <v>20</v>
      </c>
      <c r="F274" s="14" t="s">
        <v>21</v>
      </c>
      <c r="G274" s="14" t="s">
        <v>22</v>
      </c>
      <c r="H274" s="118">
        <v>201.27895599999999</v>
      </c>
    </row>
    <row r="275" spans="1:8" x14ac:dyDescent="0.25">
      <c r="A275" s="14" t="s">
        <v>678</v>
      </c>
      <c r="B275" s="14" t="s">
        <v>679</v>
      </c>
      <c r="C275" s="14" t="s">
        <v>19</v>
      </c>
      <c r="D275" s="14" t="s">
        <v>147</v>
      </c>
      <c r="E275" s="14" t="s">
        <v>20</v>
      </c>
      <c r="F275" s="14" t="s">
        <v>21</v>
      </c>
      <c r="G275" s="14" t="s">
        <v>22</v>
      </c>
      <c r="H275" s="118">
        <v>701.06399999999996</v>
      </c>
    </row>
    <row r="276" spans="1:8" x14ac:dyDescent="0.25">
      <c r="A276" s="14" t="s">
        <v>680</v>
      </c>
      <c r="B276" s="14" t="s">
        <v>681</v>
      </c>
      <c r="C276" s="14" t="s">
        <v>19</v>
      </c>
      <c r="D276" s="14" t="s">
        <v>147</v>
      </c>
      <c r="E276" s="14" t="s">
        <v>20</v>
      </c>
      <c r="F276" s="14" t="s">
        <v>21</v>
      </c>
      <c r="G276" s="14" t="s">
        <v>22</v>
      </c>
      <c r="H276" s="118">
        <v>606.28560000000004</v>
      </c>
    </row>
    <row r="277" spans="1:8" x14ac:dyDescent="0.25">
      <c r="A277" s="14" t="s">
        <v>682</v>
      </c>
      <c r="B277" s="14" t="s">
        <v>683</v>
      </c>
      <c r="C277" s="14" t="s">
        <v>19</v>
      </c>
      <c r="D277" s="14" t="s">
        <v>147</v>
      </c>
      <c r="E277" s="14" t="s">
        <v>20</v>
      </c>
      <c r="F277" s="14" t="s">
        <v>21</v>
      </c>
      <c r="G277" s="14" t="s">
        <v>22</v>
      </c>
      <c r="H277" s="118">
        <v>196.7516</v>
      </c>
    </row>
    <row r="278" spans="1:8" x14ac:dyDescent="0.25">
      <c r="A278" s="14" t="s">
        <v>684</v>
      </c>
      <c r="B278" s="14" t="s">
        <v>685</v>
      </c>
      <c r="C278" s="14" t="s">
        <v>19</v>
      </c>
      <c r="D278" s="14" t="s">
        <v>147</v>
      </c>
      <c r="E278" s="14" t="s">
        <v>20</v>
      </c>
      <c r="F278" s="14" t="s">
        <v>21</v>
      </c>
      <c r="G278" s="14" t="s">
        <v>22</v>
      </c>
      <c r="H278" s="118">
        <v>578.09230000000002</v>
      </c>
    </row>
    <row r="279" spans="1:8" x14ac:dyDescent="0.25">
      <c r="A279" s="14" t="s">
        <v>686</v>
      </c>
      <c r="B279" s="14" t="s">
        <v>687</v>
      </c>
      <c r="C279" s="14" t="s">
        <v>19</v>
      </c>
      <c r="D279" s="14" t="s">
        <v>147</v>
      </c>
      <c r="E279" s="14" t="s">
        <v>20</v>
      </c>
      <c r="F279" s="14" t="s">
        <v>21</v>
      </c>
      <c r="G279" s="14" t="s">
        <v>22</v>
      </c>
      <c r="H279" s="118">
        <v>830.69439999999997</v>
      </c>
    </row>
    <row r="280" spans="1:8" x14ac:dyDescent="0.25">
      <c r="A280" s="14" t="s">
        <v>688</v>
      </c>
      <c r="B280" s="14" t="s">
        <v>689</v>
      </c>
      <c r="C280" s="14" t="s">
        <v>19</v>
      </c>
      <c r="D280" s="14" t="s">
        <v>147</v>
      </c>
      <c r="E280" s="14" t="s">
        <v>20</v>
      </c>
      <c r="F280" s="14" t="s">
        <v>21</v>
      </c>
      <c r="G280" s="14" t="s">
        <v>22</v>
      </c>
      <c r="H280" s="118">
        <v>33.847116</v>
      </c>
    </row>
    <row r="281" spans="1:8" x14ac:dyDescent="0.25">
      <c r="A281" s="14" t="s">
        <v>690</v>
      </c>
      <c r="B281" s="14" t="s">
        <v>691</v>
      </c>
      <c r="C281" s="14" t="s">
        <v>19</v>
      </c>
      <c r="D281" s="14" t="s">
        <v>147</v>
      </c>
      <c r="E281" s="14" t="s">
        <v>20</v>
      </c>
      <c r="F281" s="14" t="s">
        <v>21</v>
      </c>
      <c r="G281" s="14" t="s">
        <v>22</v>
      </c>
      <c r="H281" s="118">
        <v>17.52</v>
      </c>
    </row>
    <row r="282" spans="1:8" x14ac:dyDescent="0.25">
      <c r="A282" s="14" t="s">
        <v>692</v>
      </c>
      <c r="B282" s="14" t="s">
        <v>693</v>
      </c>
      <c r="C282" s="14" t="s">
        <v>19</v>
      </c>
      <c r="D282" s="14" t="s">
        <v>147</v>
      </c>
      <c r="E282" s="14" t="s">
        <v>20</v>
      </c>
      <c r="F282" s="14" t="s">
        <v>21</v>
      </c>
      <c r="G282" s="14" t="s">
        <v>22</v>
      </c>
      <c r="H282" s="118">
        <v>607.39532999999994</v>
      </c>
    </row>
    <row r="283" spans="1:8" x14ac:dyDescent="0.25">
      <c r="A283" s="14" t="s">
        <v>694</v>
      </c>
      <c r="B283" s="14" t="s">
        <v>695</v>
      </c>
      <c r="C283" s="14" t="s">
        <v>19</v>
      </c>
      <c r="D283" s="14" t="s">
        <v>147</v>
      </c>
      <c r="E283" s="14" t="s">
        <v>20</v>
      </c>
      <c r="F283" s="14" t="s">
        <v>21</v>
      </c>
      <c r="G283" s="14" t="s">
        <v>22</v>
      </c>
      <c r="H283" s="118">
        <v>41.332799999999999</v>
      </c>
    </row>
    <row r="284" spans="1:8" x14ac:dyDescent="0.25">
      <c r="A284" s="14" t="s">
        <v>696</v>
      </c>
      <c r="B284" s="14" t="s">
        <v>697</v>
      </c>
      <c r="C284" s="14" t="s">
        <v>19</v>
      </c>
      <c r="D284" s="14" t="s">
        <v>147</v>
      </c>
      <c r="E284" s="14" t="s">
        <v>20</v>
      </c>
      <c r="F284" s="14" t="s">
        <v>21</v>
      </c>
      <c r="G284" s="14" t="s">
        <v>22</v>
      </c>
      <c r="H284" s="118">
        <v>20.88</v>
      </c>
    </row>
    <row r="285" spans="1:8" x14ac:dyDescent="0.25">
      <c r="A285" s="14" t="s">
        <v>698</v>
      </c>
      <c r="B285" s="14" t="s">
        <v>699</v>
      </c>
      <c r="C285" s="14" t="s">
        <v>19</v>
      </c>
      <c r="D285" s="14" t="s">
        <v>147</v>
      </c>
      <c r="E285" s="14" t="s">
        <v>20</v>
      </c>
      <c r="F285" s="14" t="s">
        <v>21</v>
      </c>
      <c r="G285" s="14" t="s">
        <v>22</v>
      </c>
      <c r="H285" s="118">
        <v>59.725949999999997</v>
      </c>
    </row>
    <row r="286" spans="1:8" x14ac:dyDescent="0.25">
      <c r="A286" s="14" t="s">
        <v>700</v>
      </c>
      <c r="B286" s="14" t="s">
        <v>701</v>
      </c>
      <c r="C286" s="14" t="s">
        <v>19</v>
      </c>
      <c r="D286" s="14" t="s">
        <v>147</v>
      </c>
      <c r="E286" s="14" t="s">
        <v>20</v>
      </c>
      <c r="F286" s="14" t="s">
        <v>21</v>
      </c>
      <c r="G286" s="14" t="s">
        <v>22</v>
      </c>
      <c r="H286" s="118">
        <v>19.209599999999998</v>
      </c>
    </row>
    <row r="287" spans="1:8" x14ac:dyDescent="0.25">
      <c r="A287" s="14" t="s">
        <v>702</v>
      </c>
      <c r="B287" s="14" t="s">
        <v>703</v>
      </c>
      <c r="C287" s="14" t="s">
        <v>19</v>
      </c>
      <c r="D287" s="14" t="s">
        <v>147</v>
      </c>
      <c r="E287" s="14" t="s">
        <v>20</v>
      </c>
      <c r="F287" s="14" t="s">
        <v>21</v>
      </c>
      <c r="G287" s="14" t="s">
        <v>22</v>
      </c>
      <c r="H287" s="118">
        <v>319.8</v>
      </c>
    </row>
    <row r="288" spans="1:8" x14ac:dyDescent="0.25">
      <c r="A288" s="14" t="s">
        <v>704</v>
      </c>
      <c r="B288" s="14" t="s">
        <v>705</v>
      </c>
      <c r="C288" s="14" t="s">
        <v>19</v>
      </c>
      <c r="D288" s="14" t="s">
        <v>147</v>
      </c>
      <c r="E288" s="14" t="s">
        <v>20</v>
      </c>
      <c r="F288" s="14" t="s">
        <v>21</v>
      </c>
      <c r="G288" s="14" t="s">
        <v>22</v>
      </c>
      <c r="H288" s="118">
        <v>261.89296999999999</v>
      </c>
    </row>
    <row r="289" spans="1:8" x14ac:dyDescent="0.25">
      <c r="A289" s="14" t="s">
        <v>706</v>
      </c>
      <c r="B289" s="14" t="s">
        <v>707</v>
      </c>
      <c r="C289" s="14" t="s">
        <v>19</v>
      </c>
      <c r="D289" s="14" t="s">
        <v>147</v>
      </c>
      <c r="E289" s="14" t="s">
        <v>20</v>
      </c>
      <c r="F289" s="14" t="s">
        <v>21</v>
      </c>
      <c r="G289" s="14" t="s">
        <v>22</v>
      </c>
      <c r="H289" s="118">
        <v>106.702748</v>
      </c>
    </row>
    <row r="290" spans="1:8" x14ac:dyDescent="0.25">
      <c r="A290" s="14" t="s">
        <v>708</v>
      </c>
      <c r="B290" s="14" t="s">
        <v>709</v>
      </c>
      <c r="C290" s="14" t="s">
        <v>19</v>
      </c>
      <c r="D290" s="14" t="s">
        <v>147</v>
      </c>
      <c r="E290" s="14" t="s">
        <v>20</v>
      </c>
      <c r="F290" s="14" t="s">
        <v>21</v>
      </c>
      <c r="G290" s="14" t="s">
        <v>22</v>
      </c>
      <c r="H290" s="118">
        <v>237.387958</v>
      </c>
    </row>
    <row r="291" spans="1:8" x14ac:dyDescent="0.25">
      <c r="A291" s="14" t="s">
        <v>710</v>
      </c>
      <c r="B291" s="14" t="s">
        <v>711</v>
      </c>
      <c r="C291" s="14" t="s">
        <v>19</v>
      </c>
      <c r="D291" s="14" t="s">
        <v>147</v>
      </c>
      <c r="E291" s="14" t="s">
        <v>20</v>
      </c>
      <c r="F291" s="14" t="s">
        <v>21</v>
      </c>
      <c r="G291" s="14" t="s">
        <v>22</v>
      </c>
      <c r="H291" s="118">
        <v>7.6528</v>
      </c>
    </row>
    <row r="292" spans="1:8" x14ac:dyDescent="0.25">
      <c r="A292" s="14" t="s">
        <v>712</v>
      </c>
      <c r="B292" s="14" t="s">
        <v>713</v>
      </c>
      <c r="C292" s="14" t="s">
        <v>19</v>
      </c>
      <c r="D292" s="14" t="s">
        <v>147</v>
      </c>
      <c r="E292" s="14" t="s">
        <v>20</v>
      </c>
      <c r="F292" s="14" t="s">
        <v>21</v>
      </c>
      <c r="G292" s="14" t="s">
        <v>22</v>
      </c>
      <c r="H292" s="118">
        <v>1949.9600519999999</v>
      </c>
    </row>
    <row r="293" spans="1:8" x14ac:dyDescent="0.25">
      <c r="A293" s="14" t="s">
        <v>714</v>
      </c>
      <c r="B293" s="14" t="s">
        <v>715</v>
      </c>
      <c r="C293" s="14" t="s">
        <v>19</v>
      </c>
      <c r="D293" s="14" t="s">
        <v>147</v>
      </c>
      <c r="E293" s="14" t="s">
        <v>20</v>
      </c>
      <c r="F293" s="14" t="s">
        <v>21</v>
      </c>
      <c r="G293" s="14" t="s">
        <v>22</v>
      </c>
      <c r="H293" s="118">
        <v>604.79999999999995</v>
      </c>
    </row>
    <row r="294" spans="1:8" x14ac:dyDescent="0.25">
      <c r="A294" s="14" t="s">
        <v>716</v>
      </c>
      <c r="B294" s="14" t="s">
        <v>717</v>
      </c>
      <c r="C294" s="14" t="s">
        <v>19</v>
      </c>
      <c r="D294" s="14" t="s">
        <v>147</v>
      </c>
      <c r="E294" s="14" t="s">
        <v>20</v>
      </c>
      <c r="F294" s="14" t="s">
        <v>21</v>
      </c>
      <c r="G294" s="14" t="s">
        <v>22</v>
      </c>
      <c r="H294" s="118">
        <v>394.45388000000003</v>
      </c>
    </row>
    <row r="295" spans="1:8" x14ac:dyDescent="0.25">
      <c r="A295" s="14" t="s">
        <v>718</v>
      </c>
      <c r="B295" s="14" t="s">
        <v>719</v>
      </c>
      <c r="C295" s="14" t="s">
        <v>19</v>
      </c>
      <c r="D295" s="14" t="s">
        <v>147</v>
      </c>
      <c r="E295" s="14" t="s">
        <v>20</v>
      </c>
      <c r="F295" s="14" t="s">
        <v>21</v>
      </c>
      <c r="G295" s="14" t="s">
        <v>22</v>
      </c>
      <c r="H295" s="118">
        <v>31.499099999999999</v>
      </c>
    </row>
    <row r="296" spans="1:8" x14ac:dyDescent="0.25">
      <c r="A296" s="14" t="s">
        <v>720</v>
      </c>
      <c r="B296" s="14" t="s">
        <v>721</v>
      </c>
      <c r="C296" s="14" t="s">
        <v>19</v>
      </c>
      <c r="D296" s="14" t="s">
        <v>147</v>
      </c>
      <c r="E296" s="14" t="s">
        <v>20</v>
      </c>
      <c r="F296" s="14" t="s">
        <v>21</v>
      </c>
      <c r="G296" s="14" t="s">
        <v>22</v>
      </c>
      <c r="H296" s="118">
        <v>225.93812800000001</v>
      </c>
    </row>
    <row r="297" spans="1:8" x14ac:dyDescent="0.25">
      <c r="A297" s="14" t="s">
        <v>722</v>
      </c>
      <c r="B297" s="14" t="s">
        <v>723</v>
      </c>
      <c r="C297" s="14" t="s">
        <v>19</v>
      </c>
      <c r="D297" s="14" t="s">
        <v>147</v>
      </c>
      <c r="E297" s="14" t="s">
        <v>20</v>
      </c>
      <c r="F297" s="14" t="s">
        <v>21</v>
      </c>
      <c r="G297" s="14" t="s">
        <v>22</v>
      </c>
      <c r="H297" s="118">
        <v>13.17896</v>
      </c>
    </row>
    <row r="298" spans="1:8" x14ac:dyDescent="0.25">
      <c r="A298" s="14" t="s">
        <v>724</v>
      </c>
      <c r="B298" s="14" t="s">
        <v>725</v>
      </c>
      <c r="C298" s="14" t="s">
        <v>19</v>
      </c>
      <c r="D298" s="14" t="s">
        <v>147</v>
      </c>
      <c r="E298" s="14" t="s">
        <v>20</v>
      </c>
      <c r="F298" s="14" t="s">
        <v>21</v>
      </c>
      <c r="G298" s="14" t="s">
        <v>22</v>
      </c>
      <c r="H298" s="118">
        <v>514.5</v>
      </c>
    </row>
    <row r="299" spans="1:8" x14ac:dyDescent="0.25">
      <c r="A299" s="14" t="s">
        <v>726</v>
      </c>
      <c r="B299" s="14" t="s">
        <v>727</v>
      </c>
      <c r="C299" s="14" t="s">
        <v>19</v>
      </c>
      <c r="D299" s="14" t="s">
        <v>147</v>
      </c>
      <c r="E299" s="14" t="s">
        <v>20</v>
      </c>
      <c r="F299" s="14" t="s">
        <v>21</v>
      </c>
      <c r="G299" s="14" t="s">
        <v>22</v>
      </c>
      <c r="H299" s="118">
        <v>80.780761999999996</v>
      </c>
    </row>
    <row r="300" spans="1:8" x14ac:dyDescent="0.25">
      <c r="A300" s="14" t="s">
        <v>728</v>
      </c>
      <c r="B300" s="14" t="s">
        <v>729</v>
      </c>
      <c r="C300" s="14" t="s">
        <v>19</v>
      </c>
      <c r="D300" s="14" t="s">
        <v>147</v>
      </c>
      <c r="E300" s="14" t="s">
        <v>20</v>
      </c>
      <c r="F300" s="14" t="s">
        <v>21</v>
      </c>
      <c r="G300" s="14" t="s">
        <v>22</v>
      </c>
      <c r="H300" s="118">
        <v>728.55526799999996</v>
      </c>
    </row>
    <row r="301" spans="1:8" x14ac:dyDescent="0.25">
      <c r="A301" s="14" t="s">
        <v>730</v>
      </c>
      <c r="B301" s="14" t="s">
        <v>731</v>
      </c>
      <c r="C301" s="14" t="s">
        <v>19</v>
      </c>
      <c r="D301" s="14" t="s">
        <v>147</v>
      </c>
      <c r="E301" s="14" t="s">
        <v>20</v>
      </c>
      <c r="F301" s="14" t="s">
        <v>21</v>
      </c>
      <c r="G301" s="14" t="s">
        <v>22</v>
      </c>
      <c r="H301" s="118">
        <v>304.91785800000002</v>
      </c>
    </row>
    <row r="302" spans="1:8" x14ac:dyDescent="0.25">
      <c r="A302" s="14" t="s">
        <v>732</v>
      </c>
      <c r="B302" s="14" t="s">
        <v>733</v>
      </c>
      <c r="C302" s="14" t="s">
        <v>19</v>
      </c>
      <c r="D302" s="14" t="s">
        <v>147</v>
      </c>
      <c r="E302" s="14" t="s">
        <v>20</v>
      </c>
      <c r="F302" s="14" t="s">
        <v>21</v>
      </c>
      <c r="G302" s="14" t="s">
        <v>22</v>
      </c>
      <c r="H302" s="118">
        <v>203.914692</v>
      </c>
    </row>
    <row r="303" spans="1:8" x14ac:dyDescent="0.25">
      <c r="A303" s="14" t="s">
        <v>734</v>
      </c>
      <c r="B303" s="14" t="s">
        <v>735</v>
      </c>
      <c r="C303" s="14" t="s">
        <v>19</v>
      </c>
      <c r="D303" s="14" t="s">
        <v>147</v>
      </c>
      <c r="E303" s="14" t="s">
        <v>20</v>
      </c>
      <c r="F303" s="14" t="s">
        <v>21</v>
      </c>
      <c r="G303" s="14" t="s">
        <v>22</v>
      </c>
      <c r="H303" s="118">
        <v>105.19726</v>
      </c>
    </row>
    <row r="304" spans="1:8" x14ac:dyDescent="0.25">
      <c r="A304" s="14" t="s">
        <v>736</v>
      </c>
      <c r="B304" s="14" t="s">
        <v>737</v>
      </c>
      <c r="C304" s="14" t="s">
        <v>19</v>
      </c>
      <c r="D304" s="14" t="s">
        <v>147</v>
      </c>
      <c r="E304" s="14" t="s">
        <v>20</v>
      </c>
      <c r="F304" s="14" t="s">
        <v>21</v>
      </c>
      <c r="G304" s="14" t="s">
        <v>22</v>
      </c>
      <c r="H304" s="118">
        <v>204.1788</v>
      </c>
    </row>
    <row r="305" spans="1:8" x14ac:dyDescent="0.25">
      <c r="A305" s="14" t="s">
        <v>738</v>
      </c>
      <c r="B305" s="14" t="s">
        <v>739</v>
      </c>
      <c r="C305" s="14" t="s">
        <v>19</v>
      </c>
      <c r="D305" s="14" t="s">
        <v>147</v>
      </c>
      <c r="E305" s="14" t="s">
        <v>20</v>
      </c>
      <c r="F305" s="14" t="s">
        <v>21</v>
      </c>
      <c r="G305" s="14" t="s">
        <v>22</v>
      </c>
      <c r="H305" s="118">
        <v>1947.1855800000001</v>
      </c>
    </row>
    <row r="306" spans="1:8" x14ac:dyDescent="0.25">
      <c r="A306" s="14" t="s">
        <v>740</v>
      </c>
      <c r="B306" s="14" t="s">
        <v>741</v>
      </c>
      <c r="C306" s="14" t="s">
        <v>19</v>
      </c>
      <c r="D306" s="14" t="s">
        <v>147</v>
      </c>
      <c r="E306" s="14" t="s">
        <v>20</v>
      </c>
      <c r="F306" s="14" t="s">
        <v>21</v>
      </c>
      <c r="G306" s="14" t="s">
        <v>22</v>
      </c>
      <c r="H306" s="118">
        <v>205.97072</v>
      </c>
    </row>
    <row r="307" spans="1:8" x14ac:dyDescent="0.25">
      <c r="A307" s="14" t="s">
        <v>742</v>
      </c>
      <c r="B307" s="14" t="s">
        <v>743</v>
      </c>
      <c r="C307" s="14" t="s">
        <v>19</v>
      </c>
      <c r="D307" s="14" t="s">
        <v>147</v>
      </c>
      <c r="E307" s="14" t="s">
        <v>20</v>
      </c>
      <c r="F307" s="14" t="s">
        <v>21</v>
      </c>
      <c r="G307" s="14" t="s">
        <v>22</v>
      </c>
      <c r="H307" s="118">
        <v>341.1</v>
      </c>
    </row>
    <row r="308" spans="1:8" x14ac:dyDescent="0.25">
      <c r="A308" s="14" t="s">
        <v>744</v>
      </c>
      <c r="B308" s="14" t="s">
        <v>745</v>
      </c>
      <c r="C308" s="14" t="s">
        <v>19</v>
      </c>
      <c r="D308" s="14" t="s">
        <v>147</v>
      </c>
      <c r="E308" s="14" t="s">
        <v>20</v>
      </c>
      <c r="F308" s="14" t="s">
        <v>21</v>
      </c>
      <c r="G308" s="14" t="s">
        <v>22</v>
      </c>
      <c r="H308" s="118">
        <v>2313.0468700000001</v>
      </c>
    </row>
    <row r="309" spans="1:8" x14ac:dyDescent="0.25">
      <c r="A309" s="14" t="s">
        <v>746</v>
      </c>
      <c r="B309" s="14" t="s">
        <v>747</v>
      </c>
      <c r="C309" s="14" t="s">
        <v>19</v>
      </c>
      <c r="D309" s="14" t="s">
        <v>147</v>
      </c>
      <c r="E309" s="14" t="s">
        <v>20</v>
      </c>
      <c r="F309" s="14" t="s">
        <v>24</v>
      </c>
      <c r="G309" s="14" t="s">
        <v>22</v>
      </c>
      <c r="H309" s="118">
        <v>61.988599999999998</v>
      </c>
    </row>
    <row r="310" spans="1:8" x14ac:dyDescent="0.25">
      <c r="A310" s="14" t="s">
        <v>748</v>
      </c>
      <c r="B310" s="14" t="s">
        <v>749</v>
      </c>
      <c r="C310" s="14" t="s">
        <v>19</v>
      </c>
      <c r="D310" s="14" t="s">
        <v>147</v>
      </c>
      <c r="E310" s="14" t="s">
        <v>20</v>
      </c>
      <c r="F310" s="14" t="s">
        <v>24</v>
      </c>
      <c r="G310" s="14" t="s">
        <v>22</v>
      </c>
      <c r="H310" s="118">
        <v>819.48465999999996</v>
      </c>
    </row>
    <row r="311" spans="1:8" x14ac:dyDescent="0.25">
      <c r="A311" s="14" t="s">
        <v>750</v>
      </c>
      <c r="B311" s="14" t="s">
        <v>751</v>
      </c>
      <c r="C311" s="14" t="s">
        <v>19</v>
      </c>
      <c r="D311" s="14" t="s">
        <v>147</v>
      </c>
      <c r="E311" s="14" t="s">
        <v>20</v>
      </c>
      <c r="F311" s="14" t="s">
        <v>24</v>
      </c>
      <c r="G311" s="14" t="s">
        <v>22</v>
      </c>
      <c r="H311" s="118">
        <v>79.299689999999998</v>
      </c>
    </row>
    <row r="312" spans="1:8" x14ac:dyDescent="0.25">
      <c r="A312" s="14" t="s">
        <v>752</v>
      </c>
      <c r="B312" s="14" t="s">
        <v>753</v>
      </c>
      <c r="C312" s="14" t="s">
        <v>19</v>
      </c>
      <c r="D312" s="14" t="s">
        <v>147</v>
      </c>
      <c r="E312" s="14" t="s">
        <v>20</v>
      </c>
      <c r="F312" s="14" t="s">
        <v>24</v>
      </c>
      <c r="G312" s="14" t="s">
        <v>22</v>
      </c>
      <c r="H312" s="118">
        <v>82.90119</v>
      </c>
    </row>
    <row r="313" spans="1:8" x14ac:dyDescent="0.25">
      <c r="A313" s="14" t="s">
        <v>754</v>
      </c>
      <c r="B313" s="14" t="s">
        <v>755</v>
      </c>
      <c r="C313" s="14" t="s">
        <v>19</v>
      </c>
      <c r="D313" s="14" t="s">
        <v>147</v>
      </c>
      <c r="E313" s="14" t="s">
        <v>20</v>
      </c>
      <c r="F313" s="14" t="s">
        <v>24</v>
      </c>
      <c r="G313" s="14" t="s">
        <v>22</v>
      </c>
      <c r="H313" s="118">
        <v>168.92706799999999</v>
      </c>
    </row>
    <row r="314" spans="1:8" x14ac:dyDescent="0.25">
      <c r="A314" s="14" t="s">
        <v>756</v>
      </c>
      <c r="B314" s="14" t="s">
        <v>757</v>
      </c>
      <c r="C314" s="14" t="s">
        <v>19</v>
      </c>
      <c r="D314" s="14" t="s">
        <v>147</v>
      </c>
      <c r="E314" s="14" t="s">
        <v>20</v>
      </c>
      <c r="F314" s="14" t="s">
        <v>24</v>
      </c>
      <c r="G314" s="14" t="s">
        <v>22</v>
      </c>
      <c r="H314" s="118">
        <v>13.26</v>
      </c>
    </row>
    <row r="315" spans="1:8" x14ac:dyDescent="0.25">
      <c r="A315" s="14" t="s">
        <v>758</v>
      </c>
      <c r="B315" s="14" t="s">
        <v>759</v>
      </c>
      <c r="C315" s="14" t="s">
        <v>19</v>
      </c>
      <c r="D315" s="14" t="s">
        <v>147</v>
      </c>
      <c r="E315" s="14" t="s">
        <v>20</v>
      </c>
      <c r="F315" s="14" t="s">
        <v>24</v>
      </c>
      <c r="G315" s="14" t="s">
        <v>22</v>
      </c>
      <c r="H315" s="118">
        <v>19.28</v>
      </c>
    </row>
    <row r="316" spans="1:8" x14ac:dyDescent="0.25">
      <c r="A316" s="14" t="s">
        <v>760</v>
      </c>
      <c r="B316" s="14" t="s">
        <v>761</v>
      </c>
      <c r="C316" s="14" t="s">
        <v>19</v>
      </c>
      <c r="D316" s="14" t="s">
        <v>147</v>
      </c>
      <c r="E316" s="14" t="s">
        <v>20</v>
      </c>
      <c r="F316" s="14" t="s">
        <v>24</v>
      </c>
      <c r="G316" s="14" t="s">
        <v>22</v>
      </c>
      <c r="H316" s="118">
        <v>12.458399999999999</v>
      </c>
    </row>
    <row r="317" spans="1:8" x14ac:dyDescent="0.25">
      <c r="A317" s="14" t="s">
        <v>762</v>
      </c>
      <c r="B317" s="14" t="s">
        <v>763</v>
      </c>
      <c r="C317" s="14" t="s">
        <v>19</v>
      </c>
      <c r="D317" s="14" t="s">
        <v>147</v>
      </c>
      <c r="E317" s="14" t="s">
        <v>20</v>
      </c>
      <c r="F317" s="14" t="s">
        <v>24</v>
      </c>
      <c r="G317" s="14" t="s">
        <v>22</v>
      </c>
      <c r="H317" s="118">
        <v>86.16</v>
      </c>
    </row>
    <row r="318" spans="1:8" x14ac:dyDescent="0.25">
      <c r="A318" s="14" t="s">
        <v>764</v>
      </c>
      <c r="B318" s="14" t="s">
        <v>765</v>
      </c>
      <c r="C318" s="14" t="s">
        <v>19</v>
      </c>
      <c r="D318" s="14" t="s">
        <v>147</v>
      </c>
      <c r="E318" s="14" t="s">
        <v>20</v>
      </c>
      <c r="F318" s="14" t="s">
        <v>24</v>
      </c>
      <c r="G318" s="14" t="s">
        <v>22</v>
      </c>
      <c r="H318" s="118">
        <v>4.5936000000000003</v>
      </c>
    </row>
    <row r="319" spans="1:8" x14ac:dyDescent="0.25">
      <c r="A319" s="14" t="s">
        <v>766</v>
      </c>
      <c r="B319" s="14" t="s">
        <v>767</v>
      </c>
      <c r="C319" s="14" t="s">
        <v>19</v>
      </c>
      <c r="D319" s="14" t="s">
        <v>147</v>
      </c>
      <c r="E319" s="14" t="s">
        <v>20</v>
      </c>
      <c r="F319" s="14" t="s">
        <v>24</v>
      </c>
      <c r="G319" s="14" t="s">
        <v>22</v>
      </c>
      <c r="H319" s="118">
        <v>6.3559999999999999</v>
      </c>
    </row>
    <row r="320" spans="1:8" x14ac:dyDescent="0.25">
      <c r="A320" s="14" t="s">
        <v>768</v>
      </c>
      <c r="B320" s="14" t="s">
        <v>769</v>
      </c>
      <c r="C320" s="14" t="s">
        <v>19</v>
      </c>
      <c r="D320" s="14" t="s">
        <v>147</v>
      </c>
      <c r="E320" s="14" t="s">
        <v>20</v>
      </c>
      <c r="F320" s="14" t="s">
        <v>24</v>
      </c>
      <c r="G320" s="14" t="s">
        <v>22</v>
      </c>
      <c r="H320" s="118">
        <v>734.45949599999994</v>
      </c>
    </row>
    <row r="321" spans="1:8" x14ac:dyDescent="0.25">
      <c r="A321" s="14" t="s">
        <v>770</v>
      </c>
      <c r="B321" s="14" t="s">
        <v>771</v>
      </c>
      <c r="C321" s="14" t="s">
        <v>19</v>
      </c>
      <c r="D321" s="14" t="s">
        <v>147</v>
      </c>
      <c r="E321" s="14" t="s">
        <v>20</v>
      </c>
      <c r="F321" s="14" t="s">
        <v>24</v>
      </c>
      <c r="G321" s="14" t="s">
        <v>22</v>
      </c>
      <c r="H321" s="118">
        <v>82.8</v>
      </c>
    </row>
    <row r="322" spans="1:8" x14ac:dyDescent="0.25">
      <c r="A322" s="14" t="s">
        <v>772</v>
      </c>
      <c r="B322" s="14" t="s">
        <v>773</v>
      </c>
      <c r="C322" s="14" t="s">
        <v>19</v>
      </c>
      <c r="D322" s="14" t="s">
        <v>147</v>
      </c>
      <c r="E322" s="14" t="s">
        <v>20</v>
      </c>
      <c r="F322" s="14" t="s">
        <v>24</v>
      </c>
      <c r="G322" s="14" t="s">
        <v>22</v>
      </c>
      <c r="H322" s="118">
        <v>18</v>
      </c>
    </row>
    <row r="323" spans="1:8" x14ac:dyDescent="0.25">
      <c r="A323" s="14" t="s">
        <v>774</v>
      </c>
      <c r="B323" s="14" t="s">
        <v>775</v>
      </c>
      <c r="C323" s="14" t="s">
        <v>19</v>
      </c>
      <c r="D323" s="14" t="s">
        <v>147</v>
      </c>
      <c r="E323" s="14" t="s">
        <v>20</v>
      </c>
      <c r="F323" s="14" t="s">
        <v>24</v>
      </c>
      <c r="G323" s="14" t="s">
        <v>22</v>
      </c>
      <c r="H323" s="118">
        <v>404.340284</v>
      </c>
    </row>
    <row r="324" spans="1:8" x14ac:dyDescent="0.25">
      <c r="A324" s="14" t="s">
        <v>776</v>
      </c>
      <c r="B324" s="14" t="s">
        <v>777</v>
      </c>
      <c r="C324" s="14" t="s">
        <v>19</v>
      </c>
      <c r="D324" s="14" t="s">
        <v>147</v>
      </c>
      <c r="E324" s="14" t="s">
        <v>20</v>
      </c>
      <c r="F324" s="14" t="s">
        <v>24</v>
      </c>
      <c r="G324" s="14" t="s">
        <v>22</v>
      </c>
      <c r="H324" s="118">
        <v>28.345199999999998</v>
      </c>
    </row>
    <row r="325" spans="1:8" x14ac:dyDescent="0.25">
      <c r="H325" s="118">
        <f>SUM(Tabla124[Total])</f>
        <v>17748.369446000004</v>
      </c>
    </row>
    <row r="327" spans="1:8" ht="33.75" x14ac:dyDescent="0.5">
      <c r="B327" s="425" t="s">
        <v>906</v>
      </c>
    </row>
    <row r="329" spans="1:8" x14ac:dyDescent="0.25">
      <c r="A329" s="13" t="s">
        <v>13</v>
      </c>
      <c r="B329" s="13" t="s">
        <v>0</v>
      </c>
      <c r="C329" s="13" t="s">
        <v>14</v>
      </c>
      <c r="D329" s="13" t="s">
        <v>144</v>
      </c>
      <c r="E329" s="13" t="s">
        <v>15</v>
      </c>
      <c r="F329" s="13" t="s">
        <v>16</v>
      </c>
      <c r="G329" s="13" t="s">
        <v>17</v>
      </c>
      <c r="H329" s="13" t="s">
        <v>4</v>
      </c>
    </row>
    <row r="330" spans="1:8" x14ac:dyDescent="0.25">
      <c r="A330" s="14" t="s">
        <v>808</v>
      </c>
      <c r="B330" s="14" t="s">
        <v>809</v>
      </c>
      <c r="C330" s="14" t="s">
        <v>19</v>
      </c>
      <c r="D330" s="14" t="s">
        <v>147</v>
      </c>
      <c r="E330" s="14" t="s">
        <v>20</v>
      </c>
      <c r="F330" s="14" t="s">
        <v>24</v>
      </c>
      <c r="G330" s="14" t="s">
        <v>22</v>
      </c>
      <c r="H330" s="118">
        <v>141.03280000000001</v>
      </c>
    </row>
    <row r="331" spans="1:8" x14ac:dyDescent="0.25">
      <c r="A331" s="14" t="s">
        <v>810</v>
      </c>
      <c r="B331" s="14" t="s">
        <v>811</v>
      </c>
      <c r="C331" s="14" t="s">
        <v>19</v>
      </c>
      <c r="D331" s="14" t="s">
        <v>147</v>
      </c>
      <c r="E331" s="14" t="s">
        <v>20</v>
      </c>
      <c r="F331" s="14" t="s">
        <v>24</v>
      </c>
      <c r="G331" s="14" t="s">
        <v>22</v>
      </c>
      <c r="H331" s="118">
        <v>126.738452</v>
      </c>
    </row>
    <row r="332" spans="1:8" x14ac:dyDescent="0.25">
      <c r="A332" s="14" t="s">
        <v>812</v>
      </c>
      <c r="B332" s="14" t="s">
        <v>813</v>
      </c>
      <c r="C332" s="14" t="s">
        <v>19</v>
      </c>
      <c r="D332" s="14" t="s">
        <v>147</v>
      </c>
      <c r="E332" s="14" t="s">
        <v>20</v>
      </c>
      <c r="F332" s="14" t="s">
        <v>24</v>
      </c>
      <c r="G332" s="14" t="s">
        <v>22</v>
      </c>
      <c r="H332" s="118">
        <v>27.623200000000001</v>
      </c>
    </row>
    <row r="333" spans="1:8" x14ac:dyDescent="0.25">
      <c r="A333" s="14" t="s">
        <v>814</v>
      </c>
      <c r="B333" s="14" t="s">
        <v>815</v>
      </c>
      <c r="C333" s="14" t="s">
        <v>19</v>
      </c>
      <c r="D333" s="14" t="s">
        <v>147</v>
      </c>
      <c r="E333" s="14" t="s">
        <v>20</v>
      </c>
      <c r="F333" s="14" t="s">
        <v>24</v>
      </c>
      <c r="G333" s="14" t="s">
        <v>22</v>
      </c>
      <c r="H333" s="118">
        <v>26.68</v>
      </c>
    </row>
    <row r="334" spans="1:8" x14ac:dyDescent="0.25">
      <c r="A334" s="14" t="s">
        <v>816</v>
      </c>
      <c r="B334" s="14" t="s">
        <v>817</v>
      </c>
      <c r="C334" s="14" t="s">
        <v>19</v>
      </c>
      <c r="D334" s="14" t="s">
        <v>147</v>
      </c>
      <c r="E334" s="14" t="s">
        <v>20</v>
      </c>
      <c r="F334" s="14" t="s">
        <v>24</v>
      </c>
      <c r="G334" s="14" t="s">
        <v>22</v>
      </c>
      <c r="H334" s="118">
        <v>17.940000000000001</v>
      </c>
    </row>
    <row r="335" spans="1:8" x14ac:dyDescent="0.25">
      <c r="A335" s="14" t="s">
        <v>818</v>
      </c>
      <c r="B335" s="14" t="s">
        <v>819</v>
      </c>
      <c r="C335" s="14" t="s">
        <v>19</v>
      </c>
      <c r="D335" s="14" t="s">
        <v>147</v>
      </c>
      <c r="E335" s="14" t="s">
        <v>20</v>
      </c>
      <c r="F335" s="14" t="s">
        <v>24</v>
      </c>
      <c r="G335" s="14" t="s">
        <v>22</v>
      </c>
      <c r="H335" s="118">
        <v>208.343298</v>
      </c>
    </row>
    <row r="336" spans="1:8" x14ac:dyDescent="0.25">
      <c r="A336" s="14" t="s">
        <v>820</v>
      </c>
      <c r="B336" s="14" t="s">
        <v>821</v>
      </c>
      <c r="C336" s="14" t="s">
        <v>19</v>
      </c>
      <c r="D336" s="14" t="s">
        <v>147</v>
      </c>
      <c r="E336" s="14" t="s">
        <v>20</v>
      </c>
      <c r="F336" s="14" t="s">
        <v>24</v>
      </c>
      <c r="G336" s="14" t="s">
        <v>22</v>
      </c>
      <c r="H336" s="118">
        <v>101.6404</v>
      </c>
    </row>
    <row r="337" spans="1:8" x14ac:dyDescent="0.25">
      <c r="A337" s="14" t="s">
        <v>822</v>
      </c>
      <c r="B337" s="14" t="s">
        <v>823</v>
      </c>
      <c r="C337" s="14" t="s">
        <v>19</v>
      </c>
      <c r="D337" s="14" t="s">
        <v>147</v>
      </c>
      <c r="E337" s="14" t="s">
        <v>20</v>
      </c>
      <c r="F337" s="14" t="s">
        <v>24</v>
      </c>
      <c r="G337" s="14" t="s">
        <v>22</v>
      </c>
      <c r="H337" s="118">
        <v>2.65</v>
      </c>
    </row>
    <row r="338" spans="1:8" x14ac:dyDescent="0.25">
      <c r="A338" s="14" t="s">
        <v>824</v>
      </c>
      <c r="B338" s="14" t="s">
        <v>825</v>
      </c>
      <c r="C338" s="14" t="s">
        <v>19</v>
      </c>
      <c r="D338" s="14" t="s">
        <v>147</v>
      </c>
      <c r="E338" s="14" t="s">
        <v>20</v>
      </c>
      <c r="F338" s="14" t="s">
        <v>24</v>
      </c>
      <c r="G338" s="14" t="s">
        <v>22</v>
      </c>
      <c r="H338" s="118">
        <v>192.373152</v>
      </c>
    </row>
    <row r="339" spans="1:8" x14ac:dyDescent="0.25">
      <c r="A339" s="14" t="s">
        <v>826</v>
      </c>
      <c r="B339" s="14" t="s">
        <v>827</v>
      </c>
      <c r="C339" s="14" t="s">
        <v>19</v>
      </c>
      <c r="D339" s="14" t="s">
        <v>147</v>
      </c>
      <c r="E339" s="14" t="s">
        <v>20</v>
      </c>
      <c r="F339" s="14" t="s">
        <v>24</v>
      </c>
      <c r="G339" s="14" t="s">
        <v>22</v>
      </c>
      <c r="H339" s="118">
        <v>9.8135999999999992</v>
      </c>
    </row>
    <row r="340" spans="1:8" x14ac:dyDescent="0.25">
      <c r="A340" s="14" t="s">
        <v>828</v>
      </c>
      <c r="B340" s="14" t="s">
        <v>829</v>
      </c>
      <c r="C340" s="14" t="s">
        <v>19</v>
      </c>
      <c r="D340" s="14" t="s">
        <v>147</v>
      </c>
      <c r="E340" s="14" t="s">
        <v>20</v>
      </c>
      <c r="F340" s="14" t="s">
        <v>24</v>
      </c>
      <c r="G340" s="14" t="s">
        <v>22</v>
      </c>
      <c r="H340" s="118">
        <v>12.96</v>
      </c>
    </row>
    <row r="341" spans="1:8" x14ac:dyDescent="0.25">
      <c r="A341" s="14" t="s">
        <v>830</v>
      </c>
      <c r="B341" s="14" t="s">
        <v>831</v>
      </c>
      <c r="C341" s="14" t="s">
        <v>19</v>
      </c>
      <c r="D341" s="14" t="s">
        <v>147</v>
      </c>
      <c r="E341" s="14" t="s">
        <v>20</v>
      </c>
      <c r="F341" s="14" t="s">
        <v>24</v>
      </c>
      <c r="G341" s="14" t="s">
        <v>22</v>
      </c>
      <c r="H341" s="118">
        <v>393.18337600000001</v>
      </c>
    </row>
    <row r="342" spans="1:8" x14ac:dyDescent="0.25">
      <c r="A342" s="14" t="s">
        <v>832</v>
      </c>
      <c r="B342" s="14" t="s">
        <v>833</v>
      </c>
      <c r="C342" s="14" t="s">
        <v>19</v>
      </c>
      <c r="D342" s="14" t="s">
        <v>147</v>
      </c>
      <c r="E342" s="14" t="s">
        <v>20</v>
      </c>
      <c r="F342" s="14" t="s">
        <v>24</v>
      </c>
      <c r="G342" s="14" t="s">
        <v>22</v>
      </c>
      <c r="H342" s="118">
        <v>82.410808000000003</v>
      </c>
    </row>
    <row r="343" spans="1:8" x14ac:dyDescent="0.25">
      <c r="A343" s="14" t="s">
        <v>834</v>
      </c>
      <c r="B343" s="14" t="s">
        <v>835</v>
      </c>
      <c r="C343" s="14" t="s">
        <v>19</v>
      </c>
      <c r="D343" s="14" t="s">
        <v>147</v>
      </c>
      <c r="E343" s="14" t="s">
        <v>20</v>
      </c>
      <c r="F343" s="14" t="s">
        <v>24</v>
      </c>
      <c r="G343" s="14" t="s">
        <v>22</v>
      </c>
      <c r="H343" s="118">
        <v>99.822605999999993</v>
      </c>
    </row>
    <row r="344" spans="1:8" x14ac:dyDescent="0.25">
      <c r="A344" s="14" t="s">
        <v>836</v>
      </c>
      <c r="B344" s="14" t="s">
        <v>837</v>
      </c>
      <c r="C344" s="14" t="s">
        <v>19</v>
      </c>
      <c r="D344" s="14" t="s">
        <v>147</v>
      </c>
      <c r="E344" s="14" t="s">
        <v>20</v>
      </c>
      <c r="F344" s="14" t="s">
        <v>24</v>
      </c>
      <c r="G344" s="14" t="s">
        <v>22</v>
      </c>
      <c r="H344" s="118">
        <v>470.639726</v>
      </c>
    </row>
    <row r="345" spans="1:8" x14ac:dyDescent="0.25">
      <c r="A345" s="14" t="s">
        <v>838</v>
      </c>
      <c r="B345" s="14" t="s">
        <v>839</v>
      </c>
      <c r="C345" s="14" t="s">
        <v>19</v>
      </c>
      <c r="D345" s="14" t="s">
        <v>147</v>
      </c>
      <c r="E345" s="14" t="s">
        <v>20</v>
      </c>
      <c r="F345" s="14" t="s">
        <v>24</v>
      </c>
      <c r="G345" s="14" t="s">
        <v>22</v>
      </c>
      <c r="H345" s="118">
        <v>453.6</v>
      </c>
    </row>
    <row r="346" spans="1:8" x14ac:dyDescent="0.25">
      <c r="A346" s="14" t="s">
        <v>840</v>
      </c>
      <c r="B346" s="14" t="s">
        <v>841</v>
      </c>
      <c r="C346" s="14" t="s">
        <v>19</v>
      </c>
      <c r="D346" s="14" t="s">
        <v>147</v>
      </c>
      <c r="E346" s="14" t="s">
        <v>20</v>
      </c>
      <c r="F346" s="14" t="s">
        <v>24</v>
      </c>
      <c r="G346" s="14" t="s">
        <v>22</v>
      </c>
      <c r="H346" s="118">
        <v>14.616</v>
      </c>
    </row>
    <row r="347" spans="1:8" x14ac:dyDescent="0.25">
      <c r="A347" s="14" t="s">
        <v>842</v>
      </c>
      <c r="B347" s="14" t="s">
        <v>843</v>
      </c>
      <c r="C347" s="14" t="s">
        <v>19</v>
      </c>
      <c r="D347" s="14" t="s">
        <v>147</v>
      </c>
      <c r="E347" s="14" t="s">
        <v>20</v>
      </c>
      <c r="F347" s="14" t="s">
        <v>24</v>
      </c>
      <c r="G347" s="14" t="s">
        <v>22</v>
      </c>
      <c r="H347" s="118">
        <v>180.20058599999999</v>
      </c>
    </row>
    <row r="348" spans="1:8" x14ac:dyDescent="0.25">
      <c r="A348" s="14" t="s">
        <v>844</v>
      </c>
      <c r="B348" s="14" t="s">
        <v>845</v>
      </c>
      <c r="C348" s="14" t="s">
        <v>19</v>
      </c>
      <c r="D348" s="14" t="s">
        <v>147</v>
      </c>
      <c r="E348" s="14" t="s">
        <v>20</v>
      </c>
      <c r="F348" s="14" t="s">
        <v>24</v>
      </c>
      <c r="G348" s="14" t="s">
        <v>22</v>
      </c>
      <c r="H348" s="118">
        <v>29.630800000000001</v>
      </c>
    </row>
    <row r="349" spans="1:8" x14ac:dyDescent="0.25">
      <c r="A349" s="14" t="s">
        <v>846</v>
      </c>
      <c r="B349" s="14" t="s">
        <v>847</v>
      </c>
      <c r="C349" s="14" t="s">
        <v>19</v>
      </c>
      <c r="D349" s="14" t="s">
        <v>147</v>
      </c>
      <c r="E349" s="14" t="s">
        <v>20</v>
      </c>
      <c r="F349" s="14" t="s">
        <v>24</v>
      </c>
      <c r="G349" s="14" t="s">
        <v>22</v>
      </c>
      <c r="H349" s="118">
        <v>79.784800000000004</v>
      </c>
    </row>
    <row r="350" spans="1:8" x14ac:dyDescent="0.25">
      <c r="A350" s="14" t="s">
        <v>848</v>
      </c>
      <c r="B350" s="14" t="s">
        <v>849</v>
      </c>
      <c r="C350" s="14" t="s">
        <v>19</v>
      </c>
      <c r="D350" s="14" t="s">
        <v>147</v>
      </c>
      <c r="E350" s="14" t="s">
        <v>20</v>
      </c>
      <c r="F350" s="14" t="s">
        <v>24</v>
      </c>
      <c r="G350" s="14" t="s">
        <v>22</v>
      </c>
      <c r="H350" s="118">
        <v>179.93489</v>
      </c>
    </row>
    <row r="351" spans="1:8" x14ac:dyDescent="0.25">
      <c r="A351" s="14" t="s">
        <v>850</v>
      </c>
      <c r="B351" s="14" t="s">
        <v>851</v>
      </c>
      <c r="C351" s="14" t="s">
        <v>19</v>
      </c>
      <c r="D351" s="14" t="s">
        <v>147</v>
      </c>
      <c r="E351" s="14" t="s">
        <v>20</v>
      </c>
      <c r="F351" s="14" t="s">
        <v>24</v>
      </c>
      <c r="G351" s="14" t="s">
        <v>22</v>
      </c>
      <c r="H351" s="118">
        <v>350.88081599999998</v>
      </c>
    </row>
    <row r="352" spans="1:8" x14ac:dyDescent="0.25">
      <c r="A352" s="14" t="s">
        <v>852</v>
      </c>
      <c r="B352" s="14" t="s">
        <v>853</v>
      </c>
      <c r="C352" s="14" t="s">
        <v>19</v>
      </c>
      <c r="D352" s="14" t="s">
        <v>147</v>
      </c>
      <c r="E352" s="14" t="s">
        <v>20</v>
      </c>
      <c r="F352" s="14" t="s">
        <v>24</v>
      </c>
      <c r="G352" s="14" t="s">
        <v>22</v>
      </c>
      <c r="H352" s="118">
        <v>250.45259999999999</v>
      </c>
    </row>
    <row r="353" spans="1:8" x14ac:dyDescent="0.25">
      <c r="A353" s="14" t="s">
        <v>854</v>
      </c>
      <c r="B353" s="14" t="s">
        <v>855</v>
      </c>
      <c r="C353" s="14" t="s">
        <v>19</v>
      </c>
      <c r="D353" s="14" t="s">
        <v>147</v>
      </c>
      <c r="E353" s="14" t="s">
        <v>20</v>
      </c>
      <c r="F353" s="14" t="s">
        <v>24</v>
      </c>
      <c r="G353" s="14" t="s">
        <v>22</v>
      </c>
      <c r="H353" s="118">
        <v>372.29022600000002</v>
      </c>
    </row>
    <row r="354" spans="1:8" x14ac:dyDescent="0.25">
      <c r="A354" s="14" t="s">
        <v>856</v>
      </c>
      <c r="B354" s="14" t="s">
        <v>857</v>
      </c>
      <c r="C354" s="14" t="s">
        <v>19</v>
      </c>
      <c r="D354" s="14" t="s">
        <v>147</v>
      </c>
      <c r="E354" s="14" t="s">
        <v>20</v>
      </c>
      <c r="F354" s="14" t="s">
        <v>24</v>
      </c>
      <c r="G354" s="14" t="s">
        <v>22</v>
      </c>
      <c r="H354" s="118">
        <v>22.5</v>
      </c>
    </row>
    <row r="355" spans="1:8" x14ac:dyDescent="0.25">
      <c r="A355" s="14" t="s">
        <v>858</v>
      </c>
      <c r="B355" s="14" t="s">
        <v>859</v>
      </c>
      <c r="C355" s="14" t="s">
        <v>19</v>
      </c>
      <c r="D355" s="14" t="s">
        <v>147</v>
      </c>
      <c r="E355" s="14" t="s">
        <v>20</v>
      </c>
      <c r="F355" s="14" t="s">
        <v>24</v>
      </c>
      <c r="G355" s="14" t="s">
        <v>22</v>
      </c>
      <c r="H355" s="118">
        <v>226.8</v>
      </c>
    </row>
    <row r="356" spans="1:8" x14ac:dyDescent="0.25">
      <c r="A356" s="14" t="s">
        <v>860</v>
      </c>
      <c r="B356" s="14" t="s">
        <v>861</v>
      </c>
      <c r="C356" s="14" t="s">
        <v>19</v>
      </c>
      <c r="D356" s="14" t="s">
        <v>147</v>
      </c>
      <c r="E356" s="14" t="s">
        <v>20</v>
      </c>
      <c r="F356" s="14" t="s">
        <v>24</v>
      </c>
      <c r="G356" s="14" t="s">
        <v>22</v>
      </c>
      <c r="H356" s="118">
        <v>604.66579000000002</v>
      </c>
    </row>
    <row r="357" spans="1:8" x14ac:dyDescent="0.25">
      <c r="A357" s="14" t="s">
        <v>862</v>
      </c>
      <c r="B357" s="14" t="s">
        <v>863</v>
      </c>
      <c r="C357" s="14" t="s">
        <v>19</v>
      </c>
      <c r="D357" s="14" t="s">
        <v>147</v>
      </c>
      <c r="E357" s="14" t="s">
        <v>20</v>
      </c>
      <c r="F357" s="14" t="s">
        <v>24</v>
      </c>
      <c r="G357" s="14" t="s">
        <v>22</v>
      </c>
      <c r="H357" s="118">
        <v>3.15</v>
      </c>
    </row>
    <row r="358" spans="1:8" x14ac:dyDescent="0.25">
      <c r="A358" s="14" t="s">
        <v>864</v>
      </c>
      <c r="B358" s="14" t="s">
        <v>865</v>
      </c>
      <c r="C358" s="14" t="s">
        <v>19</v>
      </c>
      <c r="D358" s="14" t="s">
        <v>147</v>
      </c>
      <c r="E358" s="14" t="s">
        <v>20</v>
      </c>
      <c r="F358" s="14" t="s">
        <v>24</v>
      </c>
      <c r="G358" s="14" t="s">
        <v>22</v>
      </c>
      <c r="H358" s="118">
        <v>111.53506</v>
      </c>
    </row>
    <row r="359" spans="1:8" x14ac:dyDescent="0.25">
      <c r="A359" s="14" t="s">
        <v>866</v>
      </c>
      <c r="B359" s="14" t="s">
        <v>867</v>
      </c>
      <c r="C359" s="14" t="s">
        <v>19</v>
      </c>
      <c r="D359" s="14" t="s">
        <v>147</v>
      </c>
      <c r="E359" s="14" t="s">
        <v>20</v>
      </c>
      <c r="F359" s="14" t="s">
        <v>24</v>
      </c>
      <c r="G359" s="14" t="s">
        <v>22</v>
      </c>
      <c r="H359" s="118">
        <v>61.342799999999997</v>
      </c>
    </row>
    <row r="360" spans="1:8" x14ac:dyDescent="0.25">
      <c r="A360" s="14" t="s">
        <v>868</v>
      </c>
      <c r="B360" s="14" t="s">
        <v>869</v>
      </c>
      <c r="C360" s="14" t="s">
        <v>19</v>
      </c>
      <c r="D360" s="14" t="s">
        <v>147</v>
      </c>
      <c r="E360" s="14" t="s">
        <v>20</v>
      </c>
      <c r="F360" s="14" t="s">
        <v>21</v>
      </c>
      <c r="G360" s="14" t="s">
        <v>22</v>
      </c>
      <c r="H360" s="118">
        <v>90.317908000000003</v>
      </c>
    </row>
    <row r="361" spans="1:8" x14ac:dyDescent="0.25">
      <c r="A361" s="14" t="s">
        <v>870</v>
      </c>
      <c r="B361" s="14" t="s">
        <v>871</v>
      </c>
      <c r="C361" s="14" t="s">
        <v>19</v>
      </c>
      <c r="D361" s="14" t="s">
        <v>147</v>
      </c>
      <c r="E361" s="14" t="s">
        <v>20</v>
      </c>
      <c r="F361" s="14" t="s">
        <v>21</v>
      </c>
      <c r="G361" s="14" t="s">
        <v>22</v>
      </c>
      <c r="H361" s="118">
        <v>46.826459999999997</v>
      </c>
    </row>
    <row r="362" spans="1:8" x14ac:dyDescent="0.25">
      <c r="A362" s="14" t="s">
        <v>872</v>
      </c>
      <c r="B362" s="14" t="s">
        <v>873</v>
      </c>
      <c r="C362" s="14" t="s">
        <v>19</v>
      </c>
      <c r="D362" s="14" t="s">
        <v>147</v>
      </c>
      <c r="E362" s="14" t="s">
        <v>20</v>
      </c>
      <c r="F362" s="14" t="s">
        <v>24</v>
      </c>
      <c r="G362" s="14" t="s">
        <v>22</v>
      </c>
      <c r="H362" s="118">
        <v>7.5</v>
      </c>
    </row>
    <row r="363" spans="1:8" x14ac:dyDescent="0.25">
      <c r="A363" s="14" t="s">
        <v>874</v>
      </c>
      <c r="B363" s="14" t="s">
        <v>875</v>
      </c>
      <c r="C363" s="14" t="s">
        <v>19</v>
      </c>
      <c r="D363" s="14" t="s">
        <v>147</v>
      </c>
      <c r="E363" s="14" t="s">
        <v>20</v>
      </c>
      <c r="F363" s="14" t="s">
        <v>21</v>
      </c>
      <c r="G363" s="14" t="s">
        <v>22</v>
      </c>
      <c r="H363" s="118">
        <v>315.266728</v>
      </c>
    </row>
    <row r="364" spans="1:8" x14ac:dyDescent="0.25">
      <c r="A364" s="14" t="s">
        <v>876</v>
      </c>
      <c r="B364" s="14" t="s">
        <v>877</v>
      </c>
      <c r="C364" s="14" t="s">
        <v>19</v>
      </c>
      <c r="D364" s="14" t="s">
        <v>147</v>
      </c>
      <c r="E364" s="14" t="s">
        <v>20</v>
      </c>
      <c r="F364" s="14" t="s">
        <v>21</v>
      </c>
      <c r="G364" s="14" t="s">
        <v>22</v>
      </c>
      <c r="H364" s="118">
        <v>309.32855999999998</v>
      </c>
    </row>
    <row r="365" spans="1:8" x14ac:dyDescent="0.25">
      <c r="A365" s="14" t="s">
        <v>878</v>
      </c>
      <c r="B365" s="14" t="s">
        <v>879</v>
      </c>
      <c r="C365" s="14" t="s">
        <v>19</v>
      </c>
      <c r="D365" s="14" t="s">
        <v>147</v>
      </c>
      <c r="E365" s="14" t="s">
        <v>20</v>
      </c>
      <c r="F365" s="14" t="s">
        <v>21</v>
      </c>
      <c r="G365" s="14" t="s">
        <v>22</v>
      </c>
      <c r="H365" s="118">
        <v>659.686104</v>
      </c>
    </row>
    <row r="366" spans="1:8" x14ac:dyDescent="0.25">
      <c r="A366" s="14" t="s">
        <v>880</v>
      </c>
      <c r="B366" s="14" t="s">
        <v>881</v>
      </c>
      <c r="C366" s="14" t="s">
        <v>19</v>
      </c>
      <c r="D366" s="14" t="s">
        <v>147</v>
      </c>
      <c r="E366" s="14" t="s">
        <v>20</v>
      </c>
      <c r="F366" s="14" t="s">
        <v>21</v>
      </c>
      <c r="G366" s="14" t="s">
        <v>22</v>
      </c>
      <c r="H366" s="118">
        <v>120.152934</v>
      </c>
    </row>
    <row r="367" spans="1:8" x14ac:dyDescent="0.25">
      <c r="A367" s="14" t="s">
        <v>882</v>
      </c>
      <c r="B367" s="14" t="s">
        <v>883</v>
      </c>
      <c r="C367" s="14" t="s">
        <v>19</v>
      </c>
      <c r="D367" s="14" t="s">
        <v>147</v>
      </c>
      <c r="E367" s="14" t="s">
        <v>20</v>
      </c>
      <c r="F367" s="14" t="s">
        <v>21</v>
      </c>
      <c r="G367" s="14" t="s">
        <v>22</v>
      </c>
      <c r="H367" s="118">
        <v>5.2713840000000003</v>
      </c>
    </row>
    <row r="368" spans="1:8" x14ac:dyDescent="0.25">
      <c r="A368" s="14" t="s">
        <v>884</v>
      </c>
      <c r="B368" s="14" t="s">
        <v>885</v>
      </c>
      <c r="C368" s="14" t="s">
        <v>19</v>
      </c>
      <c r="D368" s="14" t="s">
        <v>147</v>
      </c>
      <c r="E368" s="14" t="s">
        <v>20</v>
      </c>
      <c r="F368" s="14" t="s">
        <v>21</v>
      </c>
      <c r="G368" s="14" t="s">
        <v>22</v>
      </c>
      <c r="H368" s="118">
        <v>321.01559600000002</v>
      </c>
    </row>
    <row r="369" spans="1:8" x14ac:dyDescent="0.25">
      <c r="A369" s="14" t="s">
        <v>886</v>
      </c>
      <c r="B369" s="14" t="s">
        <v>887</v>
      </c>
      <c r="C369" s="14" t="s">
        <v>19</v>
      </c>
      <c r="D369" s="14" t="s">
        <v>147</v>
      </c>
      <c r="E369" s="14" t="s">
        <v>20</v>
      </c>
      <c r="F369" s="14" t="s">
        <v>21</v>
      </c>
      <c r="G369" s="14" t="s">
        <v>22</v>
      </c>
      <c r="H369" s="118">
        <v>53.582599999999999</v>
      </c>
    </row>
    <row r="370" spans="1:8" x14ac:dyDescent="0.25">
      <c r="A370" s="14" t="s">
        <v>888</v>
      </c>
      <c r="B370" s="14" t="s">
        <v>889</v>
      </c>
      <c r="C370" s="14" t="s">
        <v>19</v>
      </c>
      <c r="D370" s="14" t="s">
        <v>147</v>
      </c>
      <c r="E370" s="14" t="s">
        <v>20</v>
      </c>
      <c r="F370" s="14" t="s">
        <v>21</v>
      </c>
      <c r="G370" s="14" t="s">
        <v>22</v>
      </c>
      <c r="H370" s="118">
        <v>187.8904</v>
      </c>
    </row>
    <row r="371" spans="1:8" x14ac:dyDescent="0.25">
      <c r="A371" s="14" t="s">
        <v>890</v>
      </c>
      <c r="B371" s="14" t="s">
        <v>891</v>
      </c>
      <c r="C371" s="14" t="s">
        <v>19</v>
      </c>
      <c r="D371" s="14" t="s">
        <v>147</v>
      </c>
      <c r="E371" s="14" t="s">
        <v>20</v>
      </c>
      <c r="F371" s="14" t="s">
        <v>24</v>
      </c>
      <c r="G371" s="14" t="s">
        <v>22</v>
      </c>
      <c r="H371" s="118">
        <v>18</v>
      </c>
    </row>
    <row r="372" spans="1:8" x14ac:dyDescent="0.25">
      <c r="A372" s="14" t="s">
        <v>892</v>
      </c>
      <c r="B372" s="14" t="s">
        <v>893</v>
      </c>
      <c r="C372" s="14" t="s">
        <v>19</v>
      </c>
      <c r="D372" s="14" t="s">
        <v>147</v>
      </c>
      <c r="E372" s="14" t="s">
        <v>20</v>
      </c>
      <c r="F372" s="14" t="s">
        <v>24</v>
      </c>
      <c r="G372" s="14" t="s">
        <v>22</v>
      </c>
      <c r="H372" s="118">
        <v>257.83022799999998</v>
      </c>
    </row>
    <row r="373" spans="1:8" x14ac:dyDescent="0.25">
      <c r="A373" s="14" t="s">
        <v>894</v>
      </c>
      <c r="B373" s="14" t="s">
        <v>895</v>
      </c>
      <c r="C373" s="14" t="s">
        <v>19</v>
      </c>
      <c r="D373" s="14" t="s">
        <v>147</v>
      </c>
      <c r="E373" s="14" t="s">
        <v>20</v>
      </c>
      <c r="F373" s="14" t="s">
        <v>24</v>
      </c>
      <c r="G373" s="14" t="s">
        <v>22</v>
      </c>
      <c r="H373" s="118">
        <v>631.39712599999996</v>
      </c>
    </row>
    <row r="374" spans="1:8" x14ac:dyDescent="0.25">
      <c r="A374" s="14" t="s">
        <v>896</v>
      </c>
      <c r="B374" s="14" t="s">
        <v>897</v>
      </c>
      <c r="C374" s="14" t="s">
        <v>19</v>
      </c>
      <c r="D374" s="14" t="s">
        <v>147</v>
      </c>
      <c r="E374" s="14" t="s">
        <v>20</v>
      </c>
      <c r="F374" s="14" t="s">
        <v>24</v>
      </c>
      <c r="G374" s="14" t="s">
        <v>22</v>
      </c>
      <c r="H374" s="118">
        <v>114.495</v>
      </c>
    </row>
    <row r="375" spans="1:8" x14ac:dyDescent="0.25">
      <c r="A375" s="14" t="s">
        <v>898</v>
      </c>
      <c r="B375" s="14" t="s">
        <v>899</v>
      </c>
      <c r="C375" s="14" t="s">
        <v>19</v>
      </c>
      <c r="D375" s="14" t="s">
        <v>147</v>
      </c>
      <c r="E375" s="14" t="s">
        <v>20</v>
      </c>
      <c r="F375" s="14" t="s">
        <v>24</v>
      </c>
      <c r="G375" s="14" t="s">
        <v>22</v>
      </c>
      <c r="H375" s="118">
        <v>91.843000000000004</v>
      </c>
    </row>
    <row r="376" spans="1:8" x14ac:dyDescent="0.25">
      <c r="A376" s="14" t="s">
        <v>900</v>
      </c>
      <c r="B376" s="14" t="s">
        <v>901</v>
      </c>
      <c r="C376" s="14" t="s">
        <v>19</v>
      </c>
      <c r="D376" s="14" t="s">
        <v>147</v>
      </c>
      <c r="E376" s="14" t="s">
        <v>20</v>
      </c>
      <c r="F376" s="14" t="s">
        <v>24</v>
      </c>
      <c r="G376" s="14" t="s">
        <v>22</v>
      </c>
      <c r="H376" s="118">
        <v>16.158799999999999</v>
      </c>
    </row>
    <row r="377" spans="1:8" x14ac:dyDescent="0.25">
      <c r="A377" s="14" t="s">
        <v>902</v>
      </c>
      <c r="B377" s="14" t="s">
        <v>903</v>
      </c>
      <c r="C377" s="14" t="s">
        <v>19</v>
      </c>
      <c r="D377" s="14" t="s">
        <v>147</v>
      </c>
      <c r="E377" s="14" t="s">
        <v>20</v>
      </c>
      <c r="F377" s="14" t="s">
        <v>24</v>
      </c>
      <c r="G377" s="14" t="s">
        <v>22</v>
      </c>
      <c r="H377" s="118">
        <v>3.0623999999999998</v>
      </c>
    </row>
    <row r="378" spans="1:8" x14ac:dyDescent="0.25">
      <c r="A378" s="14" t="s">
        <v>904</v>
      </c>
      <c r="B378" s="14" t="s">
        <v>905</v>
      </c>
      <c r="C378" s="14" t="s">
        <v>19</v>
      </c>
      <c r="D378" s="14" t="s">
        <v>147</v>
      </c>
      <c r="E378" s="14" t="s">
        <v>20</v>
      </c>
      <c r="F378" s="14" t="s">
        <v>24</v>
      </c>
      <c r="G378" s="14" t="s">
        <v>22</v>
      </c>
      <c r="H378" s="118">
        <v>17.081696000000001</v>
      </c>
    </row>
    <row r="379" spans="1:8" x14ac:dyDescent="0.25">
      <c r="G379" t="s">
        <v>223</v>
      </c>
      <c r="H379" s="118">
        <f>SUBTOTAL(109,H330:H378)</f>
        <v>8121.9427099999994</v>
      </c>
    </row>
    <row r="381" spans="1:8" x14ac:dyDescent="0.25">
      <c r="B381" t="s">
        <v>1014</v>
      </c>
    </row>
    <row r="383" spans="1:8" x14ac:dyDescent="0.25">
      <c r="A383" s="13" t="s">
        <v>13</v>
      </c>
      <c r="B383" s="13" t="s">
        <v>0</v>
      </c>
      <c r="C383" s="13" t="s">
        <v>14</v>
      </c>
      <c r="D383" s="13" t="s">
        <v>144</v>
      </c>
      <c r="E383" s="13" t="s">
        <v>15</v>
      </c>
      <c r="F383" s="13" t="s">
        <v>16</v>
      </c>
      <c r="G383" s="13" t="s">
        <v>17</v>
      </c>
      <c r="H383" s="13" t="s">
        <v>4</v>
      </c>
    </row>
    <row r="384" spans="1:8" x14ac:dyDescent="0.25">
      <c r="A384" s="14" t="s">
        <v>929</v>
      </c>
      <c r="B384" s="14" t="s">
        <v>930</v>
      </c>
      <c r="C384" s="14" t="s">
        <v>19</v>
      </c>
      <c r="D384" s="14" t="s">
        <v>147</v>
      </c>
      <c r="E384" s="14" t="s">
        <v>20</v>
      </c>
      <c r="F384" s="14" t="s">
        <v>24</v>
      </c>
      <c r="G384" s="14" t="s">
        <v>22</v>
      </c>
      <c r="H384" s="116">
        <v>242.779008</v>
      </c>
    </row>
    <row r="385" spans="1:8" x14ac:dyDescent="0.25">
      <c r="A385" s="14" t="s">
        <v>931</v>
      </c>
      <c r="B385" s="14" t="s">
        <v>932</v>
      </c>
      <c r="C385" s="14" t="s">
        <v>19</v>
      </c>
      <c r="D385" s="14" t="s">
        <v>147</v>
      </c>
      <c r="E385" s="14" t="s">
        <v>20</v>
      </c>
      <c r="F385" s="14" t="s">
        <v>24</v>
      </c>
      <c r="G385" s="14" t="s">
        <v>22</v>
      </c>
      <c r="H385" s="116">
        <v>23.92</v>
      </c>
    </row>
    <row r="386" spans="1:8" x14ac:dyDescent="0.25">
      <c r="A386" s="14" t="s">
        <v>933</v>
      </c>
      <c r="B386" s="14" t="s">
        <v>934</v>
      </c>
      <c r="C386" s="14" t="s">
        <v>19</v>
      </c>
      <c r="D386" s="14" t="s">
        <v>147</v>
      </c>
      <c r="E386" s="14" t="s">
        <v>20</v>
      </c>
      <c r="F386" s="14" t="s">
        <v>24</v>
      </c>
      <c r="G386" s="14" t="s">
        <v>22</v>
      </c>
      <c r="H386" s="116">
        <v>14.852399999999999</v>
      </c>
    </row>
    <row r="387" spans="1:8" x14ac:dyDescent="0.25">
      <c r="A387" s="14" t="s">
        <v>935</v>
      </c>
      <c r="B387" s="14" t="s">
        <v>936</v>
      </c>
      <c r="C387" s="14" t="s">
        <v>19</v>
      </c>
      <c r="D387" s="14" t="s">
        <v>147</v>
      </c>
      <c r="E387" s="14" t="s">
        <v>20</v>
      </c>
      <c r="F387" s="14" t="s">
        <v>24</v>
      </c>
      <c r="G387" s="14" t="s">
        <v>22</v>
      </c>
      <c r="H387" s="116">
        <v>52.988599999999998</v>
      </c>
    </row>
    <row r="388" spans="1:8" x14ac:dyDescent="0.25">
      <c r="A388" s="14" t="s">
        <v>937</v>
      </c>
      <c r="B388" s="14" t="s">
        <v>938</v>
      </c>
      <c r="C388" s="14" t="s">
        <v>19</v>
      </c>
      <c r="D388" s="14" t="s">
        <v>147</v>
      </c>
      <c r="E388" s="14" t="s">
        <v>20</v>
      </c>
      <c r="F388" s="14" t="s">
        <v>24</v>
      </c>
      <c r="G388" s="14" t="s">
        <v>22</v>
      </c>
      <c r="H388" s="116">
        <v>14.852399999999999</v>
      </c>
    </row>
    <row r="389" spans="1:8" x14ac:dyDescent="0.25">
      <c r="A389" s="14" t="s">
        <v>939</v>
      </c>
      <c r="B389" s="14" t="s">
        <v>940</v>
      </c>
      <c r="C389" s="14" t="s">
        <v>19</v>
      </c>
      <c r="D389" s="14" t="s">
        <v>147</v>
      </c>
      <c r="E389" s="14" t="s">
        <v>20</v>
      </c>
      <c r="F389" s="14" t="s">
        <v>24</v>
      </c>
      <c r="G389" s="14" t="s">
        <v>22</v>
      </c>
      <c r="H389" s="116">
        <v>475.55566399999998</v>
      </c>
    </row>
    <row r="390" spans="1:8" x14ac:dyDescent="0.25">
      <c r="A390" s="14" t="s">
        <v>941</v>
      </c>
      <c r="B390" s="14" t="s">
        <v>942</v>
      </c>
      <c r="C390" s="14" t="s">
        <v>19</v>
      </c>
      <c r="D390" s="14" t="s">
        <v>147</v>
      </c>
      <c r="E390" s="14" t="s">
        <v>20</v>
      </c>
      <c r="F390" s="14" t="s">
        <v>24</v>
      </c>
      <c r="G390" s="14" t="s">
        <v>22</v>
      </c>
      <c r="H390" s="116">
        <v>756</v>
      </c>
    </row>
    <row r="391" spans="1:8" x14ac:dyDescent="0.25">
      <c r="A391" s="14" t="s">
        <v>943</v>
      </c>
      <c r="B391" s="14" t="s">
        <v>944</v>
      </c>
      <c r="C391" s="14" t="s">
        <v>19</v>
      </c>
      <c r="D391" s="14" t="s">
        <v>147</v>
      </c>
      <c r="E391" s="14" t="s">
        <v>20</v>
      </c>
      <c r="F391" s="14" t="s">
        <v>21</v>
      </c>
      <c r="G391" s="14" t="s">
        <v>22</v>
      </c>
      <c r="H391" s="116">
        <v>754.77304400000003</v>
      </c>
    </row>
    <row r="392" spans="1:8" x14ac:dyDescent="0.25">
      <c r="A392" s="14" t="s">
        <v>945</v>
      </c>
      <c r="B392" s="14" t="s">
        <v>946</v>
      </c>
      <c r="C392" s="14" t="s">
        <v>19</v>
      </c>
      <c r="D392" s="14" t="s">
        <v>147</v>
      </c>
      <c r="E392" s="14" t="s">
        <v>20</v>
      </c>
      <c r="F392" s="14" t="s">
        <v>21</v>
      </c>
      <c r="G392" s="14" t="s">
        <v>22</v>
      </c>
      <c r="H392" s="116">
        <v>54.113999999999997</v>
      </c>
    </row>
    <row r="393" spans="1:8" x14ac:dyDescent="0.25">
      <c r="A393" s="14" t="s">
        <v>947</v>
      </c>
      <c r="B393" s="14" t="s">
        <v>948</v>
      </c>
      <c r="C393" s="14" t="s">
        <v>19</v>
      </c>
      <c r="D393" s="14" t="s">
        <v>147</v>
      </c>
      <c r="E393" s="14" t="s">
        <v>20</v>
      </c>
      <c r="F393" s="14" t="s">
        <v>24</v>
      </c>
      <c r="G393" s="14" t="s">
        <v>22</v>
      </c>
      <c r="H393" s="116">
        <v>812.434032</v>
      </c>
    </row>
    <row r="394" spans="1:8" x14ac:dyDescent="0.25">
      <c r="A394" s="14" t="s">
        <v>949</v>
      </c>
      <c r="B394" s="14" t="s">
        <v>950</v>
      </c>
      <c r="C394" s="14" t="s">
        <v>19</v>
      </c>
      <c r="D394" s="14" t="s">
        <v>147</v>
      </c>
      <c r="E394" s="14" t="s">
        <v>20</v>
      </c>
      <c r="F394" s="14" t="s">
        <v>24</v>
      </c>
      <c r="G394" s="14" t="s">
        <v>22</v>
      </c>
      <c r="H394" s="116">
        <v>13.5</v>
      </c>
    </row>
    <row r="395" spans="1:8" x14ac:dyDescent="0.25">
      <c r="A395" s="14" t="s">
        <v>951</v>
      </c>
      <c r="B395" s="14" t="s">
        <v>952</v>
      </c>
      <c r="C395" s="14" t="s">
        <v>19</v>
      </c>
      <c r="D395" s="14" t="s">
        <v>147</v>
      </c>
      <c r="E395" s="14" t="s">
        <v>20</v>
      </c>
      <c r="F395" s="14" t="s">
        <v>21</v>
      </c>
      <c r="G395" s="14" t="s">
        <v>22</v>
      </c>
      <c r="H395" s="116">
        <v>200.56739999999999</v>
      </c>
    </row>
    <row r="396" spans="1:8" x14ac:dyDescent="0.25">
      <c r="A396" s="14" t="s">
        <v>953</v>
      </c>
      <c r="B396" s="14" t="s">
        <v>954</v>
      </c>
      <c r="C396" s="14" t="s">
        <v>19</v>
      </c>
      <c r="D396" s="14" t="s">
        <v>147</v>
      </c>
      <c r="E396" s="14" t="s">
        <v>20</v>
      </c>
      <c r="F396" s="14" t="s">
        <v>21</v>
      </c>
      <c r="G396" s="14" t="s">
        <v>22</v>
      </c>
      <c r="H396" s="116">
        <v>113.1219</v>
      </c>
    </row>
    <row r="397" spans="1:8" x14ac:dyDescent="0.25">
      <c r="A397" s="14" t="s">
        <v>955</v>
      </c>
      <c r="B397" s="14" t="s">
        <v>956</v>
      </c>
      <c r="C397" s="14" t="s">
        <v>19</v>
      </c>
      <c r="D397" s="14" t="s">
        <v>147</v>
      </c>
      <c r="E397" s="14" t="s">
        <v>20</v>
      </c>
      <c r="F397" s="14" t="s">
        <v>21</v>
      </c>
      <c r="G397" s="14" t="s">
        <v>22</v>
      </c>
      <c r="H397" s="116">
        <v>130.36320000000001</v>
      </c>
    </row>
    <row r="398" spans="1:8" x14ac:dyDescent="0.25">
      <c r="A398" s="14" t="s">
        <v>957</v>
      </c>
      <c r="B398" s="14" t="s">
        <v>958</v>
      </c>
      <c r="C398" s="14" t="s">
        <v>19</v>
      </c>
      <c r="D398" s="14" t="s">
        <v>147</v>
      </c>
      <c r="E398" s="14" t="s">
        <v>20</v>
      </c>
      <c r="F398" s="14" t="s">
        <v>21</v>
      </c>
      <c r="G398" s="14" t="s">
        <v>22</v>
      </c>
      <c r="H398" s="116">
        <v>225.28</v>
      </c>
    </row>
    <row r="399" spans="1:8" x14ac:dyDescent="0.25">
      <c r="A399" s="14" t="s">
        <v>959</v>
      </c>
      <c r="B399" s="14" t="s">
        <v>960</v>
      </c>
      <c r="C399" s="14" t="s">
        <v>19</v>
      </c>
      <c r="D399" s="14" t="s">
        <v>147</v>
      </c>
      <c r="E399" s="14" t="s">
        <v>20</v>
      </c>
      <c r="F399" s="14" t="s">
        <v>21</v>
      </c>
      <c r="G399" s="14" t="s">
        <v>22</v>
      </c>
      <c r="H399" s="116">
        <v>1669.3984680000001</v>
      </c>
    </row>
    <row r="400" spans="1:8" x14ac:dyDescent="0.25">
      <c r="A400" s="14" t="s">
        <v>961</v>
      </c>
      <c r="B400" s="14" t="s">
        <v>962</v>
      </c>
      <c r="C400" s="14" t="s">
        <v>19</v>
      </c>
      <c r="D400" s="14" t="s">
        <v>147</v>
      </c>
      <c r="E400" s="14" t="s">
        <v>20</v>
      </c>
      <c r="F400" s="14" t="s">
        <v>21</v>
      </c>
      <c r="G400" s="14" t="s">
        <v>22</v>
      </c>
      <c r="H400" s="116">
        <v>43.24</v>
      </c>
    </row>
    <row r="401" spans="1:8" x14ac:dyDescent="0.25">
      <c r="A401" s="14" t="s">
        <v>963</v>
      </c>
      <c r="B401" s="14" t="s">
        <v>964</v>
      </c>
      <c r="C401" s="14" t="s">
        <v>19</v>
      </c>
      <c r="D401" s="14" t="s">
        <v>147</v>
      </c>
      <c r="E401" s="14" t="s">
        <v>20</v>
      </c>
      <c r="F401" s="14" t="s">
        <v>21</v>
      </c>
      <c r="G401" s="14" t="s">
        <v>22</v>
      </c>
      <c r="H401" s="116">
        <v>229.46906200000001</v>
      </c>
    </row>
    <row r="402" spans="1:8" x14ac:dyDescent="0.25">
      <c r="A402" s="14" t="s">
        <v>965</v>
      </c>
      <c r="B402" s="14" t="s">
        <v>966</v>
      </c>
      <c r="C402" s="14" t="s">
        <v>19</v>
      </c>
      <c r="D402" s="14" t="s">
        <v>147</v>
      </c>
      <c r="E402" s="14" t="s">
        <v>20</v>
      </c>
      <c r="F402" s="14" t="s">
        <v>21</v>
      </c>
      <c r="G402" s="14" t="s">
        <v>22</v>
      </c>
      <c r="H402" s="116">
        <v>815.15932999999995</v>
      </c>
    </row>
    <row r="403" spans="1:8" x14ac:dyDescent="0.25">
      <c r="A403" s="14" t="s">
        <v>967</v>
      </c>
      <c r="B403" s="14" t="s">
        <v>968</v>
      </c>
      <c r="C403" s="14" t="s">
        <v>19</v>
      </c>
      <c r="D403" s="14" t="s">
        <v>147</v>
      </c>
      <c r="E403" s="14" t="s">
        <v>20</v>
      </c>
      <c r="F403" s="14" t="s">
        <v>21</v>
      </c>
      <c r="G403" s="14" t="s">
        <v>22</v>
      </c>
      <c r="H403" s="116">
        <v>66.389600000000002</v>
      </c>
    </row>
    <row r="404" spans="1:8" x14ac:dyDescent="0.25">
      <c r="A404" s="14" t="s">
        <v>969</v>
      </c>
      <c r="B404" s="14" t="s">
        <v>970</v>
      </c>
      <c r="C404" s="14" t="s">
        <v>19</v>
      </c>
      <c r="D404" s="14" t="s">
        <v>147</v>
      </c>
      <c r="E404" s="14" t="s">
        <v>20</v>
      </c>
      <c r="F404" s="14" t="s">
        <v>21</v>
      </c>
      <c r="G404" s="14" t="s">
        <v>22</v>
      </c>
      <c r="H404" s="116">
        <v>27.956</v>
      </c>
    </row>
    <row r="405" spans="1:8" x14ac:dyDescent="0.25">
      <c r="A405" s="14" t="s">
        <v>971</v>
      </c>
      <c r="B405" s="14" t="s">
        <v>972</v>
      </c>
      <c r="C405" s="14" t="s">
        <v>19</v>
      </c>
      <c r="D405" s="14" t="s">
        <v>147</v>
      </c>
      <c r="E405" s="14" t="s">
        <v>20</v>
      </c>
      <c r="F405" s="14" t="s">
        <v>21</v>
      </c>
      <c r="G405" s="14" t="s">
        <v>22</v>
      </c>
      <c r="H405" s="116">
        <v>329.43137999999999</v>
      </c>
    </row>
    <row r="406" spans="1:8" x14ac:dyDescent="0.25">
      <c r="A406" s="14" t="s">
        <v>973</v>
      </c>
      <c r="B406" s="14" t="s">
        <v>974</v>
      </c>
      <c r="C406" s="14" t="s">
        <v>19</v>
      </c>
      <c r="D406" s="14" t="s">
        <v>147</v>
      </c>
      <c r="E406" s="14" t="s">
        <v>20</v>
      </c>
      <c r="F406" s="14" t="s">
        <v>21</v>
      </c>
      <c r="G406" s="14" t="s">
        <v>22</v>
      </c>
      <c r="H406" s="116">
        <v>809.84778800000004</v>
      </c>
    </row>
    <row r="407" spans="1:8" x14ac:dyDescent="0.25">
      <c r="A407" s="14" t="s">
        <v>975</v>
      </c>
      <c r="B407" s="14" t="s">
        <v>976</v>
      </c>
      <c r="C407" s="14" t="s">
        <v>19</v>
      </c>
      <c r="D407" s="14" t="s">
        <v>147</v>
      </c>
      <c r="E407" s="14" t="s">
        <v>20</v>
      </c>
      <c r="F407" s="14" t="s">
        <v>21</v>
      </c>
      <c r="G407" s="14" t="s">
        <v>22</v>
      </c>
      <c r="H407" s="116">
        <v>115.56</v>
      </c>
    </row>
    <row r="408" spans="1:8" x14ac:dyDescent="0.25">
      <c r="A408" s="14" t="s">
        <v>977</v>
      </c>
      <c r="B408" s="14" t="s">
        <v>978</v>
      </c>
      <c r="C408" s="14" t="s">
        <v>19</v>
      </c>
      <c r="D408" s="14" t="s">
        <v>147</v>
      </c>
      <c r="E408" s="14" t="s">
        <v>20</v>
      </c>
      <c r="F408" s="14" t="s">
        <v>21</v>
      </c>
      <c r="G408" s="14" t="s">
        <v>22</v>
      </c>
      <c r="H408" s="116">
        <v>72.908795999999995</v>
      </c>
    </row>
    <row r="409" spans="1:8" x14ac:dyDescent="0.25">
      <c r="A409" s="14" t="s">
        <v>979</v>
      </c>
      <c r="B409" s="14" t="s">
        <v>980</v>
      </c>
      <c r="C409" s="14" t="s">
        <v>19</v>
      </c>
      <c r="D409" s="14" t="s">
        <v>147</v>
      </c>
      <c r="E409" s="14" t="s">
        <v>20</v>
      </c>
      <c r="F409" s="14" t="s">
        <v>21</v>
      </c>
      <c r="G409" s="14" t="s">
        <v>22</v>
      </c>
      <c r="H409" s="116">
        <v>465.392426</v>
      </c>
    </row>
    <row r="410" spans="1:8" x14ac:dyDescent="0.25">
      <c r="A410" s="14" t="s">
        <v>981</v>
      </c>
      <c r="B410" s="14" t="s">
        <v>982</v>
      </c>
      <c r="C410" s="14" t="s">
        <v>19</v>
      </c>
      <c r="D410" s="14" t="s">
        <v>147</v>
      </c>
      <c r="E410" s="14" t="s">
        <v>20</v>
      </c>
      <c r="F410" s="14" t="s">
        <v>21</v>
      </c>
      <c r="G410" s="14" t="s">
        <v>22</v>
      </c>
      <c r="H410" s="116">
        <v>35.213999999999999</v>
      </c>
    </row>
    <row r="411" spans="1:8" x14ac:dyDescent="0.25">
      <c r="A411" s="14" t="s">
        <v>983</v>
      </c>
      <c r="B411" s="14" t="s">
        <v>984</v>
      </c>
      <c r="C411" s="14" t="s">
        <v>19</v>
      </c>
      <c r="D411" s="14" t="s">
        <v>147</v>
      </c>
      <c r="E411" s="14" t="s">
        <v>20</v>
      </c>
      <c r="F411" s="14" t="s">
        <v>21</v>
      </c>
      <c r="G411" s="14" t="s">
        <v>22</v>
      </c>
      <c r="H411" s="116">
        <v>226.1</v>
      </c>
    </row>
    <row r="412" spans="1:8" x14ac:dyDescent="0.25">
      <c r="A412" s="14" t="s">
        <v>985</v>
      </c>
      <c r="B412" s="14" t="s">
        <v>986</v>
      </c>
      <c r="C412" s="14" t="s">
        <v>19</v>
      </c>
      <c r="D412" s="14" t="s">
        <v>147</v>
      </c>
      <c r="E412" s="14" t="s">
        <v>20</v>
      </c>
      <c r="F412" s="14" t="s">
        <v>21</v>
      </c>
      <c r="G412" s="14" t="s">
        <v>22</v>
      </c>
      <c r="H412" s="116">
        <v>1436.72102</v>
      </c>
    </row>
    <row r="413" spans="1:8" x14ac:dyDescent="0.25">
      <c r="A413" s="14" t="s">
        <v>987</v>
      </c>
      <c r="B413" s="14" t="s">
        <v>988</v>
      </c>
      <c r="C413" s="14" t="s">
        <v>19</v>
      </c>
      <c r="D413" s="14" t="s">
        <v>147</v>
      </c>
      <c r="E413" s="14" t="s">
        <v>20</v>
      </c>
      <c r="F413" s="14" t="s">
        <v>21</v>
      </c>
      <c r="G413" s="14" t="s">
        <v>22</v>
      </c>
      <c r="H413" s="116">
        <v>644.47858199999996</v>
      </c>
    </row>
    <row r="414" spans="1:8" x14ac:dyDescent="0.25">
      <c r="A414" s="14" t="s">
        <v>989</v>
      </c>
      <c r="B414" s="14" t="s">
        <v>990</v>
      </c>
      <c r="C414" s="14" t="s">
        <v>19</v>
      </c>
      <c r="D414" s="14" t="s">
        <v>147</v>
      </c>
      <c r="E414" s="14" t="s">
        <v>20</v>
      </c>
      <c r="F414" s="14" t="s">
        <v>21</v>
      </c>
      <c r="G414" s="14" t="s">
        <v>22</v>
      </c>
      <c r="H414" s="116">
        <v>272.66538400000002</v>
      </c>
    </row>
    <row r="415" spans="1:8" x14ac:dyDescent="0.25">
      <c r="A415" s="14" t="s">
        <v>991</v>
      </c>
      <c r="B415" s="14" t="s">
        <v>992</v>
      </c>
      <c r="C415" s="14" t="s">
        <v>19</v>
      </c>
      <c r="D415" s="14" t="s">
        <v>147</v>
      </c>
      <c r="E415" s="14" t="s">
        <v>20</v>
      </c>
      <c r="F415" s="14" t="s">
        <v>21</v>
      </c>
      <c r="G415" s="14" t="s">
        <v>22</v>
      </c>
      <c r="H415" s="116">
        <v>29.122399999999999</v>
      </c>
    </row>
    <row r="416" spans="1:8" x14ac:dyDescent="0.25">
      <c r="A416" s="14" t="s">
        <v>993</v>
      </c>
      <c r="B416" s="14" t="s">
        <v>994</v>
      </c>
      <c r="C416" s="14" t="s">
        <v>19</v>
      </c>
      <c r="D416" s="14" t="s">
        <v>147</v>
      </c>
      <c r="E416" s="14" t="s">
        <v>20</v>
      </c>
      <c r="F416" s="14" t="s">
        <v>21</v>
      </c>
      <c r="G416" s="14" t="s">
        <v>22</v>
      </c>
      <c r="H416" s="116">
        <v>520.15189999999996</v>
      </c>
    </row>
    <row r="417" spans="1:8" x14ac:dyDescent="0.25">
      <c r="A417" s="14" t="s">
        <v>995</v>
      </c>
      <c r="B417" s="14" t="s">
        <v>996</v>
      </c>
      <c r="C417" s="14" t="s">
        <v>19</v>
      </c>
      <c r="D417" s="14" t="s">
        <v>147</v>
      </c>
      <c r="E417" s="14" t="s">
        <v>20</v>
      </c>
      <c r="F417" s="14" t="s">
        <v>21</v>
      </c>
      <c r="G417" s="14" t="s">
        <v>22</v>
      </c>
      <c r="H417" s="116">
        <v>182.68</v>
      </c>
    </row>
    <row r="418" spans="1:8" x14ac:dyDescent="0.25">
      <c r="A418" s="14" t="s">
        <v>997</v>
      </c>
      <c r="B418" s="14" t="s">
        <v>998</v>
      </c>
      <c r="C418" s="14" t="s">
        <v>19</v>
      </c>
      <c r="D418" s="14" t="s">
        <v>147</v>
      </c>
      <c r="E418" s="14" t="s">
        <v>20</v>
      </c>
      <c r="F418" s="14" t="s">
        <v>21</v>
      </c>
      <c r="G418" s="14" t="s">
        <v>22</v>
      </c>
      <c r="H418" s="116">
        <v>159.25755000000001</v>
      </c>
    </row>
    <row r="419" spans="1:8" x14ac:dyDescent="0.25">
      <c r="A419" s="14" t="s">
        <v>999</v>
      </c>
      <c r="B419" s="14" t="s">
        <v>1000</v>
      </c>
      <c r="C419" s="14" t="s">
        <v>19</v>
      </c>
      <c r="D419" s="14" t="s">
        <v>147</v>
      </c>
      <c r="E419" s="14" t="s">
        <v>20</v>
      </c>
      <c r="F419" s="14" t="s">
        <v>21</v>
      </c>
      <c r="G419" s="14" t="s">
        <v>22</v>
      </c>
      <c r="H419" s="116">
        <v>47.383600000000001</v>
      </c>
    </row>
    <row r="420" spans="1:8" x14ac:dyDescent="0.25">
      <c r="A420" s="14" t="s">
        <v>1001</v>
      </c>
      <c r="B420" s="14" t="s">
        <v>1002</v>
      </c>
      <c r="C420" s="14" t="s">
        <v>19</v>
      </c>
      <c r="D420" s="14" t="s">
        <v>147</v>
      </c>
      <c r="E420" s="14" t="s">
        <v>20</v>
      </c>
      <c r="F420" s="14" t="s">
        <v>24</v>
      </c>
      <c r="G420" s="14" t="s">
        <v>22</v>
      </c>
      <c r="H420" s="116">
        <v>2106.6986980000001</v>
      </c>
    </row>
    <row r="421" spans="1:8" x14ac:dyDescent="0.25">
      <c r="A421" s="14" t="s">
        <v>1003</v>
      </c>
      <c r="B421" s="14" t="s">
        <v>1004</v>
      </c>
      <c r="C421" s="14" t="s">
        <v>19</v>
      </c>
      <c r="D421" s="14" t="s">
        <v>147</v>
      </c>
      <c r="E421" s="14" t="s">
        <v>20</v>
      </c>
      <c r="F421" s="14" t="s">
        <v>21</v>
      </c>
      <c r="G421" s="14" t="s">
        <v>22</v>
      </c>
      <c r="H421" s="116">
        <v>27</v>
      </c>
    </row>
    <row r="422" spans="1:8" x14ac:dyDescent="0.25">
      <c r="A422" s="14" t="s">
        <v>1005</v>
      </c>
      <c r="B422" s="14" t="s">
        <v>1006</v>
      </c>
      <c r="C422" s="14" t="s">
        <v>19</v>
      </c>
      <c r="D422" s="14" t="s">
        <v>147</v>
      </c>
      <c r="E422" s="14" t="s">
        <v>20</v>
      </c>
      <c r="F422" s="14" t="s">
        <v>21</v>
      </c>
      <c r="G422" s="14" t="s">
        <v>22</v>
      </c>
      <c r="H422" s="116">
        <v>701.16712600000005</v>
      </c>
    </row>
    <row r="423" spans="1:8" x14ac:dyDescent="0.25">
      <c r="A423" s="14" t="s">
        <v>1007</v>
      </c>
      <c r="B423" s="14" t="s">
        <v>1008</v>
      </c>
      <c r="C423" s="14" t="s">
        <v>19</v>
      </c>
      <c r="D423" s="14" t="s">
        <v>147</v>
      </c>
      <c r="E423" s="14" t="s">
        <v>20</v>
      </c>
      <c r="F423" s="14" t="s">
        <v>24</v>
      </c>
      <c r="G423" s="14" t="s">
        <v>22</v>
      </c>
      <c r="H423" s="116">
        <v>204.4392</v>
      </c>
    </row>
    <row r="424" spans="1:8" x14ac:dyDescent="0.25">
      <c r="A424" s="14" t="s">
        <v>1009</v>
      </c>
      <c r="B424" s="14" t="s">
        <v>1010</v>
      </c>
      <c r="C424" s="14" t="s">
        <v>19</v>
      </c>
      <c r="D424" s="14" t="s">
        <v>147</v>
      </c>
      <c r="E424" s="14" t="s">
        <v>20</v>
      </c>
      <c r="F424" s="14" t="s">
        <v>1011</v>
      </c>
      <c r="G424" s="14" t="s">
        <v>22</v>
      </c>
      <c r="H424" s="116">
        <v>655.13755000000003</v>
      </c>
    </row>
    <row r="425" spans="1:8" x14ac:dyDescent="0.25">
      <c r="A425" s="14" t="s">
        <v>1012</v>
      </c>
      <c r="B425" s="14" t="s">
        <v>1013</v>
      </c>
      <c r="C425" s="14" t="s">
        <v>19</v>
      </c>
      <c r="D425" s="14" t="s">
        <v>147</v>
      </c>
      <c r="E425" s="14" t="s">
        <v>20</v>
      </c>
      <c r="F425" s="14" t="s">
        <v>1011</v>
      </c>
      <c r="G425" s="14" t="s">
        <v>22</v>
      </c>
      <c r="H425" s="116">
        <v>302.39999999999998</v>
      </c>
    </row>
    <row r="426" spans="1:8" x14ac:dyDescent="0.25">
      <c r="G426" t="s">
        <v>501</v>
      </c>
      <c r="H426" s="118">
        <f>SUBTOTAL(109,H384:H425)</f>
        <v>16080.471508000001</v>
      </c>
    </row>
    <row r="430" spans="1:8" x14ac:dyDescent="0.25">
      <c r="A430" s="461" t="s">
        <v>13</v>
      </c>
      <c r="B430" s="461" t="s">
        <v>0</v>
      </c>
      <c r="C430" s="461" t="s">
        <v>14</v>
      </c>
      <c r="D430" s="461" t="s">
        <v>144</v>
      </c>
      <c r="E430" s="461" t="s">
        <v>15</v>
      </c>
      <c r="F430" s="461" t="s">
        <v>16</v>
      </c>
      <c r="G430" s="461" t="s">
        <v>17</v>
      </c>
      <c r="H430" s="461" t="s">
        <v>4</v>
      </c>
    </row>
    <row r="431" spans="1:8" x14ac:dyDescent="0.25">
      <c r="A431" s="462" t="s">
        <v>1047</v>
      </c>
      <c r="B431" s="462" t="s">
        <v>1048</v>
      </c>
      <c r="C431" s="462" t="s">
        <v>19</v>
      </c>
      <c r="D431" s="462" t="s">
        <v>147</v>
      </c>
      <c r="E431" s="462" t="s">
        <v>20</v>
      </c>
      <c r="F431" s="462" t="s">
        <v>24</v>
      </c>
      <c r="G431" s="462" t="s">
        <v>22</v>
      </c>
      <c r="H431" s="118">
        <v>191.72333</v>
      </c>
    </row>
    <row r="432" spans="1:8" x14ac:dyDescent="0.25">
      <c r="A432" s="462" t="s">
        <v>1049</v>
      </c>
      <c r="B432" s="462" t="s">
        <v>1050</v>
      </c>
      <c r="C432" s="462" t="s">
        <v>19</v>
      </c>
      <c r="D432" s="462" t="s">
        <v>147</v>
      </c>
      <c r="E432" s="462" t="s">
        <v>20</v>
      </c>
      <c r="F432" s="462" t="s">
        <v>24</v>
      </c>
      <c r="G432" s="462" t="s">
        <v>22</v>
      </c>
      <c r="H432" s="118">
        <v>122.07080000000001</v>
      </c>
    </row>
    <row r="433" spans="1:8" x14ac:dyDescent="0.25">
      <c r="A433" s="462" t="s">
        <v>1051</v>
      </c>
      <c r="B433" s="462" t="s">
        <v>1052</v>
      </c>
      <c r="C433" s="462" t="s">
        <v>19</v>
      </c>
      <c r="D433" s="462" t="s">
        <v>147</v>
      </c>
      <c r="E433" s="462" t="s">
        <v>20</v>
      </c>
      <c r="F433" s="462" t="s">
        <v>21</v>
      </c>
      <c r="G433" s="462" t="s">
        <v>22</v>
      </c>
      <c r="H433" s="118">
        <v>273.347396</v>
      </c>
    </row>
    <row r="434" spans="1:8" x14ac:dyDescent="0.25">
      <c r="A434" s="462" t="s">
        <v>1053</v>
      </c>
      <c r="B434" s="462" t="s">
        <v>1054</v>
      </c>
      <c r="C434" s="462" t="s">
        <v>19</v>
      </c>
      <c r="D434" s="462" t="s">
        <v>147</v>
      </c>
      <c r="E434" s="462" t="s">
        <v>20</v>
      </c>
      <c r="F434" s="462" t="s">
        <v>21</v>
      </c>
      <c r="G434" s="462" t="s">
        <v>22</v>
      </c>
      <c r="H434" s="118">
        <v>93.695999999999998</v>
      </c>
    </row>
    <row r="435" spans="1:8" x14ac:dyDescent="0.25">
      <c r="A435" s="462" t="s">
        <v>1055</v>
      </c>
      <c r="B435" s="462" t="s">
        <v>1056</v>
      </c>
      <c r="C435" s="462" t="s">
        <v>19</v>
      </c>
      <c r="D435" s="462" t="s">
        <v>147</v>
      </c>
      <c r="E435" s="462" t="s">
        <v>20</v>
      </c>
      <c r="F435" s="462" t="s">
        <v>21</v>
      </c>
      <c r="G435" s="462" t="s">
        <v>22</v>
      </c>
      <c r="H435" s="118">
        <v>345.663344</v>
      </c>
    </row>
    <row r="436" spans="1:8" x14ac:dyDescent="0.25">
      <c r="A436" s="462" t="s">
        <v>1057</v>
      </c>
      <c r="B436" s="462" t="s">
        <v>1058</v>
      </c>
      <c r="C436" s="462" t="s">
        <v>19</v>
      </c>
      <c r="D436" s="462" t="s">
        <v>147</v>
      </c>
      <c r="E436" s="462" t="s">
        <v>20</v>
      </c>
      <c r="F436" s="462" t="s">
        <v>21</v>
      </c>
      <c r="G436" s="462" t="s">
        <v>22</v>
      </c>
      <c r="H436" s="118">
        <v>2.9184000000000001</v>
      </c>
    </row>
    <row r="437" spans="1:8" x14ac:dyDescent="0.25">
      <c r="A437" s="462" t="s">
        <v>1059</v>
      </c>
      <c r="B437" s="462" t="s">
        <v>1060</v>
      </c>
      <c r="C437" s="462" t="s">
        <v>19</v>
      </c>
      <c r="D437" s="462" t="s">
        <v>147</v>
      </c>
      <c r="E437" s="462" t="s">
        <v>20</v>
      </c>
      <c r="F437" s="462" t="s">
        <v>21</v>
      </c>
      <c r="G437" s="462" t="s">
        <v>22</v>
      </c>
      <c r="H437" s="118">
        <v>1482.1881980000001</v>
      </c>
    </row>
    <row r="438" spans="1:8" x14ac:dyDescent="0.25">
      <c r="A438" s="462" t="s">
        <v>1061</v>
      </c>
      <c r="B438" s="462" t="s">
        <v>1062</v>
      </c>
      <c r="C438" s="462" t="s">
        <v>19</v>
      </c>
      <c r="D438" s="462" t="s">
        <v>147</v>
      </c>
      <c r="E438" s="462" t="s">
        <v>20</v>
      </c>
      <c r="F438" s="462" t="s">
        <v>21</v>
      </c>
      <c r="G438" s="462" t="s">
        <v>22</v>
      </c>
      <c r="H438" s="118">
        <v>41.235149999999997</v>
      </c>
    </row>
    <row r="439" spans="1:8" x14ac:dyDescent="0.25">
      <c r="A439" s="462" t="s">
        <v>1063</v>
      </c>
      <c r="B439" s="462" t="s">
        <v>1064</v>
      </c>
      <c r="C439" s="462" t="s">
        <v>19</v>
      </c>
      <c r="D439" s="462" t="s">
        <v>147</v>
      </c>
      <c r="E439" s="462" t="s">
        <v>20</v>
      </c>
      <c r="F439" s="462" t="s">
        <v>21</v>
      </c>
      <c r="G439" s="462" t="s">
        <v>22</v>
      </c>
      <c r="H439" s="118">
        <v>206.94892039999999</v>
      </c>
    </row>
    <row r="440" spans="1:8" x14ac:dyDescent="0.25">
      <c r="A440" s="462" t="s">
        <v>1065</v>
      </c>
      <c r="B440" s="462" t="s">
        <v>1066</v>
      </c>
      <c r="C440" s="462" t="s">
        <v>19</v>
      </c>
      <c r="D440" s="462" t="s">
        <v>147</v>
      </c>
      <c r="E440" s="462" t="s">
        <v>20</v>
      </c>
      <c r="F440" s="462" t="s">
        <v>21</v>
      </c>
      <c r="G440" s="462" t="s">
        <v>22</v>
      </c>
      <c r="H440" s="118">
        <v>88.54</v>
      </c>
    </row>
    <row r="441" spans="1:8" x14ac:dyDescent="0.25">
      <c r="A441" s="462" t="s">
        <v>1067</v>
      </c>
      <c r="B441" s="462" t="s">
        <v>1068</v>
      </c>
      <c r="C441" s="462" t="s">
        <v>19</v>
      </c>
      <c r="D441" s="462" t="s">
        <v>147</v>
      </c>
      <c r="E441" s="462" t="s">
        <v>20</v>
      </c>
      <c r="F441" s="462" t="s">
        <v>21</v>
      </c>
      <c r="G441" s="462" t="s">
        <v>22</v>
      </c>
      <c r="H441" s="118">
        <v>211.34119999999999</v>
      </c>
    </row>
    <row r="442" spans="1:8" x14ac:dyDescent="0.25">
      <c r="A442" s="462" t="s">
        <v>1069</v>
      </c>
      <c r="B442" s="462" t="s">
        <v>1070</v>
      </c>
      <c r="C442" s="462" t="s">
        <v>19</v>
      </c>
      <c r="D442" s="462" t="s">
        <v>147</v>
      </c>
      <c r="E442" s="462" t="s">
        <v>20</v>
      </c>
      <c r="F442" s="462" t="s">
        <v>21</v>
      </c>
      <c r="G442" s="462" t="s">
        <v>22</v>
      </c>
      <c r="H442" s="118">
        <v>444.50673</v>
      </c>
    </row>
    <row r="443" spans="1:8" x14ac:dyDescent="0.25">
      <c r="A443" s="462" t="s">
        <v>1071</v>
      </c>
      <c r="B443" s="462" t="s">
        <v>1072</v>
      </c>
      <c r="C443" s="462" t="s">
        <v>19</v>
      </c>
      <c r="D443" s="462" t="s">
        <v>147</v>
      </c>
      <c r="E443" s="462" t="s">
        <v>20</v>
      </c>
      <c r="F443" s="462" t="s">
        <v>21</v>
      </c>
      <c r="G443" s="462" t="s">
        <v>22</v>
      </c>
      <c r="H443" s="118">
        <v>361.4</v>
      </c>
    </row>
    <row r="444" spans="1:8" x14ac:dyDescent="0.25">
      <c r="A444" s="462" t="s">
        <v>1073</v>
      </c>
      <c r="B444" s="462" t="s">
        <v>1074</v>
      </c>
      <c r="C444" s="462" t="s">
        <v>19</v>
      </c>
      <c r="D444" s="462" t="s">
        <v>147</v>
      </c>
      <c r="E444" s="462" t="s">
        <v>20</v>
      </c>
      <c r="F444" s="462" t="s">
        <v>21</v>
      </c>
      <c r="G444" s="462" t="s">
        <v>22</v>
      </c>
      <c r="H444" s="118">
        <v>1402.3605</v>
      </c>
    </row>
    <row r="445" spans="1:8" x14ac:dyDescent="0.25">
      <c r="A445" s="462" t="s">
        <v>1075</v>
      </c>
      <c r="B445" s="462" t="s">
        <v>1076</v>
      </c>
      <c r="C445" s="462" t="s">
        <v>19</v>
      </c>
      <c r="D445" s="462" t="s">
        <v>147</v>
      </c>
      <c r="E445" s="462" t="s">
        <v>20</v>
      </c>
      <c r="F445" s="462" t="s">
        <v>21</v>
      </c>
      <c r="G445" s="462" t="s">
        <v>22</v>
      </c>
      <c r="H445" s="118">
        <v>649.65273999999999</v>
      </c>
    </row>
    <row r="446" spans="1:8" x14ac:dyDescent="0.25">
      <c r="A446" s="462" t="s">
        <v>1077</v>
      </c>
      <c r="B446" s="462" t="s">
        <v>1078</v>
      </c>
      <c r="C446" s="462" t="s">
        <v>19</v>
      </c>
      <c r="D446" s="462" t="s">
        <v>147</v>
      </c>
      <c r="E446" s="462" t="s">
        <v>20</v>
      </c>
      <c r="F446" s="462" t="s">
        <v>21</v>
      </c>
      <c r="G446" s="462" t="s">
        <v>22</v>
      </c>
      <c r="H446" s="118">
        <v>198.98063999999999</v>
      </c>
    </row>
    <row r="447" spans="1:8" x14ac:dyDescent="0.25">
      <c r="A447" s="462" t="s">
        <v>1079</v>
      </c>
      <c r="B447" s="462" t="s">
        <v>1080</v>
      </c>
      <c r="C447" s="462" t="s">
        <v>19</v>
      </c>
      <c r="D447" s="462" t="s">
        <v>147</v>
      </c>
      <c r="E447" s="462" t="s">
        <v>20</v>
      </c>
      <c r="F447" s="462" t="s">
        <v>21</v>
      </c>
      <c r="G447" s="462" t="s">
        <v>22</v>
      </c>
      <c r="H447" s="118">
        <v>108.08277</v>
      </c>
    </row>
    <row r="448" spans="1:8" x14ac:dyDescent="0.25">
      <c r="A448" s="462" t="s">
        <v>1081</v>
      </c>
      <c r="B448" s="462" t="s">
        <v>1082</v>
      </c>
      <c r="C448" s="462" t="s">
        <v>19</v>
      </c>
      <c r="D448" s="462" t="s">
        <v>147</v>
      </c>
      <c r="E448" s="462" t="s">
        <v>20</v>
      </c>
      <c r="F448" s="462" t="s">
        <v>21</v>
      </c>
      <c r="G448" s="462" t="s">
        <v>22</v>
      </c>
      <c r="H448" s="118">
        <v>121.2306</v>
      </c>
    </row>
    <row r="449" spans="1:8" x14ac:dyDescent="0.25">
      <c r="A449" s="462" t="s">
        <v>1083</v>
      </c>
      <c r="B449" s="462" t="s">
        <v>1084</v>
      </c>
      <c r="C449" s="462" t="s">
        <v>19</v>
      </c>
      <c r="D449" s="462" t="s">
        <v>147</v>
      </c>
      <c r="E449" s="462" t="s">
        <v>20</v>
      </c>
      <c r="F449" s="462" t="s">
        <v>21</v>
      </c>
      <c r="G449" s="462" t="s">
        <v>22</v>
      </c>
      <c r="H449" s="118">
        <v>7.0991999999999997</v>
      </c>
    </row>
    <row r="450" spans="1:8" x14ac:dyDescent="0.25">
      <c r="A450" s="462" t="s">
        <v>1085</v>
      </c>
      <c r="B450" s="462" t="s">
        <v>1086</v>
      </c>
      <c r="C450" s="462" t="s">
        <v>19</v>
      </c>
      <c r="D450" s="462" t="s">
        <v>147</v>
      </c>
      <c r="E450" s="462" t="s">
        <v>20</v>
      </c>
      <c r="F450" s="462" t="s">
        <v>21</v>
      </c>
      <c r="G450" s="462" t="s">
        <v>22</v>
      </c>
      <c r="H450" s="118">
        <v>69.2</v>
      </c>
    </row>
    <row r="451" spans="1:8" x14ac:dyDescent="0.25">
      <c r="A451" s="462" t="s">
        <v>1087</v>
      </c>
      <c r="B451" s="462" t="s">
        <v>1088</v>
      </c>
      <c r="C451" s="462" t="s">
        <v>19</v>
      </c>
      <c r="D451" s="462" t="s">
        <v>147</v>
      </c>
      <c r="E451" s="462" t="s">
        <v>20</v>
      </c>
      <c r="F451" s="462" t="s">
        <v>24</v>
      </c>
      <c r="G451" s="462" t="s">
        <v>22</v>
      </c>
      <c r="H451" s="118">
        <v>410.30302</v>
      </c>
    </row>
    <row r="452" spans="1:8" x14ac:dyDescent="0.25">
      <c r="A452" s="462" t="s">
        <v>1089</v>
      </c>
      <c r="B452" s="462" t="s">
        <v>1090</v>
      </c>
      <c r="C452" s="462" t="s">
        <v>19</v>
      </c>
      <c r="D452" s="462" t="s">
        <v>147</v>
      </c>
      <c r="E452" s="462" t="s">
        <v>20</v>
      </c>
      <c r="F452" s="462" t="s">
        <v>21</v>
      </c>
      <c r="G452" s="462" t="s">
        <v>22</v>
      </c>
      <c r="H452" s="118">
        <v>1414.4321620000001</v>
      </c>
    </row>
    <row r="453" spans="1:8" x14ac:dyDescent="0.25">
      <c r="A453" s="462" t="s">
        <v>1091</v>
      </c>
      <c r="B453" s="462" t="s">
        <v>1092</v>
      </c>
      <c r="C453" s="462" t="s">
        <v>19</v>
      </c>
      <c r="D453" s="462" t="s">
        <v>147</v>
      </c>
      <c r="E453" s="462" t="s">
        <v>20</v>
      </c>
      <c r="F453" s="462" t="s">
        <v>21</v>
      </c>
      <c r="G453" s="462" t="s">
        <v>22</v>
      </c>
      <c r="H453" s="118">
        <v>879.83126200000004</v>
      </c>
    </row>
    <row r="454" spans="1:8" x14ac:dyDescent="0.25">
      <c r="A454" s="462" t="s">
        <v>1093</v>
      </c>
      <c r="B454" s="462" t="s">
        <v>1094</v>
      </c>
      <c r="C454" s="462" t="s">
        <v>19</v>
      </c>
      <c r="D454" s="462" t="s">
        <v>147</v>
      </c>
      <c r="E454" s="462" t="s">
        <v>20</v>
      </c>
      <c r="F454" s="462" t="s">
        <v>21</v>
      </c>
      <c r="G454" s="462" t="s">
        <v>22</v>
      </c>
      <c r="H454" s="118">
        <v>12.572559999999999</v>
      </c>
    </row>
    <row r="455" spans="1:8" x14ac:dyDescent="0.25">
      <c r="A455" s="462" t="s">
        <v>1095</v>
      </c>
      <c r="B455" s="462" t="s">
        <v>1096</v>
      </c>
      <c r="C455" s="462" t="s">
        <v>19</v>
      </c>
      <c r="D455" s="462" t="s">
        <v>147</v>
      </c>
      <c r="E455" s="462" t="s">
        <v>20</v>
      </c>
      <c r="F455" s="462" t="s">
        <v>21</v>
      </c>
      <c r="G455" s="462" t="s">
        <v>22</v>
      </c>
      <c r="H455" s="118">
        <v>167.510268</v>
      </c>
    </row>
    <row r="456" spans="1:8" x14ac:dyDescent="0.25">
      <c r="A456" s="462" t="s">
        <v>1097</v>
      </c>
      <c r="B456" s="462" t="s">
        <v>1098</v>
      </c>
      <c r="C456" s="462" t="s">
        <v>19</v>
      </c>
      <c r="D456" s="462" t="s">
        <v>147</v>
      </c>
      <c r="E456" s="462" t="s">
        <v>20</v>
      </c>
      <c r="F456" s="462" t="s">
        <v>21</v>
      </c>
      <c r="G456" s="462" t="s">
        <v>22</v>
      </c>
      <c r="H456" s="118">
        <v>178.21709999999999</v>
      </c>
    </row>
    <row r="457" spans="1:8" x14ac:dyDescent="0.25">
      <c r="A457" s="462" t="s">
        <v>1099</v>
      </c>
      <c r="B457" s="462" t="s">
        <v>1100</v>
      </c>
      <c r="C457" s="462" t="s">
        <v>19</v>
      </c>
      <c r="D457" s="462" t="s">
        <v>147</v>
      </c>
      <c r="E457" s="462" t="s">
        <v>20</v>
      </c>
      <c r="F457" s="462" t="s">
        <v>21</v>
      </c>
      <c r="G457" s="462" t="s">
        <v>22</v>
      </c>
      <c r="H457" s="118">
        <v>104.17695000000001</v>
      </c>
    </row>
    <row r="458" spans="1:8" x14ac:dyDescent="0.25">
      <c r="A458" s="462" t="s">
        <v>1101</v>
      </c>
      <c r="B458" s="462" t="s">
        <v>1102</v>
      </c>
      <c r="C458" s="462" t="s">
        <v>19</v>
      </c>
      <c r="D458" s="462" t="s">
        <v>147</v>
      </c>
      <c r="E458" s="462" t="s">
        <v>20</v>
      </c>
      <c r="F458" s="462" t="s">
        <v>21</v>
      </c>
      <c r="G458" s="462" t="s">
        <v>22</v>
      </c>
      <c r="H458" s="118">
        <v>331.51043199999998</v>
      </c>
    </row>
    <row r="459" spans="1:8" x14ac:dyDescent="0.25">
      <c r="A459" s="462" t="s">
        <v>1103</v>
      </c>
      <c r="B459" s="462" t="s">
        <v>1104</v>
      </c>
      <c r="C459" s="462" t="s">
        <v>19</v>
      </c>
      <c r="D459" s="462" t="s">
        <v>147</v>
      </c>
      <c r="E459" s="462" t="s">
        <v>20</v>
      </c>
      <c r="F459" s="462" t="s">
        <v>21</v>
      </c>
      <c r="G459" s="462" t="s">
        <v>22</v>
      </c>
      <c r="H459" s="118">
        <v>345.06</v>
      </c>
    </row>
    <row r="460" spans="1:8" x14ac:dyDescent="0.25">
      <c r="A460" s="462" t="s">
        <v>1105</v>
      </c>
      <c r="B460" s="462" t="s">
        <v>1106</v>
      </c>
      <c r="C460" s="462" t="s">
        <v>19</v>
      </c>
      <c r="D460" s="462" t="s">
        <v>147</v>
      </c>
      <c r="E460" s="462" t="s">
        <v>20</v>
      </c>
      <c r="F460" s="462" t="s">
        <v>21</v>
      </c>
      <c r="G460" s="462" t="s">
        <v>22</v>
      </c>
      <c r="H460" s="118">
        <v>1227.895344</v>
      </c>
    </row>
    <row r="461" spans="1:8" x14ac:dyDescent="0.25">
      <c r="A461" s="462" t="s">
        <v>1107</v>
      </c>
      <c r="B461" s="462" t="s">
        <v>1108</v>
      </c>
      <c r="C461" s="462" t="s">
        <v>19</v>
      </c>
      <c r="D461" s="462" t="s">
        <v>147</v>
      </c>
      <c r="E461" s="462" t="s">
        <v>20</v>
      </c>
      <c r="F461" s="462" t="s">
        <v>21</v>
      </c>
      <c r="G461" s="462" t="s">
        <v>22</v>
      </c>
      <c r="H461" s="118">
        <v>472.28126400000002</v>
      </c>
    </row>
    <row r="462" spans="1:8" x14ac:dyDescent="0.25">
      <c r="A462" s="462" t="s">
        <v>1109</v>
      </c>
      <c r="B462" s="462" t="s">
        <v>1110</v>
      </c>
      <c r="C462" s="462" t="s">
        <v>19</v>
      </c>
      <c r="D462" s="462" t="s">
        <v>147</v>
      </c>
      <c r="E462" s="462" t="s">
        <v>20</v>
      </c>
      <c r="F462" s="462" t="s">
        <v>21</v>
      </c>
      <c r="G462" s="462" t="s">
        <v>22</v>
      </c>
      <c r="H462" s="118">
        <v>481.11508400000002</v>
      </c>
    </row>
    <row r="463" spans="1:8" x14ac:dyDescent="0.25">
      <c r="A463" s="462" t="s">
        <v>1111</v>
      </c>
      <c r="B463" s="462" t="s">
        <v>1112</v>
      </c>
      <c r="C463" s="462" t="s">
        <v>19</v>
      </c>
      <c r="D463" s="462" t="s">
        <v>147</v>
      </c>
      <c r="E463" s="462" t="s">
        <v>20</v>
      </c>
      <c r="F463" s="462" t="s">
        <v>21</v>
      </c>
      <c r="G463" s="462" t="s">
        <v>22</v>
      </c>
      <c r="H463" s="118">
        <v>21.63</v>
      </c>
    </row>
    <row r="464" spans="1:8" x14ac:dyDescent="0.25">
      <c r="A464" s="462" t="s">
        <v>1113</v>
      </c>
      <c r="B464" s="462" t="s">
        <v>1114</v>
      </c>
      <c r="C464" s="462" t="s">
        <v>19</v>
      </c>
      <c r="D464" s="462" t="s">
        <v>147</v>
      </c>
      <c r="E464" s="462" t="s">
        <v>20</v>
      </c>
      <c r="F464" s="462" t="s">
        <v>21</v>
      </c>
      <c r="G464" s="462" t="s">
        <v>22</v>
      </c>
      <c r="H464" s="118">
        <v>185.97412199999999</v>
      </c>
    </row>
    <row r="465" spans="1:8" x14ac:dyDescent="0.25">
      <c r="A465" s="462" t="s">
        <v>1115</v>
      </c>
      <c r="B465" s="462" t="s">
        <v>1116</v>
      </c>
      <c r="C465" s="462" t="s">
        <v>19</v>
      </c>
      <c r="D465" s="462" t="s">
        <v>147</v>
      </c>
      <c r="E465" s="462" t="s">
        <v>20</v>
      </c>
      <c r="F465" s="462" t="s">
        <v>21</v>
      </c>
      <c r="G465" s="462" t="s">
        <v>22</v>
      </c>
      <c r="H465" s="118">
        <v>68.248999999999995</v>
      </c>
    </row>
    <row r="466" spans="1:8" x14ac:dyDescent="0.25">
      <c r="A466" s="462" t="s">
        <v>1117</v>
      </c>
      <c r="B466" s="462" t="s">
        <v>1118</v>
      </c>
      <c r="C466" s="462" t="s">
        <v>19</v>
      </c>
      <c r="D466" s="462" t="s">
        <v>147</v>
      </c>
      <c r="E466" s="462" t="s">
        <v>20</v>
      </c>
      <c r="F466" s="462" t="s">
        <v>21</v>
      </c>
      <c r="G466" s="462" t="s">
        <v>22</v>
      </c>
      <c r="H466" s="118">
        <v>186.07836800000001</v>
      </c>
    </row>
    <row r="467" spans="1:8" x14ac:dyDescent="0.25">
      <c r="A467" s="462"/>
      <c r="B467" s="462"/>
      <c r="C467" s="462"/>
      <c r="D467" s="462"/>
      <c r="E467" s="462"/>
      <c r="F467" s="462"/>
      <c r="G467" s="462" t="s">
        <v>1119</v>
      </c>
      <c r="H467" s="118">
        <f>SUBTOTAL(109,H431:H466)</f>
        <v>12909.022854399995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horizontalDpi="360" verticalDpi="360" r:id="rId1"/>
  <tableParts count="9"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329"/>
  <sheetViews>
    <sheetView topLeftCell="A1153" workbookViewId="0">
      <selection activeCell="O1169" sqref="O1169"/>
    </sheetView>
  </sheetViews>
  <sheetFormatPr baseColWidth="10" defaultRowHeight="15" x14ac:dyDescent="0.25"/>
  <cols>
    <col min="1" max="1" width="12" style="15" customWidth="1"/>
    <col min="2" max="2" width="25.28515625" style="15" customWidth="1"/>
    <col min="3" max="3" width="12.42578125" style="15" customWidth="1"/>
    <col min="4" max="4" width="18.42578125" style="15" hidden="1" customWidth="1"/>
    <col min="5" max="5" width="23.5703125" style="15" customWidth="1"/>
    <col min="6" max="6" width="0.140625" style="87" hidden="1" customWidth="1"/>
    <col min="7" max="7" width="12" style="26" customWidth="1"/>
    <col min="8" max="8" width="24" customWidth="1"/>
    <col min="9" max="9" width="17.7109375" style="13" customWidth="1"/>
    <col min="10" max="10" width="18.7109375" customWidth="1"/>
    <col min="11" max="11" width="24.140625" bestFit="1" customWidth="1"/>
    <col min="12" max="12" width="20.42578125" customWidth="1"/>
    <col min="13" max="13" width="25.42578125" customWidth="1"/>
    <col min="14" max="14" width="8.28515625" hidden="1" customWidth="1"/>
    <col min="15" max="16" width="19.5703125" customWidth="1"/>
  </cols>
  <sheetData>
    <row r="1" spans="1:10" s="13" customFormat="1" x14ac:dyDescent="0.25">
      <c r="A1" s="15"/>
      <c r="B1" s="15" t="s">
        <v>233</v>
      </c>
      <c r="C1" s="15"/>
      <c r="D1" s="15"/>
      <c r="E1" s="15"/>
      <c r="F1" s="87"/>
      <c r="G1" s="26"/>
    </row>
    <row r="2" spans="1:10" ht="28.5" x14ac:dyDescent="0.45">
      <c r="B2" s="34" t="s">
        <v>234</v>
      </c>
    </row>
    <row r="4" spans="1:10" x14ac:dyDescent="0.25">
      <c r="A4" s="15" t="s">
        <v>10</v>
      </c>
      <c r="B4" s="15" t="s">
        <v>11</v>
      </c>
      <c r="C4" s="15" t="s">
        <v>121</v>
      </c>
      <c r="D4" s="15" t="s">
        <v>187</v>
      </c>
      <c r="E4" s="15" t="s">
        <v>12</v>
      </c>
      <c r="F4" s="92" t="s">
        <v>141</v>
      </c>
      <c r="G4" s="102" t="s">
        <v>236</v>
      </c>
      <c r="H4" s="70"/>
      <c r="I4" s="78"/>
      <c r="J4" s="27"/>
    </row>
    <row r="5" spans="1:10" s="13" customFormat="1" x14ac:dyDescent="0.25">
      <c r="A5" s="18">
        <v>44378</v>
      </c>
      <c r="B5" s="19" t="s">
        <v>210</v>
      </c>
      <c r="C5" s="19">
        <v>1</v>
      </c>
      <c r="D5" s="58">
        <v>675558.33</v>
      </c>
      <c r="E5" s="19" t="s">
        <v>129</v>
      </c>
      <c r="F5" s="95">
        <v>3230000</v>
      </c>
      <c r="G5" s="103">
        <f>Tabla3[[#This Row],[COSTO UNITARIO]]/F5</f>
        <v>0.20915118575851391</v>
      </c>
      <c r="H5" s="70"/>
      <c r="I5" s="78"/>
      <c r="J5" s="27"/>
    </row>
    <row r="6" spans="1:10" s="13" customFormat="1" x14ac:dyDescent="0.25">
      <c r="A6" s="25">
        <v>44378</v>
      </c>
      <c r="B6" s="21" t="s">
        <v>137</v>
      </c>
      <c r="C6" s="21">
        <v>1</v>
      </c>
      <c r="D6" s="57">
        <v>8013178.5300000003</v>
      </c>
      <c r="E6" s="21" t="s">
        <v>129</v>
      </c>
      <c r="F6" s="96">
        <v>3230000</v>
      </c>
      <c r="G6" s="104">
        <f>Tabla3[[#This Row],[COSTO UNITARIO]]/F6</f>
        <v>2.4808602260061918</v>
      </c>
      <c r="H6" s="70"/>
      <c r="I6" s="78"/>
      <c r="J6" s="27"/>
    </row>
    <row r="7" spans="1:10" s="13" customFormat="1" x14ac:dyDescent="0.25">
      <c r="A7" s="28">
        <v>44378</v>
      </c>
      <c r="B7" s="23" t="s">
        <v>211</v>
      </c>
      <c r="C7" s="23">
        <v>1</v>
      </c>
      <c r="D7" s="48">
        <v>23902000</v>
      </c>
      <c r="E7" s="23" t="s">
        <v>122</v>
      </c>
      <c r="F7" s="97">
        <v>3230000</v>
      </c>
      <c r="G7" s="105">
        <f>Tabla3[[#This Row],[COSTO UNITARIO]]/F7</f>
        <v>7.4</v>
      </c>
      <c r="H7" s="70"/>
      <c r="I7" s="78"/>
      <c r="J7" s="27"/>
    </row>
    <row r="8" spans="1:10" s="13" customFormat="1" x14ac:dyDescent="0.25">
      <c r="A8" s="18">
        <v>44380</v>
      </c>
      <c r="B8" s="19" t="s">
        <v>132</v>
      </c>
      <c r="C8" s="19">
        <v>1</v>
      </c>
      <c r="D8" s="58">
        <v>10140000</v>
      </c>
      <c r="E8" s="19" t="s">
        <v>122</v>
      </c>
      <c r="F8" s="95">
        <v>3250000</v>
      </c>
      <c r="G8" s="103">
        <f>Tabla3[[#This Row],[COSTO UNITARIO]]/F8</f>
        <v>3.12</v>
      </c>
      <c r="H8" s="70"/>
      <c r="I8" s="78"/>
      <c r="J8" s="27"/>
    </row>
    <row r="9" spans="1:10" s="13" customFormat="1" x14ac:dyDescent="0.25">
      <c r="A9" s="18">
        <v>44380</v>
      </c>
      <c r="B9" s="21" t="s">
        <v>212</v>
      </c>
      <c r="C9" s="21">
        <v>1</v>
      </c>
      <c r="D9" s="57">
        <v>114930.56</v>
      </c>
      <c r="E9" s="21" t="s">
        <v>122</v>
      </c>
      <c r="F9" s="96">
        <v>3250000</v>
      </c>
      <c r="G9" s="104">
        <f>Tabla3[[#This Row],[COSTO UNITARIO]]/F9</f>
        <v>3.5363249230769229E-2</v>
      </c>
      <c r="H9" s="70"/>
      <c r="I9" s="78"/>
      <c r="J9" s="27"/>
    </row>
    <row r="10" spans="1:10" s="13" customFormat="1" x14ac:dyDescent="0.25">
      <c r="A10" s="18">
        <v>44380</v>
      </c>
      <c r="B10" s="21" t="s">
        <v>213</v>
      </c>
      <c r="C10" s="21">
        <v>1</v>
      </c>
      <c r="D10" s="57">
        <v>579050</v>
      </c>
      <c r="E10" s="21" t="s">
        <v>122</v>
      </c>
      <c r="F10" s="96">
        <v>3250000</v>
      </c>
      <c r="G10" s="104">
        <f>Tabla3[[#This Row],[COSTO UNITARIO]]/F10</f>
        <v>0.17816923076923077</v>
      </c>
      <c r="H10" s="70"/>
      <c r="I10" s="78"/>
      <c r="J10" s="27"/>
    </row>
    <row r="11" spans="1:10" s="13" customFormat="1" x14ac:dyDescent="0.25">
      <c r="A11" s="18">
        <v>44380</v>
      </c>
      <c r="B11" s="21" t="s">
        <v>138</v>
      </c>
      <c r="C11" s="21">
        <v>1</v>
      </c>
      <c r="D11" s="57">
        <v>1812901.1</v>
      </c>
      <c r="E11" s="21" t="s">
        <v>122</v>
      </c>
      <c r="F11" s="96">
        <v>3250000</v>
      </c>
      <c r="G11" s="104">
        <f>Tabla3[[#This Row],[COSTO UNITARIO]]/F11</f>
        <v>0.55781572307692306</v>
      </c>
      <c r="H11" s="70"/>
      <c r="I11" s="78"/>
      <c r="J11" s="27"/>
    </row>
    <row r="12" spans="1:10" s="13" customFormat="1" x14ac:dyDescent="0.25">
      <c r="A12" s="18">
        <v>44380</v>
      </c>
      <c r="B12" s="21" t="s">
        <v>124</v>
      </c>
      <c r="C12" s="21">
        <v>7</v>
      </c>
      <c r="D12" s="61">
        <v>3250000</v>
      </c>
      <c r="E12" s="86" t="s">
        <v>122</v>
      </c>
      <c r="F12" s="96">
        <v>3250000</v>
      </c>
      <c r="G12" s="106">
        <f>Tabla3[[#This Row],[COSTO UNITARIO]]/F12</f>
        <v>1</v>
      </c>
      <c r="H12" s="70"/>
      <c r="I12" s="78"/>
      <c r="J12" s="27"/>
    </row>
    <row r="13" spans="1:10" s="13" customFormat="1" x14ac:dyDescent="0.25">
      <c r="A13" s="18">
        <v>44380</v>
      </c>
      <c r="B13" s="21" t="s">
        <v>125</v>
      </c>
      <c r="C13" s="21">
        <v>1</v>
      </c>
      <c r="D13" s="61">
        <v>3250000</v>
      </c>
      <c r="E13" s="86" t="s">
        <v>122</v>
      </c>
      <c r="F13" s="96">
        <v>3250000</v>
      </c>
      <c r="G13" s="106">
        <f>Tabla3[[#This Row],[COSTO UNITARIO]]/F13</f>
        <v>1</v>
      </c>
      <c r="H13" s="70"/>
      <c r="I13" s="78"/>
      <c r="J13" s="27"/>
    </row>
    <row r="14" spans="1:10" s="13" customFormat="1" x14ac:dyDescent="0.25">
      <c r="A14" s="16">
        <v>44380</v>
      </c>
      <c r="B14" s="23" t="s">
        <v>214</v>
      </c>
      <c r="C14" s="23">
        <v>1</v>
      </c>
      <c r="D14" s="59">
        <v>3419786.67</v>
      </c>
      <c r="E14" s="91" t="s">
        <v>122</v>
      </c>
      <c r="F14" s="97">
        <v>3250000</v>
      </c>
      <c r="G14" s="107">
        <f>Tabla3[[#This Row],[COSTO UNITARIO]]/F14</f>
        <v>1.0522420523076923</v>
      </c>
      <c r="H14" s="70"/>
      <c r="I14" s="78"/>
      <c r="J14" s="27"/>
    </row>
    <row r="15" spans="1:10" s="13" customFormat="1" x14ac:dyDescent="0.25">
      <c r="A15" s="16">
        <v>44381</v>
      </c>
      <c r="B15" s="17" t="s">
        <v>135</v>
      </c>
      <c r="C15" s="17">
        <v>2</v>
      </c>
      <c r="D15" s="60">
        <v>6500000</v>
      </c>
      <c r="E15" s="79" t="s">
        <v>122</v>
      </c>
      <c r="F15" s="98">
        <v>3250000</v>
      </c>
      <c r="G15" s="90">
        <f>Tabla3[[#This Row],[COSTO UNITARIO]]/F15</f>
        <v>2</v>
      </c>
      <c r="H15" s="70"/>
      <c r="I15" s="78"/>
      <c r="J15" s="27"/>
    </row>
    <row r="16" spans="1:10" s="13" customFormat="1" x14ac:dyDescent="0.25">
      <c r="A16" s="18">
        <v>44382</v>
      </c>
      <c r="B16" s="62"/>
      <c r="C16" s="19">
        <v>1</v>
      </c>
      <c r="D16" s="58">
        <v>1083739.6000000001</v>
      </c>
      <c r="E16" s="19" t="s">
        <v>122</v>
      </c>
      <c r="F16" s="95">
        <v>3250000</v>
      </c>
      <c r="G16" s="103">
        <f>Tabla3[[#This Row],[COSTO UNITARIO]]/F16</f>
        <v>0.33345833846153849</v>
      </c>
      <c r="H16" s="70"/>
      <c r="I16" s="78"/>
      <c r="J16" s="27"/>
    </row>
    <row r="17" spans="1:10" s="13" customFormat="1" x14ac:dyDescent="0.25">
      <c r="A17" s="25">
        <v>44382</v>
      </c>
      <c r="B17" s="21" t="s">
        <v>186</v>
      </c>
      <c r="C17" s="21">
        <v>2</v>
      </c>
      <c r="D17" s="57">
        <v>4550000</v>
      </c>
      <c r="E17" s="21" t="s">
        <v>130</v>
      </c>
      <c r="F17" s="96">
        <v>3250000</v>
      </c>
      <c r="G17" s="104">
        <f>Tabla3[[#This Row],[COSTO UNITARIO]]/F17</f>
        <v>1.4</v>
      </c>
      <c r="H17" s="70"/>
      <c r="I17" s="78"/>
      <c r="J17" s="27"/>
    </row>
    <row r="18" spans="1:10" s="13" customFormat="1" x14ac:dyDescent="0.25">
      <c r="A18" s="28">
        <v>44382</v>
      </c>
      <c r="B18" s="23" t="s">
        <v>215</v>
      </c>
      <c r="C18" s="23">
        <v>3</v>
      </c>
      <c r="D18" s="59">
        <v>4485000</v>
      </c>
      <c r="E18" s="23" t="s">
        <v>130</v>
      </c>
      <c r="F18" s="97">
        <v>3250000</v>
      </c>
      <c r="G18" s="105">
        <f>Tabla3[[#This Row],[COSTO UNITARIO]]/F18</f>
        <v>1.38</v>
      </c>
      <c r="H18" s="70"/>
      <c r="I18" s="78"/>
      <c r="J18" s="27"/>
    </row>
    <row r="19" spans="1:10" s="13" customFormat="1" x14ac:dyDescent="0.25">
      <c r="A19" s="18">
        <v>44383</v>
      </c>
      <c r="B19" s="19" t="s">
        <v>186</v>
      </c>
      <c r="C19" s="19">
        <v>2</v>
      </c>
      <c r="D19" s="58">
        <v>4550000</v>
      </c>
      <c r="E19" s="19" t="s">
        <v>129</v>
      </c>
      <c r="F19" s="95">
        <v>3250000</v>
      </c>
      <c r="G19" s="103">
        <f>Tabla3[[#This Row],[COSTO UNITARIO]]/F19</f>
        <v>1.4</v>
      </c>
      <c r="H19" s="70"/>
      <c r="I19" s="78"/>
      <c r="J19" s="27"/>
    </row>
    <row r="20" spans="1:10" s="13" customFormat="1" x14ac:dyDescent="0.25">
      <c r="A20" s="25">
        <v>44383</v>
      </c>
      <c r="B20" s="21" t="s">
        <v>125</v>
      </c>
      <c r="C20" s="21">
        <v>2</v>
      </c>
      <c r="D20" s="61">
        <v>6500000</v>
      </c>
      <c r="E20" s="21" t="s">
        <v>129</v>
      </c>
      <c r="F20" s="96">
        <v>3250000</v>
      </c>
      <c r="G20" s="104">
        <f>Tabla3[[#This Row],[COSTO UNITARIO]]/F20</f>
        <v>2</v>
      </c>
      <c r="H20" s="70"/>
      <c r="I20" s="78"/>
      <c r="J20" s="27"/>
    </row>
    <row r="21" spans="1:10" s="13" customFormat="1" x14ac:dyDescent="0.25">
      <c r="A21" s="25">
        <v>44383</v>
      </c>
      <c r="B21" s="21" t="s">
        <v>128</v>
      </c>
      <c r="C21" s="21">
        <v>1</v>
      </c>
      <c r="D21" s="57">
        <v>16900000</v>
      </c>
      <c r="E21" s="21" t="s">
        <v>129</v>
      </c>
      <c r="F21" s="96">
        <v>3250000</v>
      </c>
      <c r="G21" s="104">
        <f>Tabla3[[#This Row],[COSTO UNITARIO]]/F21</f>
        <v>5.2</v>
      </c>
      <c r="H21" s="70"/>
      <c r="I21" s="78"/>
      <c r="J21" s="27"/>
    </row>
    <row r="22" spans="1:10" s="13" customFormat="1" x14ac:dyDescent="0.25">
      <c r="A22" s="25">
        <v>44383</v>
      </c>
      <c r="B22" s="21" t="s">
        <v>186</v>
      </c>
      <c r="C22" s="21">
        <v>3</v>
      </c>
      <c r="D22" s="44">
        <v>6825000</v>
      </c>
      <c r="E22" s="21" t="s">
        <v>122</v>
      </c>
      <c r="F22" s="96">
        <v>3250000</v>
      </c>
      <c r="G22" s="104">
        <f>Tabla3[[#This Row],[COSTO UNITARIO]]/F22</f>
        <v>2.1</v>
      </c>
      <c r="H22" s="70"/>
      <c r="I22" s="78"/>
      <c r="J22" s="27"/>
    </row>
    <row r="23" spans="1:10" s="13" customFormat="1" x14ac:dyDescent="0.25">
      <c r="A23" s="25">
        <v>44383</v>
      </c>
      <c r="B23" s="21" t="s">
        <v>124</v>
      </c>
      <c r="C23" s="21">
        <v>1</v>
      </c>
      <c r="D23" s="44">
        <v>3250000</v>
      </c>
      <c r="E23" s="21" t="s">
        <v>122</v>
      </c>
      <c r="F23" s="96">
        <v>3250000</v>
      </c>
      <c r="G23" s="104">
        <f>Tabla3[[#This Row],[COSTO UNITARIO]]/F23</f>
        <v>1</v>
      </c>
      <c r="H23" s="70"/>
      <c r="I23" s="78"/>
      <c r="J23" s="27"/>
    </row>
    <row r="24" spans="1:10" s="13" customFormat="1" x14ac:dyDescent="0.25">
      <c r="A24" s="28">
        <v>44383</v>
      </c>
      <c r="B24" s="23" t="s">
        <v>134</v>
      </c>
      <c r="C24" s="23">
        <v>1</v>
      </c>
      <c r="D24" s="59">
        <v>140059.51999999999</v>
      </c>
      <c r="E24" s="23" t="s">
        <v>130</v>
      </c>
      <c r="F24" s="97">
        <v>3250000</v>
      </c>
      <c r="G24" s="105">
        <f>Tabla3[[#This Row],[COSTO UNITARIO]]/F24</f>
        <v>4.3095236923076922E-2</v>
      </c>
      <c r="H24" s="70"/>
      <c r="I24" s="78"/>
      <c r="J24" s="27"/>
    </row>
    <row r="25" spans="1:10" s="13" customFormat="1" x14ac:dyDescent="0.25">
      <c r="A25" s="18">
        <v>44384</v>
      </c>
      <c r="B25" s="19" t="s">
        <v>125</v>
      </c>
      <c r="C25" s="19">
        <v>1</v>
      </c>
      <c r="D25" s="58">
        <v>3250000</v>
      </c>
      <c r="E25" s="19" t="s">
        <v>129</v>
      </c>
      <c r="F25" s="95">
        <v>3250000</v>
      </c>
      <c r="G25" s="103">
        <f>Tabla3[[#This Row],[COSTO UNITARIO]]/F25</f>
        <v>1</v>
      </c>
      <c r="H25" s="70"/>
      <c r="I25" s="78"/>
      <c r="J25" s="27"/>
    </row>
    <row r="26" spans="1:10" s="13" customFormat="1" x14ac:dyDescent="0.25">
      <c r="A26" s="25">
        <v>44384</v>
      </c>
      <c r="B26" s="21" t="s">
        <v>124</v>
      </c>
      <c r="C26" s="21">
        <v>1</v>
      </c>
      <c r="D26" s="57">
        <v>3250000</v>
      </c>
      <c r="E26" s="21" t="s">
        <v>235</v>
      </c>
      <c r="F26" s="96">
        <v>3250000</v>
      </c>
      <c r="G26" s="104">
        <f>Tabla3[[#This Row],[COSTO UNITARIO]]/F26</f>
        <v>1</v>
      </c>
      <c r="H26" s="70"/>
      <c r="I26" s="78"/>
      <c r="J26" s="27"/>
    </row>
    <row r="27" spans="1:10" s="13" customFormat="1" x14ac:dyDescent="0.25">
      <c r="A27" s="28">
        <v>44384</v>
      </c>
      <c r="B27" s="23" t="s">
        <v>134</v>
      </c>
      <c r="C27" s="23">
        <v>2</v>
      </c>
      <c r="D27" s="75">
        <v>280119.03999999998</v>
      </c>
      <c r="E27" s="21" t="s">
        <v>235</v>
      </c>
      <c r="F27" s="97">
        <v>3250000</v>
      </c>
      <c r="G27" s="105">
        <f>Tabla3[[#This Row],[COSTO UNITARIO]]/F27</f>
        <v>8.6190473846153845E-2</v>
      </c>
      <c r="H27" s="70"/>
      <c r="I27" s="78"/>
      <c r="J27" s="27"/>
    </row>
    <row r="28" spans="1:10" s="13" customFormat="1" x14ac:dyDescent="0.25">
      <c r="A28" s="18">
        <v>44385</v>
      </c>
      <c r="B28" s="19" t="s">
        <v>125</v>
      </c>
      <c r="C28" s="19">
        <v>1</v>
      </c>
      <c r="D28" s="58">
        <v>3250000</v>
      </c>
      <c r="E28" s="19" t="s">
        <v>129</v>
      </c>
      <c r="F28" s="95">
        <v>3250000</v>
      </c>
      <c r="G28" s="103">
        <f>Tabla3[[#This Row],[COSTO UNITARIO]]/F28</f>
        <v>1</v>
      </c>
      <c r="H28" s="70"/>
      <c r="I28" s="78"/>
      <c r="J28" s="27"/>
    </row>
    <row r="29" spans="1:10" s="13" customFormat="1" x14ac:dyDescent="0.25">
      <c r="A29" s="25">
        <v>44385</v>
      </c>
      <c r="B29" s="21" t="s">
        <v>128</v>
      </c>
      <c r="C29" s="21">
        <v>1</v>
      </c>
      <c r="D29" s="57">
        <v>16900000</v>
      </c>
      <c r="E29" s="21" t="s">
        <v>129</v>
      </c>
      <c r="F29" s="96">
        <v>3250000</v>
      </c>
      <c r="G29" s="104">
        <f>Tabla3[[#This Row],[COSTO UNITARIO]]/F29</f>
        <v>5.2</v>
      </c>
    </row>
    <row r="30" spans="1:10" s="13" customFormat="1" x14ac:dyDescent="0.25">
      <c r="A30" s="25">
        <v>44385</v>
      </c>
      <c r="B30" s="21" t="s">
        <v>216</v>
      </c>
      <c r="C30" s="21">
        <v>2</v>
      </c>
      <c r="D30" s="57">
        <v>1365000</v>
      </c>
      <c r="E30" s="21" t="s">
        <v>122</v>
      </c>
      <c r="F30" s="96">
        <v>3250000</v>
      </c>
      <c r="G30" s="104">
        <f>Tabla3[[#This Row],[COSTO UNITARIO]]/F30</f>
        <v>0.42</v>
      </c>
      <c r="H30" s="88"/>
      <c r="I30" s="89"/>
      <c r="J30" s="27"/>
    </row>
    <row r="31" spans="1:10" s="13" customFormat="1" x14ac:dyDescent="0.25">
      <c r="A31" s="25">
        <v>44385</v>
      </c>
      <c r="B31" s="21" t="s">
        <v>124</v>
      </c>
      <c r="C31" s="21">
        <v>6</v>
      </c>
      <c r="D31" s="76">
        <v>19500000</v>
      </c>
      <c r="E31" s="21" t="s">
        <v>122</v>
      </c>
      <c r="F31" s="96">
        <v>3250000</v>
      </c>
      <c r="G31" s="104">
        <f>Tabla3[[#This Row],[COSTO UNITARIO]]/F31</f>
        <v>6</v>
      </c>
      <c r="H31" s="88"/>
      <c r="I31" s="89"/>
      <c r="J31" s="27"/>
    </row>
    <row r="32" spans="1:10" x14ac:dyDescent="0.25">
      <c r="A32" s="25">
        <v>44385</v>
      </c>
      <c r="B32" s="21" t="s">
        <v>217</v>
      </c>
      <c r="C32" s="21">
        <v>1</v>
      </c>
      <c r="D32" s="57">
        <v>2073500</v>
      </c>
      <c r="E32" s="21" t="s">
        <v>122</v>
      </c>
      <c r="F32" s="96">
        <v>3250000</v>
      </c>
      <c r="G32" s="104">
        <f>Tabla3[[#This Row],[COSTO UNITARIO]]/F32</f>
        <v>0.63800000000000001</v>
      </c>
      <c r="H32" s="88"/>
      <c r="I32" s="89"/>
      <c r="J32" s="27"/>
    </row>
    <row r="33" spans="1:10" x14ac:dyDescent="0.25">
      <c r="A33" s="25">
        <v>44385</v>
      </c>
      <c r="B33" s="21" t="s">
        <v>134</v>
      </c>
      <c r="C33" s="21">
        <v>1</v>
      </c>
      <c r="D33" s="57">
        <v>140059.51999999999</v>
      </c>
      <c r="E33" s="21" t="s">
        <v>235</v>
      </c>
      <c r="F33" s="96">
        <v>3250000</v>
      </c>
      <c r="G33" s="104">
        <f>Tabla3[[#This Row],[COSTO UNITARIO]]/F33</f>
        <v>4.3095236923076922E-2</v>
      </c>
      <c r="H33" s="88"/>
      <c r="I33" s="89"/>
      <c r="J33" s="27"/>
    </row>
    <row r="34" spans="1:10" x14ac:dyDescent="0.25">
      <c r="A34" s="25">
        <v>44385</v>
      </c>
      <c r="B34" s="21" t="s">
        <v>186</v>
      </c>
      <c r="C34" s="21">
        <v>4</v>
      </c>
      <c r="D34" s="76">
        <v>9100000</v>
      </c>
      <c r="E34" s="21" t="s">
        <v>130</v>
      </c>
      <c r="F34" s="96">
        <v>3250000</v>
      </c>
      <c r="G34" s="104">
        <f>Tabla3[[#This Row],[COSTO UNITARIO]]/F34</f>
        <v>2.8</v>
      </c>
      <c r="H34" s="88"/>
      <c r="I34" s="89"/>
      <c r="J34" s="27"/>
    </row>
    <row r="35" spans="1:10" x14ac:dyDescent="0.25">
      <c r="A35" s="28">
        <v>44385</v>
      </c>
      <c r="B35" s="23" t="s">
        <v>125</v>
      </c>
      <c r="C35" s="23">
        <v>1</v>
      </c>
      <c r="D35" s="59">
        <v>3250000</v>
      </c>
      <c r="E35" s="23" t="s">
        <v>130</v>
      </c>
      <c r="F35" s="97">
        <v>3250000</v>
      </c>
      <c r="G35" s="105">
        <f>Tabla3[[#This Row],[COSTO UNITARIO]]/F35</f>
        <v>1</v>
      </c>
      <c r="H35" s="70"/>
      <c r="I35" s="44"/>
    </row>
    <row r="36" spans="1:10" x14ac:dyDescent="0.25">
      <c r="A36" s="18">
        <v>44386</v>
      </c>
      <c r="B36" s="19"/>
      <c r="C36" s="19"/>
      <c r="D36" s="58">
        <v>1083062.5</v>
      </c>
      <c r="E36" s="19" t="s">
        <v>130</v>
      </c>
      <c r="F36" s="99">
        <v>3270000</v>
      </c>
      <c r="G36" s="103">
        <f>Tabla3[[#This Row],[COSTO UNITARIO]]/F36</f>
        <v>0.3312117737003058</v>
      </c>
      <c r="H36" s="70"/>
      <c r="I36" s="70"/>
    </row>
    <row r="37" spans="1:10" x14ac:dyDescent="0.25">
      <c r="A37" s="25">
        <v>44386</v>
      </c>
      <c r="B37" s="21" t="s">
        <v>125</v>
      </c>
      <c r="C37" s="21">
        <v>1</v>
      </c>
      <c r="D37" s="57">
        <v>3270000</v>
      </c>
      <c r="E37" s="21" t="s">
        <v>129</v>
      </c>
      <c r="F37" s="100">
        <v>3270000</v>
      </c>
      <c r="G37" s="104">
        <f>Tabla3[[#This Row],[COSTO UNITARIO]]/F37</f>
        <v>1</v>
      </c>
      <c r="H37" s="70"/>
      <c r="I37" s="70"/>
    </row>
    <row r="38" spans="1:10" x14ac:dyDescent="0.25">
      <c r="A38" s="25">
        <v>44386</v>
      </c>
      <c r="B38" s="21" t="s">
        <v>124</v>
      </c>
      <c r="C38" s="21">
        <v>1</v>
      </c>
      <c r="D38" s="57">
        <v>3270000</v>
      </c>
      <c r="E38" s="21" t="s">
        <v>235</v>
      </c>
      <c r="F38" s="100">
        <v>3270000</v>
      </c>
      <c r="G38" s="104">
        <f>Tabla3[[#This Row],[COSTO UNITARIO]]/F38</f>
        <v>1</v>
      </c>
      <c r="H38" s="70"/>
      <c r="I38" s="70"/>
    </row>
    <row r="39" spans="1:10" x14ac:dyDescent="0.25">
      <c r="A39" s="25">
        <v>44386</v>
      </c>
      <c r="B39" s="21" t="s">
        <v>136</v>
      </c>
      <c r="C39" s="21">
        <v>1</v>
      </c>
      <c r="D39" s="57">
        <v>1036750</v>
      </c>
      <c r="E39" s="21" t="s">
        <v>235</v>
      </c>
      <c r="F39" s="100">
        <v>3270000</v>
      </c>
      <c r="G39" s="104">
        <f>Tabla3[[#This Row],[COSTO UNITARIO]]/F39</f>
        <v>0.31704892966360854</v>
      </c>
      <c r="H39" s="70"/>
      <c r="I39" s="70"/>
    </row>
    <row r="40" spans="1:10" x14ac:dyDescent="0.25">
      <c r="A40" s="25">
        <v>44386</v>
      </c>
      <c r="B40" s="21" t="s">
        <v>218</v>
      </c>
      <c r="C40" s="21">
        <v>1</v>
      </c>
      <c r="D40" s="57">
        <v>19320109.600000001</v>
      </c>
      <c r="E40" s="21" t="s">
        <v>235</v>
      </c>
      <c r="F40" s="100">
        <v>3270000</v>
      </c>
      <c r="G40" s="104">
        <f>Tabla3[[#This Row],[COSTO UNITARIO]]/F40</f>
        <v>5.9082903975535173</v>
      </c>
      <c r="H40" s="70"/>
      <c r="I40" s="70"/>
    </row>
    <row r="41" spans="1:10" x14ac:dyDescent="0.25">
      <c r="A41" s="25">
        <v>44386</v>
      </c>
      <c r="B41" s="21" t="s">
        <v>219</v>
      </c>
      <c r="C41" s="21">
        <v>2</v>
      </c>
      <c r="D41" s="76">
        <v>1676393</v>
      </c>
      <c r="E41" s="21" t="s">
        <v>130</v>
      </c>
      <c r="F41" s="100">
        <v>3270000</v>
      </c>
      <c r="G41" s="104">
        <f>Tabla3[[#This Row],[COSTO UNITARIO]]/F41</f>
        <v>0.51265840978593269</v>
      </c>
      <c r="H41" s="70"/>
      <c r="I41" s="70"/>
    </row>
    <row r="42" spans="1:10" x14ac:dyDescent="0.25">
      <c r="A42" s="25">
        <v>44386</v>
      </c>
      <c r="B42" s="21" t="s">
        <v>194</v>
      </c>
      <c r="C42" s="21">
        <v>1</v>
      </c>
      <c r="D42" s="57">
        <v>783464.8</v>
      </c>
      <c r="E42" s="21" t="s">
        <v>122</v>
      </c>
      <c r="F42" s="100">
        <v>3270000</v>
      </c>
      <c r="G42" s="104">
        <f>Tabla3[[#This Row],[COSTO UNITARIO]]/F42</f>
        <v>0.23959168195718655</v>
      </c>
      <c r="H42" s="70"/>
      <c r="I42" s="70"/>
    </row>
    <row r="43" spans="1:10" x14ac:dyDescent="0.25">
      <c r="A43" s="25">
        <v>44386</v>
      </c>
      <c r="B43" s="21" t="s">
        <v>132</v>
      </c>
      <c r="C43" s="21">
        <v>1</v>
      </c>
      <c r="D43" s="57">
        <v>3171900</v>
      </c>
      <c r="E43" s="21" t="s">
        <v>130</v>
      </c>
      <c r="F43" s="100">
        <v>3270000</v>
      </c>
      <c r="G43" s="104">
        <f>Tabla3[[#This Row],[COSTO UNITARIO]]/F43</f>
        <v>0.97</v>
      </c>
      <c r="H43" s="70"/>
      <c r="I43" s="70"/>
    </row>
    <row r="44" spans="1:10" x14ac:dyDescent="0.25">
      <c r="A44" s="25">
        <v>44386</v>
      </c>
      <c r="B44" s="21" t="s">
        <v>124</v>
      </c>
      <c r="C44" s="21">
        <v>1</v>
      </c>
      <c r="D44" s="57">
        <v>3270000</v>
      </c>
      <c r="E44" s="21" t="s">
        <v>130</v>
      </c>
      <c r="F44" s="100">
        <v>3270000</v>
      </c>
      <c r="G44" s="104">
        <f>Tabla3[[#This Row],[COSTO UNITARIO]]/F44</f>
        <v>1</v>
      </c>
      <c r="H44" s="70"/>
      <c r="I44" s="70"/>
    </row>
    <row r="45" spans="1:10" x14ac:dyDescent="0.25">
      <c r="A45" s="28">
        <v>44386</v>
      </c>
      <c r="B45" s="23" t="s">
        <v>220</v>
      </c>
      <c r="C45" s="23">
        <v>1</v>
      </c>
      <c r="D45" s="59">
        <v>3419786.67</v>
      </c>
      <c r="E45" s="23" t="s">
        <v>130</v>
      </c>
      <c r="F45" s="101">
        <v>3270000</v>
      </c>
      <c r="G45" s="105">
        <f>Tabla3[[#This Row],[COSTO UNITARIO]]/F45</f>
        <v>1.0458063211009174</v>
      </c>
      <c r="H45" s="70"/>
      <c r="I45" s="70"/>
    </row>
    <row r="46" spans="1:10" x14ac:dyDescent="0.25">
      <c r="A46" s="18">
        <v>44387</v>
      </c>
      <c r="B46" s="19"/>
      <c r="C46" s="19">
        <v>1</v>
      </c>
      <c r="D46" s="58">
        <v>1086410.1200000001</v>
      </c>
      <c r="E46" s="19" t="s">
        <v>122</v>
      </c>
      <c r="F46" s="99">
        <v>3270000</v>
      </c>
      <c r="G46" s="103">
        <f>Tabla3[[#This Row],[COSTO UNITARIO]]/F46</f>
        <v>0.33223551070336393</v>
      </c>
      <c r="H46" s="70"/>
      <c r="I46" s="70"/>
    </row>
    <row r="47" spans="1:10" x14ac:dyDescent="0.25">
      <c r="A47" s="25">
        <v>44387</v>
      </c>
      <c r="B47" s="21"/>
      <c r="C47" s="21"/>
      <c r="D47" s="57">
        <v>1086410.1200000001</v>
      </c>
      <c r="E47" s="21" t="s">
        <v>235</v>
      </c>
      <c r="F47" s="100">
        <v>3270000</v>
      </c>
      <c r="G47" s="104">
        <f>Tabla3[[#This Row],[COSTO UNITARIO]]/F47</f>
        <v>0.33223551070336393</v>
      </c>
      <c r="H47" s="70"/>
      <c r="I47" s="70"/>
    </row>
    <row r="48" spans="1:10" x14ac:dyDescent="0.25">
      <c r="A48" s="25">
        <v>44387</v>
      </c>
      <c r="B48" s="21" t="s">
        <v>125</v>
      </c>
      <c r="C48" s="21">
        <v>2</v>
      </c>
      <c r="D48" s="76">
        <v>6540000</v>
      </c>
      <c r="E48" s="21" t="s">
        <v>129</v>
      </c>
      <c r="F48" s="100">
        <v>3270000</v>
      </c>
      <c r="G48" s="104">
        <f>Tabla3[[#This Row],[COSTO UNITARIO]]/F48</f>
        <v>2</v>
      </c>
      <c r="H48" s="70"/>
      <c r="I48" s="70"/>
    </row>
    <row r="49" spans="1:9" x14ac:dyDescent="0.25">
      <c r="A49" s="25">
        <v>44387</v>
      </c>
      <c r="B49" s="21" t="s">
        <v>132</v>
      </c>
      <c r="C49" s="21">
        <v>1</v>
      </c>
      <c r="D49" s="57">
        <v>3171900</v>
      </c>
      <c r="E49" s="21" t="s">
        <v>122</v>
      </c>
      <c r="F49" s="100">
        <v>3270000</v>
      </c>
      <c r="G49" s="104">
        <f>Tabla3[[#This Row],[COSTO UNITARIO]]/F49</f>
        <v>0.97</v>
      </c>
      <c r="H49" s="70"/>
      <c r="I49" s="44"/>
    </row>
    <row r="50" spans="1:9" x14ac:dyDescent="0.25">
      <c r="A50" s="25">
        <v>44387</v>
      </c>
      <c r="B50" s="21" t="s">
        <v>135</v>
      </c>
      <c r="C50" s="21">
        <v>10</v>
      </c>
      <c r="D50" s="57">
        <v>32700000</v>
      </c>
      <c r="E50" s="21" t="s">
        <v>122</v>
      </c>
      <c r="F50" s="100">
        <v>3270000</v>
      </c>
      <c r="G50" s="104">
        <f>Tabla3[[#This Row],[COSTO UNITARIO]]/F50</f>
        <v>10</v>
      </c>
      <c r="H50" s="70"/>
      <c r="I50" s="44"/>
    </row>
    <row r="51" spans="1:9" s="64" customFormat="1" x14ac:dyDescent="0.25">
      <c r="A51" s="28">
        <v>44387</v>
      </c>
      <c r="B51" s="23" t="s">
        <v>124</v>
      </c>
      <c r="C51" s="23">
        <v>1</v>
      </c>
      <c r="D51" s="59">
        <v>3270000</v>
      </c>
      <c r="E51" s="21" t="s">
        <v>235</v>
      </c>
      <c r="F51" s="101">
        <v>3270000</v>
      </c>
      <c r="G51" s="105">
        <f>Tabla3[[#This Row],[COSTO UNITARIO]]/F51</f>
        <v>1</v>
      </c>
      <c r="H51" s="70"/>
      <c r="I51" s="44"/>
    </row>
    <row r="52" spans="1:9" s="64" customFormat="1" x14ac:dyDescent="0.25">
      <c r="A52" s="18">
        <v>44389</v>
      </c>
      <c r="B52" s="19" t="s">
        <v>216</v>
      </c>
      <c r="C52" s="19">
        <v>1</v>
      </c>
      <c r="D52" s="58">
        <v>1373400</v>
      </c>
      <c r="E52" s="19" t="s">
        <v>122</v>
      </c>
      <c r="F52" s="99">
        <v>3270000</v>
      </c>
      <c r="G52" s="103">
        <f>Tabla3[[#This Row],[COSTO UNITARIO]]/F52</f>
        <v>0.42</v>
      </c>
      <c r="H52" s="70"/>
      <c r="I52" s="70"/>
    </row>
    <row r="53" spans="1:9" s="64" customFormat="1" x14ac:dyDescent="0.25">
      <c r="A53" s="25">
        <v>44389</v>
      </c>
      <c r="B53" s="21" t="s">
        <v>124</v>
      </c>
      <c r="C53" s="21">
        <v>1</v>
      </c>
      <c r="D53" s="57">
        <v>3270000</v>
      </c>
      <c r="E53" s="21" t="s">
        <v>122</v>
      </c>
      <c r="F53" s="100">
        <v>3270000</v>
      </c>
      <c r="G53" s="104">
        <f>Tabla3[[#This Row],[COSTO UNITARIO]]/F53</f>
        <v>1</v>
      </c>
      <c r="H53" s="70"/>
      <c r="I53" s="70"/>
    </row>
    <row r="54" spans="1:9" s="64" customFormat="1" x14ac:dyDescent="0.25">
      <c r="A54" s="25">
        <v>44389</v>
      </c>
      <c r="B54" s="21" t="s">
        <v>212</v>
      </c>
      <c r="C54" s="21">
        <v>1</v>
      </c>
      <c r="D54" s="57">
        <v>564758.25</v>
      </c>
      <c r="E54" s="21" t="s">
        <v>235</v>
      </c>
      <c r="F54" s="100">
        <v>3270000</v>
      </c>
      <c r="G54" s="104">
        <f>Tabla3[[#This Row],[COSTO UNITARIO]]/F54</f>
        <v>0.17270894495412845</v>
      </c>
      <c r="H54" s="70"/>
      <c r="I54" s="70"/>
    </row>
    <row r="55" spans="1:9" s="64" customFormat="1" x14ac:dyDescent="0.25">
      <c r="A55" s="25">
        <v>44389</v>
      </c>
      <c r="B55" s="21" t="s">
        <v>134</v>
      </c>
      <c r="C55" s="21">
        <v>1</v>
      </c>
      <c r="D55" s="57">
        <v>141077.14000000001</v>
      </c>
      <c r="E55" s="21" t="s">
        <v>235</v>
      </c>
      <c r="F55" s="100">
        <v>3270000</v>
      </c>
      <c r="G55" s="104">
        <f>Tabla3[[#This Row],[COSTO UNITARIO]]/F55</f>
        <v>4.3142856269113156E-2</v>
      </c>
      <c r="H55" s="70"/>
      <c r="I55" s="70"/>
    </row>
    <row r="56" spans="1:9" s="64" customFormat="1" x14ac:dyDescent="0.25">
      <c r="A56" s="28">
        <v>44389</v>
      </c>
      <c r="B56" s="23" t="s">
        <v>186</v>
      </c>
      <c r="C56" s="23">
        <v>2</v>
      </c>
      <c r="D56" s="75">
        <v>4578000</v>
      </c>
      <c r="E56" s="23" t="s">
        <v>130</v>
      </c>
      <c r="F56" s="101">
        <v>3270000</v>
      </c>
      <c r="G56" s="105">
        <f>Tabla3[[#This Row],[COSTO UNITARIO]]/F56</f>
        <v>1.4</v>
      </c>
      <c r="H56" s="70"/>
      <c r="I56" s="44"/>
    </row>
    <row r="57" spans="1:9" s="13" customFormat="1" x14ac:dyDescent="0.25">
      <c r="A57" s="18">
        <v>44390</v>
      </c>
      <c r="B57" s="19" t="s">
        <v>212</v>
      </c>
      <c r="C57" s="19">
        <v>1</v>
      </c>
      <c r="D57" s="58">
        <v>564758.25</v>
      </c>
      <c r="E57" s="19" t="s">
        <v>129</v>
      </c>
      <c r="F57" s="99">
        <v>3350000</v>
      </c>
      <c r="G57" s="103">
        <f>Tabla3[[#This Row],[COSTO UNITARIO]]/F57</f>
        <v>0.16858455223880597</v>
      </c>
      <c r="H57" s="70"/>
      <c r="I57" s="70"/>
    </row>
    <row r="58" spans="1:9" s="13" customFormat="1" x14ac:dyDescent="0.25">
      <c r="A58" s="25">
        <v>44390</v>
      </c>
      <c r="B58" s="21" t="s">
        <v>137</v>
      </c>
      <c r="C58" s="21">
        <v>1</v>
      </c>
      <c r="D58" s="57">
        <v>6671994.9000000004</v>
      </c>
      <c r="E58" s="21" t="s">
        <v>129</v>
      </c>
      <c r="F58" s="100">
        <v>3350000</v>
      </c>
      <c r="G58" s="104">
        <f>Tabla3[[#This Row],[COSTO UNITARIO]]/F58</f>
        <v>1.9916402686567165</v>
      </c>
      <c r="H58" s="70"/>
      <c r="I58" s="70"/>
    </row>
    <row r="59" spans="1:9" s="13" customFormat="1" x14ac:dyDescent="0.25">
      <c r="A59" s="25">
        <v>44390</v>
      </c>
      <c r="B59" s="21" t="s">
        <v>216</v>
      </c>
      <c r="C59" s="21">
        <v>2</v>
      </c>
      <c r="D59" s="57">
        <v>2814000</v>
      </c>
      <c r="E59" s="21" t="s">
        <v>122</v>
      </c>
      <c r="F59" s="100">
        <v>3350000</v>
      </c>
      <c r="G59" s="104">
        <f>Tabla3[[#This Row],[COSTO UNITARIO]]/F59</f>
        <v>0.84</v>
      </c>
      <c r="H59" s="70"/>
      <c r="I59" s="70"/>
    </row>
    <row r="60" spans="1:9" s="13" customFormat="1" x14ac:dyDescent="0.25">
      <c r="A60" s="25">
        <v>44390</v>
      </c>
      <c r="B60" s="21" t="s">
        <v>191</v>
      </c>
      <c r="C60" s="21">
        <v>3</v>
      </c>
      <c r="D60" s="76">
        <v>10050000</v>
      </c>
      <c r="E60" s="21" t="s">
        <v>122</v>
      </c>
      <c r="F60" s="100">
        <v>3350000</v>
      </c>
      <c r="G60" s="104">
        <f>Tabla3[[#This Row],[COSTO UNITARIO]]/F60</f>
        <v>3</v>
      </c>
      <c r="H60" s="70"/>
      <c r="I60" s="44"/>
    </row>
    <row r="61" spans="1:9" s="13" customFormat="1" x14ac:dyDescent="0.25">
      <c r="A61" s="25">
        <v>44390</v>
      </c>
      <c r="B61" s="21" t="s">
        <v>212</v>
      </c>
      <c r="C61" s="21">
        <v>1</v>
      </c>
      <c r="D61" s="57">
        <v>564756.25</v>
      </c>
      <c r="E61" s="21" t="s">
        <v>235</v>
      </c>
      <c r="F61" s="100">
        <v>3350000</v>
      </c>
      <c r="G61" s="104">
        <f>Tabla3[[#This Row],[COSTO UNITARIO]]/F61</f>
        <v>0.16858395522388059</v>
      </c>
      <c r="H61" s="70"/>
      <c r="I61" s="70"/>
    </row>
    <row r="62" spans="1:9" s="64" customFormat="1" x14ac:dyDescent="0.25">
      <c r="A62" s="28">
        <v>44390</v>
      </c>
      <c r="B62" s="23" t="s">
        <v>138</v>
      </c>
      <c r="C62" s="23">
        <v>1</v>
      </c>
      <c r="D62" s="59">
        <v>3350000</v>
      </c>
      <c r="E62" s="21" t="s">
        <v>235</v>
      </c>
      <c r="F62" s="101">
        <v>3350000</v>
      </c>
      <c r="G62" s="105">
        <f>Tabla3[[#This Row],[COSTO UNITARIO]]/F62</f>
        <v>1</v>
      </c>
      <c r="H62" s="70"/>
      <c r="I62" s="70"/>
    </row>
    <row r="63" spans="1:9" s="64" customFormat="1" x14ac:dyDescent="0.25">
      <c r="A63" s="18">
        <v>44392</v>
      </c>
      <c r="B63" s="19" t="s">
        <v>212</v>
      </c>
      <c r="C63" s="19">
        <v>1</v>
      </c>
      <c r="D63" s="58">
        <v>564756.25</v>
      </c>
      <c r="E63" s="19" t="s">
        <v>129</v>
      </c>
      <c r="F63" s="99">
        <v>3500000</v>
      </c>
      <c r="G63" s="103">
        <f>Tabla3[[#This Row],[COSTO UNITARIO]]/F63</f>
        <v>0.16135892857142858</v>
      </c>
      <c r="H63" s="70"/>
      <c r="I63" s="70"/>
    </row>
    <row r="64" spans="1:9" s="64" customFormat="1" x14ac:dyDescent="0.25">
      <c r="A64" s="25">
        <v>44392</v>
      </c>
      <c r="B64" s="21" t="s">
        <v>137</v>
      </c>
      <c r="C64" s="21">
        <v>1</v>
      </c>
      <c r="D64" s="57">
        <v>6671994.9000000004</v>
      </c>
      <c r="E64" s="21" t="s">
        <v>129</v>
      </c>
      <c r="F64" s="100">
        <v>3500000</v>
      </c>
      <c r="G64" s="104">
        <f>Tabla3[[#This Row],[COSTO UNITARIO]]/F64</f>
        <v>1.9062842571428573</v>
      </c>
      <c r="H64" s="70"/>
      <c r="I64" s="70"/>
    </row>
    <row r="65" spans="1:9" s="64" customFormat="1" x14ac:dyDescent="0.25">
      <c r="A65" s="25">
        <v>44392</v>
      </c>
      <c r="B65" s="21" t="s">
        <v>216</v>
      </c>
      <c r="C65" s="21">
        <v>2</v>
      </c>
      <c r="D65" s="57">
        <v>1470000</v>
      </c>
      <c r="E65" s="21" t="s">
        <v>122</v>
      </c>
      <c r="F65" s="100">
        <v>3500000</v>
      </c>
      <c r="G65" s="104">
        <f>Tabla3[[#This Row],[COSTO UNITARIO]]/F65</f>
        <v>0.42</v>
      </c>
      <c r="H65" s="70"/>
      <c r="I65" s="44"/>
    </row>
    <row r="66" spans="1:9" s="64" customFormat="1" x14ac:dyDescent="0.25">
      <c r="A66" s="25">
        <v>44392</v>
      </c>
      <c r="B66" s="21" t="s">
        <v>191</v>
      </c>
      <c r="C66" s="21">
        <v>3</v>
      </c>
      <c r="D66" s="57">
        <v>10500000</v>
      </c>
      <c r="E66" s="21" t="s">
        <v>122</v>
      </c>
      <c r="F66" s="100">
        <v>3500000</v>
      </c>
      <c r="G66" s="104">
        <f>Tabla3[[#This Row],[COSTO UNITARIO]]/F66</f>
        <v>3</v>
      </c>
      <c r="H66" s="70"/>
      <c r="I66" s="44"/>
    </row>
    <row r="67" spans="1:9" s="64" customFormat="1" x14ac:dyDescent="0.25">
      <c r="A67" s="25">
        <v>44392</v>
      </c>
      <c r="B67" s="21" t="s">
        <v>212</v>
      </c>
      <c r="C67" s="21">
        <v>1</v>
      </c>
      <c r="D67" s="57">
        <v>564756.25</v>
      </c>
      <c r="E67" s="21" t="s">
        <v>235</v>
      </c>
      <c r="F67" s="100">
        <v>3500000</v>
      </c>
      <c r="G67" s="104">
        <f>Tabla3[[#This Row],[COSTO UNITARIO]]/F67</f>
        <v>0.16135892857142858</v>
      </c>
      <c r="H67" s="70"/>
      <c r="I67" s="44"/>
    </row>
    <row r="68" spans="1:9" s="64" customFormat="1" x14ac:dyDescent="0.25">
      <c r="A68" s="25">
        <v>44392</v>
      </c>
      <c r="B68" s="21" t="s">
        <v>138</v>
      </c>
      <c r="C68" s="21">
        <v>1</v>
      </c>
      <c r="D68" s="57">
        <v>3500000</v>
      </c>
      <c r="E68" s="21" t="s">
        <v>235</v>
      </c>
      <c r="F68" s="101">
        <v>3500000</v>
      </c>
      <c r="G68" s="105">
        <f>Tabla3[[#This Row],[COSTO UNITARIO]]/F68</f>
        <v>1</v>
      </c>
      <c r="H68" s="70"/>
      <c r="I68" s="44"/>
    </row>
    <row r="69" spans="1:9" s="13" customFormat="1" x14ac:dyDescent="0.25">
      <c r="A69" s="18">
        <v>44393</v>
      </c>
      <c r="B69" s="19" t="s">
        <v>124</v>
      </c>
      <c r="C69" s="19">
        <v>1</v>
      </c>
      <c r="D69" s="58">
        <v>3600000</v>
      </c>
      <c r="E69" s="20" t="s">
        <v>129</v>
      </c>
      <c r="F69" s="99">
        <v>3600000</v>
      </c>
      <c r="G69" s="103">
        <f>Tabla3[[#This Row],[COSTO UNITARIO]]/F69</f>
        <v>1</v>
      </c>
      <c r="H69" s="70"/>
      <c r="I69" s="44"/>
    </row>
    <row r="70" spans="1:9" s="13" customFormat="1" x14ac:dyDescent="0.25">
      <c r="A70" s="25">
        <v>44393</v>
      </c>
      <c r="B70" s="21" t="s">
        <v>216</v>
      </c>
      <c r="C70" s="21">
        <v>1</v>
      </c>
      <c r="D70" s="57">
        <v>1512000</v>
      </c>
      <c r="E70" s="22" t="s">
        <v>122</v>
      </c>
      <c r="F70" s="100">
        <v>3600000</v>
      </c>
      <c r="G70" s="104">
        <f>Tabla3[[#This Row],[COSTO UNITARIO]]/F70</f>
        <v>0.42</v>
      </c>
      <c r="H70" s="70"/>
      <c r="I70" s="44"/>
    </row>
    <row r="71" spans="1:9" s="13" customFormat="1" x14ac:dyDescent="0.25">
      <c r="A71" s="25">
        <v>44393</v>
      </c>
      <c r="B71" s="21" t="s">
        <v>132</v>
      </c>
      <c r="C71" s="21">
        <v>1</v>
      </c>
      <c r="D71" s="57">
        <v>3486960</v>
      </c>
      <c r="E71" s="22" t="s">
        <v>122</v>
      </c>
      <c r="F71" s="100">
        <v>3600000</v>
      </c>
      <c r="G71" s="104">
        <f>Tabla3[[#This Row],[COSTO UNITARIO]]/F71</f>
        <v>0.96860000000000002</v>
      </c>
      <c r="H71" s="70"/>
      <c r="I71" s="44"/>
    </row>
    <row r="72" spans="1:9" s="13" customFormat="1" x14ac:dyDescent="0.25">
      <c r="A72" s="25">
        <v>44393</v>
      </c>
      <c r="B72" s="21" t="s">
        <v>191</v>
      </c>
      <c r="C72" s="21">
        <v>12</v>
      </c>
      <c r="D72" s="57">
        <v>43200000</v>
      </c>
      <c r="E72" s="22" t="s">
        <v>122</v>
      </c>
      <c r="F72" s="100">
        <v>3600000</v>
      </c>
      <c r="G72" s="104">
        <f>Tabla3[[#This Row],[COSTO UNITARIO]]/F72</f>
        <v>12</v>
      </c>
      <c r="H72" s="70"/>
      <c r="I72" s="44"/>
    </row>
    <row r="73" spans="1:9" s="13" customFormat="1" x14ac:dyDescent="0.25">
      <c r="A73" s="25">
        <v>44393</v>
      </c>
      <c r="B73" s="21" t="s">
        <v>139</v>
      </c>
      <c r="C73" s="21">
        <v>2</v>
      </c>
      <c r="D73" s="76">
        <v>4251000</v>
      </c>
      <c r="E73" s="22" t="s">
        <v>235</v>
      </c>
      <c r="F73" s="100">
        <v>3600000</v>
      </c>
      <c r="G73" s="104">
        <f>Tabla3[[#This Row],[COSTO UNITARIO]]/F73</f>
        <v>1.1808333333333334</v>
      </c>
      <c r="H73" s="70"/>
      <c r="I73" s="44"/>
    </row>
    <row r="74" spans="1:9" s="13" customFormat="1" x14ac:dyDescent="0.25">
      <c r="A74" s="25">
        <v>44393</v>
      </c>
      <c r="B74" s="21" t="s">
        <v>216</v>
      </c>
      <c r="C74" s="21">
        <v>1</v>
      </c>
      <c r="D74" s="57">
        <v>1512000</v>
      </c>
      <c r="E74" s="22" t="s">
        <v>235</v>
      </c>
      <c r="F74" s="100">
        <v>3600000</v>
      </c>
      <c r="G74" s="104">
        <f>Tabla3[[#This Row],[COSTO UNITARIO]]/F74</f>
        <v>0.42</v>
      </c>
      <c r="H74" s="70"/>
      <c r="I74" s="70"/>
    </row>
    <row r="75" spans="1:9" s="13" customFormat="1" x14ac:dyDescent="0.25">
      <c r="A75" s="28">
        <v>44393</v>
      </c>
      <c r="B75" s="23" t="s">
        <v>124</v>
      </c>
      <c r="C75" s="23">
        <v>3</v>
      </c>
      <c r="D75" s="75">
        <v>10800000</v>
      </c>
      <c r="E75" s="24" t="s">
        <v>235</v>
      </c>
      <c r="F75" s="101">
        <v>3600000</v>
      </c>
      <c r="G75" s="105">
        <f>Tabla3[[#This Row],[COSTO UNITARIO]]/F75</f>
        <v>3</v>
      </c>
      <c r="H75" s="70"/>
      <c r="I75" s="70"/>
    </row>
    <row r="76" spans="1:9" s="13" customFormat="1" x14ac:dyDescent="0.25">
      <c r="A76" s="18">
        <v>44394</v>
      </c>
      <c r="B76" s="19" t="s">
        <v>125</v>
      </c>
      <c r="C76" s="19">
        <v>1</v>
      </c>
      <c r="D76" s="58">
        <v>3650000</v>
      </c>
      <c r="E76" s="19" t="s">
        <v>129</v>
      </c>
      <c r="F76" s="99">
        <v>3650000</v>
      </c>
      <c r="G76" s="103">
        <f>Tabla3[[#This Row],[COSTO UNITARIO]]/F76</f>
        <v>1</v>
      </c>
      <c r="H76" s="70"/>
      <c r="I76" s="70"/>
    </row>
    <row r="77" spans="1:9" s="13" customFormat="1" x14ac:dyDescent="0.25">
      <c r="A77" s="25">
        <v>44394</v>
      </c>
      <c r="B77" s="21" t="s">
        <v>137</v>
      </c>
      <c r="C77" s="21">
        <v>1</v>
      </c>
      <c r="D77" s="57">
        <v>6576090.21</v>
      </c>
      <c r="E77" s="21" t="s">
        <v>129</v>
      </c>
      <c r="F77" s="100">
        <v>3650000</v>
      </c>
      <c r="G77" s="104">
        <f>Tabla3[[#This Row],[COSTO UNITARIO]]/F77</f>
        <v>1.8016685506849315</v>
      </c>
      <c r="H77" s="70"/>
      <c r="I77" s="70"/>
    </row>
    <row r="78" spans="1:9" s="13" customFormat="1" x14ac:dyDescent="0.25">
      <c r="A78" s="25">
        <v>44394</v>
      </c>
      <c r="B78" s="21" t="s">
        <v>133</v>
      </c>
      <c r="C78" s="21">
        <v>1</v>
      </c>
      <c r="D78" s="57">
        <v>9928000</v>
      </c>
      <c r="E78" s="21" t="s">
        <v>129</v>
      </c>
      <c r="F78" s="100">
        <v>3650000</v>
      </c>
      <c r="G78" s="104">
        <f>Tabla3[[#This Row],[COSTO UNITARIO]]/F78</f>
        <v>2.72</v>
      </c>
      <c r="H78" s="70"/>
      <c r="I78" s="70"/>
    </row>
    <row r="79" spans="1:9" s="13" customFormat="1" x14ac:dyDescent="0.25">
      <c r="A79" s="25">
        <v>44394</v>
      </c>
      <c r="B79" s="21" t="s">
        <v>216</v>
      </c>
      <c r="C79" s="21">
        <v>1</v>
      </c>
      <c r="D79" s="57">
        <v>1533000</v>
      </c>
      <c r="E79" s="21" t="s">
        <v>122</v>
      </c>
      <c r="F79" s="100">
        <v>3650000</v>
      </c>
      <c r="G79" s="104">
        <f>Tabla3[[#This Row],[COSTO UNITARIO]]/F79</f>
        <v>0.42</v>
      </c>
      <c r="H79" s="70"/>
      <c r="I79" s="70"/>
    </row>
    <row r="80" spans="1:9" s="13" customFormat="1" x14ac:dyDescent="0.25">
      <c r="A80" s="25">
        <v>44394</v>
      </c>
      <c r="B80" s="21" t="s">
        <v>132</v>
      </c>
      <c r="C80" s="21">
        <v>1</v>
      </c>
      <c r="D80" s="57">
        <v>3486960</v>
      </c>
      <c r="E80" s="21" t="s">
        <v>122</v>
      </c>
      <c r="F80" s="100">
        <v>3650000</v>
      </c>
      <c r="G80" s="104">
        <f>Tabla3[[#This Row],[COSTO UNITARIO]]/F80</f>
        <v>0.95533150684931512</v>
      </c>
      <c r="H80" s="70"/>
      <c r="I80" s="70"/>
    </row>
    <row r="81" spans="1:9" s="13" customFormat="1" x14ac:dyDescent="0.25">
      <c r="A81" s="25">
        <v>44394</v>
      </c>
      <c r="B81" s="21" t="s">
        <v>124</v>
      </c>
      <c r="C81" s="21">
        <v>9</v>
      </c>
      <c r="D81" s="76">
        <v>32850000</v>
      </c>
      <c r="E81" s="21" t="s">
        <v>122</v>
      </c>
      <c r="F81" s="100">
        <v>3650000</v>
      </c>
      <c r="G81" s="104">
        <f>Tabla3[[#This Row],[COSTO UNITARIO]]/F81</f>
        <v>9</v>
      </c>
      <c r="H81" s="70"/>
      <c r="I81" s="70"/>
    </row>
    <row r="82" spans="1:9" s="13" customFormat="1" x14ac:dyDescent="0.25">
      <c r="A82" s="25">
        <v>44394</v>
      </c>
      <c r="B82" s="21" t="s">
        <v>133</v>
      </c>
      <c r="C82" s="21">
        <v>1</v>
      </c>
      <c r="D82" s="57">
        <v>9928000</v>
      </c>
      <c r="E82" s="21" t="s">
        <v>122</v>
      </c>
      <c r="F82" s="100">
        <v>3650000</v>
      </c>
      <c r="G82" s="104">
        <f>Tabla3[[#This Row],[COSTO UNITARIO]]/F82</f>
        <v>2.72</v>
      </c>
      <c r="H82" s="70"/>
      <c r="I82" s="70"/>
    </row>
    <row r="83" spans="1:9" s="13" customFormat="1" x14ac:dyDescent="0.25">
      <c r="A83" s="25">
        <v>44394</v>
      </c>
      <c r="B83" s="21" t="s">
        <v>191</v>
      </c>
      <c r="C83" s="21">
        <v>2</v>
      </c>
      <c r="D83" s="57">
        <v>7300000</v>
      </c>
      <c r="E83" s="21" t="s">
        <v>122</v>
      </c>
      <c r="F83" s="100">
        <v>3650000</v>
      </c>
      <c r="G83" s="104">
        <f>Tabla3[[#This Row],[COSTO UNITARIO]]/F83</f>
        <v>2</v>
      </c>
      <c r="H83" s="70"/>
      <c r="I83" s="70"/>
    </row>
    <row r="84" spans="1:9" s="13" customFormat="1" x14ac:dyDescent="0.25">
      <c r="A84" s="25">
        <v>44394</v>
      </c>
      <c r="B84" s="21" t="s">
        <v>219</v>
      </c>
      <c r="C84" s="21">
        <v>1</v>
      </c>
      <c r="D84" s="57">
        <v>1028062.5</v>
      </c>
      <c r="E84" s="21" t="s">
        <v>235</v>
      </c>
      <c r="F84" s="100">
        <v>3650000</v>
      </c>
      <c r="G84" s="104">
        <f>Tabla3[[#This Row],[COSTO UNITARIO]]/F84</f>
        <v>0.28166095890410958</v>
      </c>
      <c r="H84" s="70"/>
      <c r="I84" s="70"/>
    </row>
    <row r="85" spans="1:9" s="13" customFormat="1" x14ac:dyDescent="0.25">
      <c r="A85" s="25">
        <v>44394</v>
      </c>
      <c r="B85" s="21" t="s">
        <v>221</v>
      </c>
      <c r="C85" s="21">
        <v>1</v>
      </c>
      <c r="D85" s="57">
        <v>572742.86</v>
      </c>
      <c r="E85" s="21" t="s">
        <v>235</v>
      </c>
      <c r="F85" s="100">
        <v>3650000</v>
      </c>
      <c r="G85" s="104">
        <f>Tabla3[[#This Row],[COSTO UNITARIO]]/F85</f>
        <v>0.15691585205479452</v>
      </c>
      <c r="H85" s="70"/>
      <c r="I85" s="70"/>
    </row>
    <row r="86" spans="1:9" s="13" customFormat="1" x14ac:dyDescent="0.25">
      <c r="A86" s="28">
        <v>44394</v>
      </c>
      <c r="B86" s="23" t="s">
        <v>222</v>
      </c>
      <c r="C86" s="23">
        <v>1</v>
      </c>
      <c r="D86" s="59">
        <v>5940220.4100000001</v>
      </c>
      <c r="E86" s="21" t="s">
        <v>235</v>
      </c>
      <c r="F86" s="101">
        <v>3650000</v>
      </c>
      <c r="G86" s="105">
        <f>Tabla3[[#This Row],[COSTO UNITARIO]]/F86</f>
        <v>1.6274576465753425</v>
      </c>
      <c r="H86" s="70"/>
      <c r="I86" s="70"/>
    </row>
    <row r="87" spans="1:9" s="13" customFormat="1" x14ac:dyDescent="0.25">
      <c r="A87" s="18">
        <v>44395</v>
      </c>
      <c r="B87" s="19" t="s">
        <v>212</v>
      </c>
      <c r="C87" s="19">
        <v>10</v>
      </c>
      <c r="D87" s="77">
        <v>5647562.5</v>
      </c>
      <c r="E87" s="19" t="s">
        <v>122</v>
      </c>
      <c r="F87" s="99">
        <v>3650000</v>
      </c>
      <c r="G87" s="103">
        <f>Tabla3[[#This Row],[COSTO UNITARIO]]/F87</f>
        <v>1.547277397260274</v>
      </c>
      <c r="H87" s="70"/>
      <c r="I87" s="70"/>
    </row>
    <row r="88" spans="1:9" s="13" customFormat="1" x14ac:dyDescent="0.25">
      <c r="A88" s="25">
        <v>44395</v>
      </c>
      <c r="B88" s="21" t="s">
        <v>124</v>
      </c>
      <c r="C88" s="21">
        <v>9</v>
      </c>
      <c r="D88" s="76">
        <v>32850000</v>
      </c>
      <c r="E88" s="21" t="s">
        <v>122</v>
      </c>
      <c r="F88" s="100">
        <v>3650000</v>
      </c>
      <c r="G88" s="104">
        <f>Tabla3[[#This Row],[COSTO UNITARIO]]/F88</f>
        <v>9</v>
      </c>
      <c r="H88" s="70"/>
      <c r="I88" s="70"/>
    </row>
    <row r="89" spans="1:9" s="13" customFormat="1" x14ac:dyDescent="0.25">
      <c r="A89" s="25">
        <v>44395</v>
      </c>
      <c r="B89" s="21" t="s">
        <v>125</v>
      </c>
      <c r="C89" s="21">
        <v>2</v>
      </c>
      <c r="D89" s="76">
        <v>7300000</v>
      </c>
      <c r="E89" s="21" t="s">
        <v>122</v>
      </c>
      <c r="F89" s="100">
        <v>3650000</v>
      </c>
      <c r="G89" s="104">
        <f>Tabla3[[#This Row],[COSTO UNITARIO]]/F89</f>
        <v>2</v>
      </c>
      <c r="H89" s="70"/>
      <c r="I89" s="70"/>
    </row>
    <row r="90" spans="1:9" s="13" customFormat="1" x14ac:dyDescent="0.25">
      <c r="A90" s="25">
        <v>44395</v>
      </c>
      <c r="B90" s="21" t="s">
        <v>134</v>
      </c>
      <c r="C90" s="21"/>
      <c r="D90" s="57">
        <v>160285.71</v>
      </c>
      <c r="E90" s="21" t="s">
        <v>122</v>
      </c>
      <c r="F90" s="100">
        <v>3650000</v>
      </c>
      <c r="G90" s="104">
        <f>Tabla3[[#This Row],[COSTO UNITARIO]]/F90</f>
        <v>4.3913893150684932E-2</v>
      </c>
      <c r="H90" s="70"/>
      <c r="I90" s="70"/>
    </row>
    <row r="91" spans="1:9" s="13" customFormat="1" x14ac:dyDescent="0.25">
      <c r="A91" s="25">
        <v>44395</v>
      </c>
      <c r="B91" s="21" t="s">
        <v>191</v>
      </c>
      <c r="C91" s="21">
        <v>1</v>
      </c>
      <c r="D91" s="57">
        <v>3650000</v>
      </c>
      <c r="E91" s="21" t="s">
        <v>122</v>
      </c>
      <c r="F91" s="101">
        <v>3650000</v>
      </c>
      <c r="G91" s="105">
        <f>Tabla3[[#This Row],[COSTO UNITARIO]]/F91</f>
        <v>1</v>
      </c>
      <c r="H91" s="70"/>
      <c r="I91" s="70"/>
    </row>
    <row r="92" spans="1:9" x14ac:dyDescent="0.25">
      <c r="A92" s="18">
        <v>44396</v>
      </c>
      <c r="B92" s="19" t="s">
        <v>212</v>
      </c>
      <c r="C92" s="19">
        <v>1</v>
      </c>
      <c r="D92" s="58">
        <v>564756.25</v>
      </c>
      <c r="E92" s="19" t="s">
        <v>129</v>
      </c>
      <c r="F92" s="99">
        <v>3650000</v>
      </c>
      <c r="G92" s="103">
        <f>Tabla3[[#This Row],[COSTO UNITARIO]]/F92</f>
        <v>0.15472773972602741</v>
      </c>
      <c r="H92" s="70"/>
      <c r="I92" s="70"/>
    </row>
    <row r="93" spans="1:9" x14ac:dyDescent="0.25">
      <c r="A93" s="25">
        <v>44396</v>
      </c>
      <c r="B93" s="21" t="s">
        <v>140</v>
      </c>
      <c r="C93" s="21">
        <v>1</v>
      </c>
      <c r="D93" s="57">
        <v>2325571.42</v>
      </c>
      <c r="E93" s="21" t="s">
        <v>129</v>
      </c>
      <c r="F93" s="100">
        <v>3650000</v>
      </c>
      <c r="G93" s="104">
        <f>Tabla3[[#This Row],[COSTO UNITARIO]]/F93</f>
        <v>0.63714285479452049</v>
      </c>
      <c r="H93" s="70"/>
      <c r="I93" s="70"/>
    </row>
    <row r="94" spans="1:9" x14ac:dyDescent="0.25">
      <c r="A94" s="25">
        <v>44396</v>
      </c>
      <c r="B94" s="21" t="s">
        <v>216</v>
      </c>
      <c r="C94" s="21">
        <v>1</v>
      </c>
      <c r="D94" s="57">
        <v>1533000</v>
      </c>
      <c r="E94" s="21" t="s">
        <v>122</v>
      </c>
      <c r="F94" s="100">
        <v>3650000</v>
      </c>
      <c r="G94" s="104">
        <f>Tabla3[[#This Row],[COSTO UNITARIO]]/F94</f>
        <v>0.42</v>
      </c>
      <c r="H94" s="70"/>
      <c r="I94" s="70"/>
    </row>
    <row r="95" spans="1:9" x14ac:dyDescent="0.25">
      <c r="A95" s="28">
        <v>44396</v>
      </c>
      <c r="B95" s="23" t="s">
        <v>124</v>
      </c>
      <c r="C95" s="23">
        <v>1</v>
      </c>
      <c r="D95" s="59">
        <v>3650000</v>
      </c>
      <c r="E95" s="23" t="s">
        <v>122</v>
      </c>
      <c r="F95" s="101">
        <v>3650000</v>
      </c>
      <c r="G95" s="105">
        <f>Tabla3[[#This Row],[COSTO UNITARIO]]/F95</f>
        <v>1</v>
      </c>
      <c r="H95" s="70"/>
      <c r="I95" s="70"/>
    </row>
    <row r="96" spans="1:9" x14ac:dyDescent="0.25">
      <c r="A96" s="25">
        <v>44397</v>
      </c>
      <c r="B96" s="21" t="s">
        <v>216</v>
      </c>
      <c r="C96" s="21">
        <v>1</v>
      </c>
      <c r="D96" s="57">
        <v>1575000</v>
      </c>
      <c r="E96" s="21" t="s">
        <v>122</v>
      </c>
      <c r="F96" s="99">
        <v>3750000</v>
      </c>
      <c r="G96" s="103">
        <f>Tabla3[[#This Row],[COSTO UNITARIO]]/F96</f>
        <v>0.42</v>
      </c>
      <c r="H96" s="70"/>
      <c r="I96" s="70"/>
    </row>
    <row r="97" spans="1:9" x14ac:dyDescent="0.25">
      <c r="A97" s="25">
        <v>44397</v>
      </c>
      <c r="B97" s="21" t="s">
        <v>212</v>
      </c>
      <c r="C97" s="21">
        <v>2</v>
      </c>
      <c r="D97" s="76">
        <v>1129512.5</v>
      </c>
      <c r="E97" s="21" t="s">
        <v>235</v>
      </c>
      <c r="F97" s="100">
        <v>3750000</v>
      </c>
      <c r="G97" s="104">
        <f>Tabla3[[#This Row],[COSTO UNITARIO]]/F97</f>
        <v>0.30120333333333332</v>
      </c>
      <c r="H97" s="70"/>
      <c r="I97" s="70"/>
    </row>
    <row r="98" spans="1:9" x14ac:dyDescent="0.25">
      <c r="A98" s="25">
        <v>44397</v>
      </c>
      <c r="B98" s="21" t="s">
        <v>124</v>
      </c>
      <c r="C98" s="21">
        <v>3</v>
      </c>
      <c r="D98" s="76">
        <v>11250000</v>
      </c>
      <c r="E98" s="21" t="s">
        <v>235</v>
      </c>
      <c r="F98" s="100">
        <v>3750000</v>
      </c>
      <c r="G98" s="104">
        <f>Tabla3[[#This Row],[COSTO UNITARIO]]/F98</f>
        <v>3</v>
      </c>
      <c r="H98" s="70"/>
      <c r="I98" s="70"/>
    </row>
    <row r="99" spans="1:9" x14ac:dyDescent="0.25">
      <c r="A99" s="25">
        <v>44397</v>
      </c>
      <c r="B99" s="21" t="s">
        <v>125</v>
      </c>
      <c r="C99" s="21">
        <v>3</v>
      </c>
      <c r="D99" s="76">
        <v>11250000</v>
      </c>
      <c r="E99" s="21" t="s">
        <v>235</v>
      </c>
      <c r="F99" s="100">
        <v>3750000</v>
      </c>
      <c r="G99" s="104">
        <f>Tabla3[[#This Row],[COSTO UNITARIO]]/F99</f>
        <v>3</v>
      </c>
      <c r="H99" s="70"/>
      <c r="I99" s="70"/>
    </row>
    <row r="100" spans="1:9" x14ac:dyDescent="0.25">
      <c r="A100" s="28">
        <v>44397</v>
      </c>
      <c r="B100" s="23" t="s">
        <v>126</v>
      </c>
      <c r="C100" s="23">
        <v>1</v>
      </c>
      <c r="D100" s="59">
        <v>2325571.42</v>
      </c>
      <c r="E100" s="21" t="s">
        <v>235</v>
      </c>
      <c r="F100" s="101">
        <v>3750000</v>
      </c>
      <c r="G100" s="105">
        <f>Tabla3[[#This Row],[COSTO UNITARIO]]/F100</f>
        <v>0.62015237866666661</v>
      </c>
      <c r="H100" s="70"/>
      <c r="I100" s="70"/>
    </row>
    <row r="101" spans="1:9" x14ac:dyDescent="0.25">
      <c r="A101" s="18">
        <v>44398</v>
      </c>
      <c r="B101" s="19" t="s">
        <v>186</v>
      </c>
      <c r="C101" s="19">
        <v>5</v>
      </c>
      <c r="D101" s="77">
        <v>13475000</v>
      </c>
      <c r="E101" s="19" t="s">
        <v>122</v>
      </c>
      <c r="F101" s="99">
        <v>3850000</v>
      </c>
      <c r="G101" s="103">
        <f>Tabla3[[#This Row],[COSTO UNITARIO]]/F101</f>
        <v>3.5</v>
      </c>
      <c r="H101" s="70"/>
      <c r="I101" s="70"/>
    </row>
    <row r="102" spans="1:9" x14ac:dyDescent="0.25">
      <c r="A102" s="25">
        <v>44398</v>
      </c>
      <c r="B102" s="21" t="s">
        <v>212</v>
      </c>
      <c r="C102" s="21">
        <v>1</v>
      </c>
      <c r="D102" s="57">
        <v>564756.25</v>
      </c>
      <c r="E102" s="21" t="s">
        <v>122</v>
      </c>
      <c r="F102" s="100">
        <v>3850000</v>
      </c>
      <c r="G102" s="104">
        <f>Tabla3[[#This Row],[COSTO UNITARIO]]/F102</f>
        <v>0.14668993506493508</v>
      </c>
      <c r="H102" s="70"/>
      <c r="I102" s="70"/>
    </row>
    <row r="103" spans="1:9" x14ac:dyDescent="0.25">
      <c r="A103" s="25">
        <v>44398</v>
      </c>
      <c r="B103" s="21" t="s">
        <v>124</v>
      </c>
      <c r="C103" s="21">
        <v>5</v>
      </c>
      <c r="D103" s="76">
        <v>19250000</v>
      </c>
      <c r="E103" s="21" t="s">
        <v>122</v>
      </c>
      <c r="F103" s="100">
        <v>3850000</v>
      </c>
      <c r="G103" s="104">
        <f>Tabla3[[#This Row],[COSTO UNITARIO]]/F103</f>
        <v>5</v>
      </c>
      <c r="H103" s="70"/>
      <c r="I103" s="70"/>
    </row>
    <row r="104" spans="1:9" x14ac:dyDescent="0.25">
      <c r="A104" s="25">
        <v>44398</v>
      </c>
      <c r="B104" s="21" t="s">
        <v>224</v>
      </c>
      <c r="C104" s="21">
        <v>1</v>
      </c>
      <c r="D104" s="57">
        <v>14831110.6</v>
      </c>
      <c r="E104" s="21" t="s">
        <v>130</v>
      </c>
      <c r="F104" s="100">
        <v>3850000</v>
      </c>
      <c r="G104" s="104">
        <f>Tabla3[[#This Row],[COSTO UNITARIO]]/F104</f>
        <v>3.8522365194805195</v>
      </c>
      <c r="H104" s="70"/>
      <c r="I104" s="70"/>
    </row>
    <row r="105" spans="1:9" x14ac:dyDescent="0.25">
      <c r="A105" s="25">
        <v>44398</v>
      </c>
      <c r="B105" s="21" t="s">
        <v>125</v>
      </c>
      <c r="C105" s="21"/>
      <c r="D105" s="57">
        <v>3850000</v>
      </c>
      <c r="E105" s="21" t="s">
        <v>235</v>
      </c>
      <c r="F105" s="100">
        <v>3850000</v>
      </c>
      <c r="G105" s="104">
        <f>Tabla3[[#This Row],[COSTO UNITARIO]]/F105</f>
        <v>1</v>
      </c>
      <c r="H105" s="70"/>
      <c r="I105" s="70"/>
    </row>
    <row r="106" spans="1:9" x14ac:dyDescent="0.25">
      <c r="A106" s="28">
        <v>44398</v>
      </c>
      <c r="B106" s="23" t="s">
        <v>225</v>
      </c>
      <c r="C106" s="23">
        <v>1</v>
      </c>
      <c r="D106" s="59">
        <v>2325571.42</v>
      </c>
      <c r="E106" s="21" t="s">
        <v>235</v>
      </c>
      <c r="F106" s="101">
        <v>3850000</v>
      </c>
      <c r="G106" s="105">
        <f>Tabla3[[#This Row],[COSTO UNITARIO]]/F106</f>
        <v>0.60404452467532466</v>
      </c>
      <c r="H106" s="70"/>
      <c r="I106" s="70"/>
    </row>
    <row r="107" spans="1:9" x14ac:dyDescent="0.25">
      <c r="A107" s="18">
        <v>44399</v>
      </c>
      <c r="B107" s="19" t="s">
        <v>124</v>
      </c>
      <c r="C107" s="19">
        <v>1</v>
      </c>
      <c r="D107" s="58">
        <v>3950000</v>
      </c>
      <c r="E107" s="19" t="s">
        <v>129</v>
      </c>
      <c r="F107" s="99">
        <v>3950000</v>
      </c>
      <c r="G107" s="103">
        <f>Tabla3[[#This Row],[COSTO UNITARIO]]/F107</f>
        <v>1</v>
      </c>
      <c r="H107" s="70"/>
      <c r="I107" s="70"/>
    </row>
    <row r="108" spans="1:9" x14ac:dyDescent="0.25">
      <c r="A108" s="25">
        <v>44399</v>
      </c>
      <c r="B108" s="21" t="s">
        <v>226</v>
      </c>
      <c r="C108" s="21">
        <v>1</v>
      </c>
      <c r="D108" s="57">
        <v>23224330.699999999</v>
      </c>
      <c r="E108" s="21" t="s">
        <v>129</v>
      </c>
      <c r="F108" s="100">
        <v>3950000</v>
      </c>
      <c r="G108" s="104">
        <f>Tabla3[[#This Row],[COSTO UNITARIO]]/F108</f>
        <v>5.8795773924050634</v>
      </c>
      <c r="H108" s="70"/>
      <c r="I108" s="70"/>
    </row>
    <row r="109" spans="1:9" x14ac:dyDescent="0.25">
      <c r="A109" s="25">
        <v>44399</v>
      </c>
      <c r="B109" s="21" t="s">
        <v>216</v>
      </c>
      <c r="C109" s="21">
        <v>1</v>
      </c>
      <c r="D109" s="57">
        <v>1659000</v>
      </c>
      <c r="E109" s="21" t="s">
        <v>122</v>
      </c>
      <c r="F109" s="100">
        <v>3950000</v>
      </c>
      <c r="G109" s="104">
        <f>Tabla3[[#This Row],[COSTO UNITARIO]]/F109</f>
        <v>0.42</v>
      </c>
      <c r="H109" s="70"/>
      <c r="I109" s="70"/>
    </row>
    <row r="110" spans="1:9" x14ac:dyDescent="0.25">
      <c r="A110" s="25">
        <v>44399</v>
      </c>
      <c r="B110" s="21" t="s">
        <v>191</v>
      </c>
      <c r="C110" s="21">
        <v>1</v>
      </c>
      <c r="D110" s="57">
        <v>3950000</v>
      </c>
      <c r="E110" s="21" t="s">
        <v>122</v>
      </c>
      <c r="F110" s="100">
        <v>3950000</v>
      </c>
      <c r="G110" s="104">
        <f>Tabla3[[#This Row],[COSTO UNITARIO]]/F110</f>
        <v>1</v>
      </c>
      <c r="H110" s="70"/>
      <c r="I110" s="70"/>
    </row>
    <row r="111" spans="1:9" x14ac:dyDescent="0.25">
      <c r="A111" s="25">
        <v>44399</v>
      </c>
      <c r="B111" s="21" t="s">
        <v>216</v>
      </c>
      <c r="C111" s="21">
        <v>2</v>
      </c>
      <c r="D111" s="57">
        <v>1659000</v>
      </c>
      <c r="E111" s="21" t="s">
        <v>235</v>
      </c>
      <c r="F111" s="100">
        <v>3950000</v>
      </c>
      <c r="G111" s="104">
        <f>Tabla3[[#This Row],[COSTO UNITARIO]]/F111</f>
        <v>0.42</v>
      </c>
      <c r="H111" s="70"/>
      <c r="I111" s="70"/>
    </row>
    <row r="112" spans="1:9" x14ac:dyDescent="0.25">
      <c r="A112" s="25">
        <v>44399</v>
      </c>
      <c r="B112" s="21" t="s">
        <v>212</v>
      </c>
      <c r="C112" s="21">
        <v>1</v>
      </c>
      <c r="D112" s="57">
        <v>564756.25</v>
      </c>
      <c r="E112" s="21" t="s">
        <v>235</v>
      </c>
      <c r="F112" s="100">
        <v>3950000</v>
      </c>
      <c r="G112" s="104">
        <f>Tabla3[[#This Row],[COSTO UNITARIO]]/F112</f>
        <v>0.1429762658227848</v>
      </c>
      <c r="H112" s="70"/>
      <c r="I112" s="70"/>
    </row>
    <row r="113" spans="1:9" x14ac:dyDescent="0.25">
      <c r="A113" s="25">
        <v>44399</v>
      </c>
      <c r="B113" s="21" t="s">
        <v>127</v>
      </c>
      <c r="C113" s="21">
        <v>1</v>
      </c>
      <c r="D113" s="57">
        <v>6641250</v>
      </c>
      <c r="E113" s="21" t="s">
        <v>235</v>
      </c>
      <c r="F113" s="100">
        <v>3950000</v>
      </c>
      <c r="G113" s="104">
        <f>Tabla3[[#This Row],[COSTO UNITARIO]]/F113</f>
        <v>1.6813291139240507</v>
      </c>
      <c r="H113" s="70"/>
      <c r="I113" s="70"/>
    </row>
    <row r="114" spans="1:9" x14ac:dyDescent="0.25">
      <c r="A114" s="28">
        <v>44399</v>
      </c>
      <c r="B114" s="23" t="s">
        <v>191</v>
      </c>
      <c r="C114" s="23">
        <v>2</v>
      </c>
      <c r="D114" s="59">
        <v>7900000</v>
      </c>
      <c r="E114" s="21" t="s">
        <v>235</v>
      </c>
      <c r="F114" s="101">
        <v>3950000</v>
      </c>
      <c r="G114" s="105">
        <f>Tabla3[[#This Row],[COSTO UNITARIO]]/F114</f>
        <v>2</v>
      </c>
      <c r="H114" s="70"/>
      <c r="I114" s="70"/>
    </row>
    <row r="115" spans="1:9" x14ac:dyDescent="0.25">
      <c r="A115" s="18">
        <v>44400</v>
      </c>
      <c r="B115" s="19" t="s">
        <v>125</v>
      </c>
      <c r="C115" s="19">
        <v>1</v>
      </c>
      <c r="D115" s="58">
        <v>4050000</v>
      </c>
      <c r="E115" s="19" t="s">
        <v>129</v>
      </c>
      <c r="F115" s="99">
        <v>4050000</v>
      </c>
      <c r="G115" s="103">
        <f>Tabla3[[#This Row],[COSTO UNITARIO]]/F115</f>
        <v>1</v>
      </c>
      <c r="H115" s="70"/>
      <c r="I115" s="70"/>
    </row>
    <row r="116" spans="1:9" x14ac:dyDescent="0.25">
      <c r="A116" s="25">
        <v>44400</v>
      </c>
      <c r="B116" s="21" t="s">
        <v>132</v>
      </c>
      <c r="C116" s="21">
        <v>1</v>
      </c>
      <c r="D116" s="57">
        <v>4290000</v>
      </c>
      <c r="E116" s="21" t="s">
        <v>122</v>
      </c>
      <c r="F116" s="100">
        <v>4050000</v>
      </c>
      <c r="G116" s="104">
        <f>Tabla3[[#This Row],[COSTO UNITARIO]]/F116</f>
        <v>1.0592592592592593</v>
      </c>
      <c r="H116" s="70"/>
      <c r="I116" s="70"/>
    </row>
    <row r="117" spans="1:9" x14ac:dyDescent="0.25">
      <c r="A117" s="25">
        <v>44400</v>
      </c>
      <c r="B117" s="21" t="s">
        <v>212</v>
      </c>
      <c r="C117" s="21">
        <v>1</v>
      </c>
      <c r="D117" s="57">
        <v>564756.25</v>
      </c>
      <c r="E117" s="21" t="s">
        <v>122</v>
      </c>
      <c r="F117" s="100">
        <v>4050000</v>
      </c>
      <c r="G117" s="104">
        <f>Tabla3[[#This Row],[COSTO UNITARIO]]/F117</f>
        <v>0.13944598765432098</v>
      </c>
      <c r="H117" s="70"/>
      <c r="I117" s="70"/>
    </row>
    <row r="118" spans="1:9" x14ac:dyDescent="0.25">
      <c r="A118" s="25">
        <v>44400</v>
      </c>
      <c r="B118" s="21" t="s">
        <v>124</v>
      </c>
      <c r="C118" s="21">
        <v>2</v>
      </c>
      <c r="D118" s="76">
        <v>8100000</v>
      </c>
      <c r="E118" s="21" t="s">
        <v>122</v>
      </c>
      <c r="F118" s="100">
        <v>4050000</v>
      </c>
      <c r="G118" s="104">
        <f>Tabla3[[#This Row],[COSTO UNITARIO]]/F118</f>
        <v>2</v>
      </c>
      <c r="H118" s="70"/>
      <c r="I118" s="70"/>
    </row>
    <row r="119" spans="1:9" x14ac:dyDescent="0.25">
      <c r="A119" s="25">
        <v>44400</v>
      </c>
      <c r="B119" s="21" t="s">
        <v>191</v>
      </c>
      <c r="C119" s="21">
        <v>3</v>
      </c>
      <c r="D119" s="57">
        <v>12150000</v>
      </c>
      <c r="E119" s="21" t="s">
        <v>122</v>
      </c>
      <c r="F119" s="100">
        <v>4050000</v>
      </c>
      <c r="G119" s="104">
        <f>Tabla3[[#This Row],[COSTO UNITARIO]]/F119</f>
        <v>3</v>
      </c>
      <c r="H119" s="70"/>
      <c r="I119" s="70"/>
    </row>
    <row r="120" spans="1:9" x14ac:dyDescent="0.25">
      <c r="A120" s="25">
        <v>44400</v>
      </c>
      <c r="B120" s="21" t="s">
        <v>212</v>
      </c>
      <c r="C120" s="21">
        <v>1</v>
      </c>
      <c r="D120" s="57">
        <v>564756.25</v>
      </c>
      <c r="E120" s="21" t="s">
        <v>235</v>
      </c>
      <c r="F120" s="100">
        <v>4050000</v>
      </c>
      <c r="G120" s="104">
        <f>Tabla3[[#This Row],[COSTO UNITARIO]]/F120</f>
        <v>0.13944598765432098</v>
      </c>
      <c r="H120" s="70"/>
      <c r="I120" s="70"/>
    </row>
    <row r="121" spans="1:9" x14ac:dyDescent="0.25">
      <c r="A121" s="28">
        <v>44400</v>
      </c>
      <c r="B121" s="23" t="s">
        <v>186</v>
      </c>
      <c r="C121" s="23">
        <v>1</v>
      </c>
      <c r="D121" s="59">
        <v>2835000</v>
      </c>
      <c r="E121" s="23" t="s">
        <v>130</v>
      </c>
      <c r="F121" s="101">
        <v>4050000</v>
      </c>
      <c r="G121" s="105">
        <f>Tabla3[[#This Row],[COSTO UNITARIO]]/F121</f>
        <v>0.7</v>
      </c>
      <c r="H121" s="70"/>
      <c r="I121" s="70"/>
    </row>
    <row r="122" spans="1:9" x14ac:dyDescent="0.25">
      <c r="A122" s="63">
        <v>44401</v>
      </c>
      <c r="B122" s="19" t="s">
        <v>128</v>
      </c>
      <c r="C122" s="19">
        <v>1</v>
      </c>
      <c r="D122" s="58">
        <v>21060000</v>
      </c>
      <c r="E122" s="19" t="s">
        <v>129</v>
      </c>
      <c r="F122" s="99">
        <v>4050000</v>
      </c>
      <c r="G122" s="103">
        <f>Tabla3[[#This Row],[COSTO UNITARIO]]/F122</f>
        <v>5.2</v>
      </c>
      <c r="H122" s="70"/>
      <c r="I122" s="70"/>
    </row>
    <row r="123" spans="1:9" x14ac:dyDescent="0.25">
      <c r="A123" s="72">
        <v>44401</v>
      </c>
      <c r="B123" s="21" t="s">
        <v>219</v>
      </c>
      <c r="C123" s="21">
        <v>1</v>
      </c>
      <c r="D123" s="57">
        <v>1299491.25</v>
      </c>
      <c r="E123" s="21" t="s">
        <v>122</v>
      </c>
      <c r="F123" s="100">
        <v>4050000</v>
      </c>
      <c r="G123" s="104">
        <f>Tabla3[[#This Row],[COSTO UNITARIO]]/F123</f>
        <v>0.32086203703703703</v>
      </c>
      <c r="H123" s="70"/>
      <c r="I123" s="70"/>
    </row>
    <row r="124" spans="1:9" x14ac:dyDescent="0.25">
      <c r="A124" s="72">
        <v>44401</v>
      </c>
      <c r="B124" s="21" t="s">
        <v>216</v>
      </c>
      <c r="C124" s="21">
        <v>1</v>
      </c>
      <c r="D124" s="57">
        <v>1701000</v>
      </c>
      <c r="E124" s="21" t="s">
        <v>122</v>
      </c>
      <c r="F124" s="100">
        <v>4050000</v>
      </c>
      <c r="G124" s="104">
        <f>Tabla3[[#This Row],[COSTO UNITARIO]]/F124</f>
        <v>0.42</v>
      </c>
      <c r="H124" s="70"/>
      <c r="I124" s="70"/>
    </row>
    <row r="125" spans="1:9" s="13" customFormat="1" x14ac:dyDescent="0.25">
      <c r="A125" s="72">
        <v>44401</v>
      </c>
      <c r="B125" s="21" t="s">
        <v>132</v>
      </c>
      <c r="C125" s="21">
        <v>3</v>
      </c>
      <c r="D125" s="76">
        <v>12870000</v>
      </c>
      <c r="E125" s="21" t="s">
        <v>122</v>
      </c>
      <c r="F125" s="100">
        <v>4050000</v>
      </c>
      <c r="G125" s="104">
        <f>Tabla3[[#This Row],[COSTO UNITARIO]]/F125</f>
        <v>3.1777777777777776</v>
      </c>
      <c r="H125" s="70"/>
      <c r="I125" s="70"/>
    </row>
    <row r="126" spans="1:9" s="13" customFormat="1" x14ac:dyDescent="0.25">
      <c r="A126" s="72">
        <v>44401</v>
      </c>
      <c r="B126" s="21" t="s">
        <v>124</v>
      </c>
      <c r="C126" s="21">
        <v>5</v>
      </c>
      <c r="D126" s="76">
        <v>20250000</v>
      </c>
      <c r="E126" s="21" t="s">
        <v>122</v>
      </c>
      <c r="F126" s="100">
        <v>4050000</v>
      </c>
      <c r="G126" s="104">
        <f>Tabla3[[#This Row],[COSTO UNITARIO]]/F126</f>
        <v>5</v>
      </c>
      <c r="H126" s="70"/>
      <c r="I126" s="70"/>
    </row>
    <row r="127" spans="1:9" x14ac:dyDescent="0.25">
      <c r="A127" s="72">
        <v>44401</v>
      </c>
      <c r="B127" s="21" t="s">
        <v>227</v>
      </c>
      <c r="C127" s="21">
        <v>3</v>
      </c>
      <c r="D127" s="76">
        <v>7904647.0800000001</v>
      </c>
      <c r="E127" s="21" t="s">
        <v>122</v>
      </c>
      <c r="F127" s="100">
        <v>4050000</v>
      </c>
      <c r="G127" s="104">
        <f>Tabla3[[#This Row],[COSTO UNITARIO]]/F127</f>
        <v>1.9517647111111112</v>
      </c>
      <c r="H127" s="70"/>
      <c r="I127" s="70"/>
    </row>
    <row r="128" spans="1:9" x14ac:dyDescent="0.25">
      <c r="A128" s="72">
        <v>44401</v>
      </c>
      <c r="B128" s="21" t="s">
        <v>191</v>
      </c>
      <c r="C128" s="21">
        <v>5</v>
      </c>
      <c r="D128" s="57">
        <v>20250000</v>
      </c>
      <c r="E128" s="21" t="s">
        <v>122</v>
      </c>
      <c r="F128" s="100">
        <v>4050000</v>
      </c>
      <c r="G128" s="104">
        <f>Tabla3[[#This Row],[COSTO UNITARIO]]/F128</f>
        <v>5</v>
      </c>
      <c r="H128" s="70"/>
      <c r="I128" s="70"/>
    </row>
    <row r="129" spans="1:9" x14ac:dyDescent="0.25">
      <c r="A129" s="72">
        <v>44401</v>
      </c>
      <c r="B129" s="21" t="s">
        <v>186</v>
      </c>
      <c r="C129" s="21">
        <v>3</v>
      </c>
      <c r="D129" s="76">
        <v>8505000</v>
      </c>
      <c r="E129" s="21" t="s">
        <v>130</v>
      </c>
      <c r="F129" s="100">
        <v>4050000</v>
      </c>
      <c r="G129" s="104">
        <f>Tabla3[[#This Row],[COSTO UNITARIO]]/F129</f>
        <v>2.1</v>
      </c>
      <c r="H129" s="70"/>
      <c r="I129" s="44"/>
    </row>
    <row r="130" spans="1:9" x14ac:dyDescent="0.25">
      <c r="A130" s="72">
        <v>44401</v>
      </c>
      <c r="B130" s="21" t="s">
        <v>124</v>
      </c>
      <c r="C130" s="21">
        <v>1</v>
      </c>
      <c r="D130" s="57">
        <v>4050000</v>
      </c>
      <c r="E130" s="21" t="s">
        <v>130</v>
      </c>
      <c r="F130" s="100">
        <v>4050000</v>
      </c>
      <c r="G130" s="104">
        <f>Tabla3[[#This Row],[COSTO UNITARIO]]/F130</f>
        <v>1</v>
      </c>
      <c r="H130" s="70"/>
      <c r="I130" s="70"/>
    </row>
    <row r="131" spans="1:9" x14ac:dyDescent="0.25">
      <c r="A131" s="73">
        <v>44401</v>
      </c>
      <c r="B131" s="23" t="s">
        <v>131</v>
      </c>
      <c r="C131" s="23">
        <v>1</v>
      </c>
      <c r="D131" s="59">
        <v>503232.6</v>
      </c>
      <c r="E131" s="23" t="s">
        <v>130</v>
      </c>
      <c r="F131" s="101">
        <v>4050000</v>
      </c>
      <c r="G131" s="105">
        <f>Tabla3[[#This Row],[COSTO UNITARIO]]/F131</f>
        <v>0.12425496296296296</v>
      </c>
      <c r="H131" s="70"/>
      <c r="I131" s="70"/>
    </row>
    <row r="132" spans="1:9" x14ac:dyDescent="0.25">
      <c r="A132" s="63">
        <v>44402</v>
      </c>
      <c r="B132" s="19" t="s">
        <v>125</v>
      </c>
      <c r="C132" s="19">
        <v>1</v>
      </c>
      <c r="D132" s="58">
        <v>4250000</v>
      </c>
      <c r="E132" s="19" t="s">
        <v>129</v>
      </c>
      <c r="F132" s="99">
        <v>4050000</v>
      </c>
      <c r="G132" s="103">
        <f>Tabla3[[#This Row],[COSTO UNITARIO]]/F132</f>
        <v>1.0493827160493827</v>
      </c>
      <c r="H132" s="70"/>
      <c r="I132" s="70"/>
    </row>
    <row r="133" spans="1:9" x14ac:dyDescent="0.25">
      <c r="A133" s="72">
        <v>44402</v>
      </c>
      <c r="B133" s="21" t="s">
        <v>133</v>
      </c>
      <c r="C133" s="21">
        <v>1</v>
      </c>
      <c r="D133" s="57">
        <v>4715625</v>
      </c>
      <c r="E133" s="21" t="s">
        <v>122</v>
      </c>
      <c r="F133" s="100">
        <v>4050000</v>
      </c>
      <c r="G133" s="104">
        <f>Tabla3[[#This Row],[COSTO UNITARIO]]/F133</f>
        <v>1.1643518518518519</v>
      </c>
      <c r="H133" s="70"/>
      <c r="I133" s="70"/>
    </row>
    <row r="134" spans="1:9" x14ac:dyDescent="0.25">
      <c r="A134" s="72">
        <v>44402</v>
      </c>
      <c r="B134" s="21" t="s">
        <v>125</v>
      </c>
      <c r="C134" s="21">
        <v>1</v>
      </c>
      <c r="D134" s="57">
        <v>4050000</v>
      </c>
      <c r="E134" s="21" t="s">
        <v>235</v>
      </c>
      <c r="F134" s="100">
        <v>4050000</v>
      </c>
      <c r="G134" s="104">
        <f>Tabla3[[#This Row],[COSTO UNITARIO]]/F134</f>
        <v>1</v>
      </c>
      <c r="H134" s="70"/>
      <c r="I134" s="70"/>
    </row>
    <row r="135" spans="1:9" x14ac:dyDescent="0.25">
      <c r="A135" s="72">
        <v>44402</v>
      </c>
      <c r="B135" s="21" t="s">
        <v>124</v>
      </c>
      <c r="C135" s="21">
        <v>6</v>
      </c>
      <c r="D135" s="76">
        <v>24300000</v>
      </c>
      <c r="E135" s="21" t="s">
        <v>130</v>
      </c>
      <c r="F135" s="100">
        <v>4050000</v>
      </c>
      <c r="G135" s="104">
        <f>Tabla3[[#This Row],[COSTO UNITARIO]]/F135</f>
        <v>6</v>
      </c>
      <c r="H135" s="70"/>
      <c r="I135" s="70"/>
    </row>
    <row r="136" spans="1:9" x14ac:dyDescent="0.25">
      <c r="A136" s="72">
        <v>44402</v>
      </c>
      <c r="B136" s="21" t="s">
        <v>133</v>
      </c>
      <c r="C136" s="21">
        <v>1</v>
      </c>
      <c r="D136" s="57">
        <v>4715625</v>
      </c>
      <c r="E136" s="21" t="s">
        <v>130</v>
      </c>
      <c r="F136" s="100">
        <v>4050000</v>
      </c>
      <c r="G136" s="104">
        <f>Tabla3[[#This Row],[COSTO UNITARIO]]/F136</f>
        <v>1.1643518518518519</v>
      </c>
      <c r="H136" s="70"/>
      <c r="I136" s="70"/>
    </row>
    <row r="137" spans="1:9" x14ac:dyDescent="0.25">
      <c r="A137" s="73">
        <v>44402</v>
      </c>
      <c r="B137" s="23" t="s">
        <v>191</v>
      </c>
      <c r="C137" s="23">
        <v>1</v>
      </c>
      <c r="D137" s="59">
        <v>4050000</v>
      </c>
      <c r="E137" s="23" t="s">
        <v>130</v>
      </c>
      <c r="F137" s="101">
        <v>4050000</v>
      </c>
      <c r="G137" s="105">
        <f>Tabla3[[#This Row],[COSTO UNITARIO]]/F137</f>
        <v>1</v>
      </c>
      <c r="H137" s="70"/>
      <c r="I137" s="70"/>
    </row>
    <row r="138" spans="1:9" x14ac:dyDescent="0.25">
      <c r="A138" s="63">
        <v>44403</v>
      </c>
      <c r="B138" s="19" t="s">
        <v>216</v>
      </c>
      <c r="C138" s="19">
        <v>1</v>
      </c>
      <c r="D138" s="58">
        <v>1730400</v>
      </c>
      <c r="E138" s="19" t="s">
        <v>122</v>
      </c>
      <c r="F138" s="99">
        <v>4120000</v>
      </c>
      <c r="G138" s="103">
        <f>Tabla3[[#This Row],[COSTO UNITARIO]]/F138</f>
        <v>0.42</v>
      </c>
      <c r="H138" s="70"/>
      <c r="I138" s="70"/>
    </row>
    <row r="139" spans="1:9" x14ac:dyDescent="0.25">
      <c r="A139" s="72">
        <v>44403</v>
      </c>
      <c r="B139" s="21" t="s">
        <v>191</v>
      </c>
      <c r="C139" s="21">
        <v>1</v>
      </c>
      <c r="D139" s="57">
        <v>4120000</v>
      </c>
      <c r="E139" s="21" t="s">
        <v>122</v>
      </c>
      <c r="F139" s="100">
        <v>4120000</v>
      </c>
      <c r="G139" s="104">
        <f>Tabla3[[#This Row],[COSTO UNITARIO]]/F139</f>
        <v>1</v>
      </c>
      <c r="H139" s="70"/>
      <c r="I139" s="70"/>
    </row>
    <row r="140" spans="1:9" s="64" customFormat="1" x14ac:dyDescent="0.25">
      <c r="A140" s="73">
        <v>44403</v>
      </c>
      <c r="B140" s="23" t="s">
        <v>186</v>
      </c>
      <c r="C140" s="23">
        <v>6</v>
      </c>
      <c r="D140" s="75">
        <v>17304000</v>
      </c>
      <c r="E140" s="23" t="s">
        <v>130</v>
      </c>
      <c r="F140" s="101">
        <v>4120000</v>
      </c>
      <c r="G140" s="105">
        <f>Tabla3[[#This Row],[COSTO UNITARIO]]/F140</f>
        <v>4.2</v>
      </c>
      <c r="H140" s="70"/>
      <c r="I140" s="70"/>
    </row>
    <row r="141" spans="1:9" s="64" customFormat="1" x14ac:dyDescent="0.25">
      <c r="A141" s="63">
        <v>44404</v>
      </c>
      <c r="B141" s="19" t="s">
        <v>228</v>
      </c>
      <c r="C141" s="19">
        <v>1</v>
      </c>
      <c r="D141" s="58">
        <v>2634882.36</v>
      </c>
      <c r="E141" s="20" t="s">
        <v>129</v>
      </c>
      <c r="F141" s="99">
        <v>4190000</v>
      </c>
      <c r="G141" s="103">
        <f>Tabla3[[#This Row],[COSTO UNITARIO]]/F141</f>
        <v>0.62885020525059665</v>
      </c>
      <c r="H141" s="70"/>
      <c r="I141" s="70"/>
    </row>
    <row r="142" spans="1:9" s="64" customFormat="1" x14ac:dyDescent="0.25">
      <c r="A142" s="73">
        <v>44404</v>
      </c>
      <c r="B142" s="23" t="s">
        <v>212</v>
      </c>
      <c r="C142" s="23">
        <v>1</v>
      </c>
      <c r="D142" s="59">
        <v>564756.25</v>
      </c>
      <c r="E142" s="24" t="s">
        <v>235</v>
      </c>
      <c r="F142" s="100">
        <v>4190000</v>
      </c>
      <c r="G142" s="104">
        <f>Tabla3[[#This Row],[COSTO UNITARIO]]/F142</f>
        <v>0.13478669451073985</v>
      </c>
      <c r="H142" s="70"/>
      <c r="I142" s="70"/>
    </row>
    <row r="143" spans="1:9" x14ac:dyDescent="0.25">
      <c r="A143" s="72">
        <v>44405</v>
      </c>
      <c r="B143" s="21" t="s">
        <v>124</v>
      </c>
      <c r="C143" s="21">
        <v>1</v>
      </c>
      <c r="D143" s="57">
        <v>4190000</v>
      </c>
      <c r="E143" s="21" t="s">
        <v>129</v>
      </c>
      <c r="F143" s="100">
        <v>4190000</v>
      </c>
      <c r="G143" s="104">
        <f>Tabla3[[#This Row],[COSTO UNITARIO]]/F143</f>
        <v>1</v>
      </c>
      <c r="H143" s="70"/>
      <c r="I143" s="70"/>
    </row>
    <row r="144" spans="1:9" x14ac:dyDescent="0.25">
      <c r="A144" s="72">
        <v>44405</v>
      </c>
      <c r="B144" s="21" t="s">
        <v>216</v>
      </c>
      <c r="C144" s="21">
        <v>1</v>
      </c>
      <c r="D144" s="57">
        <v>1759800</v>
      </c>
      <c r="E144" s="21" t="s">
        <v>122</v>
      </c>
      <c r="F144" s="100">
        <v>4190000</v>
      </c>
      <c r="G144" s="104">
        <f>Tabla3[[#This Row],[COSTO UNITARIO]]/F144</f>
        <v>0.42</v>
      </c>
      <c r="H144" s="70"/>
      <c r="I144" s="70"/>
    </row>
    <row r="145" spans="1:9" x14ac:dyDescent="0.25">
      <c r="A145" s="72">
        <v>44405</v>
      </c>
      <c r="B145" s="21" t="s">
        <v>191</v>
      </c>
      <c r="C145" s="21">
        <v>1</v>
      </c>
      <c r="D145" s="57">
        <v>4190000</v>
      </c>
      <c r="E145" s="21" t="s">
        <v>122</v>
      </c>
      <c r="F145" s="100">
        <v>4190000</v>
      </c>
      <c r="G145" s="104">
        <f>Tabla3[[#This Row],[COSTO UNITARIO]]/F145</f>
        <v>1</v>
      </c>
      <c r="H145" s="70"/>
      <c r="I145" s="70"/>
    </row>
    <row r="146" spans="1:9" s="13" customFormat="1" x14ac:dyDescent="0.25">
      <c r="A146" s="72">
        <v>44405</v>
      </c>
      <c r="B146" s="21" t="s">
        <v>125</v>
      </c>
      <c r="C146" s="21">
        <v>1</v>
      </c>
      <c r="D146" s="57">
        <v>4150000</v>
      </c>
      <c r="E146" s="21" t="s">
        <v>235</v>
      </c>
      <c r="F146" s="100">
        <v>4190000</v>
      </c>
      <c r="G146" s="104">
        <f>Tabla3[[#This Row],[COSTO UNITARIO]]/F146</f>
        <v>0.99045346062052508</v>
      </c>
      <c r="H146" s="70"/>
      <c r="I146" s="70"/>
    </row>
    <row r="147" spans="1:9" s="13" customFormat="1" x14ac:dyDescent="0.25">
      <c r="A147" s="72">
        <v>44405</v>
      </c>
      <c r="B147" s="21" t="s">
        <v>219</v>
      </c>
      <c r="C147" s="21">
        <v>1</v>
      </c>
      <c r="D147" s="57">
        <v>1121206.25</v>
      </c>
      <c r="E147" s="21" t="s">
        <v>130</v>
      </c>
      <c r="F147" s="100">
        <v>4190000</v>
      </c>
      <c r="G147" s="104">
        <f>Tabla3[[#This Row],[COSTO UNITARIO]]/F147</f>
        <v>0.26759099045346063</v>
      </c>
      <c r="H147" s="70"/>
      <c r="I147" s="70"/>
    </row>
    <row r="148" spans="1:9" s="13" customFormat="1" x14ac:dyDescent="0.25">
      <c r="A148" s="73">
        <v>44405</v>
      </c>
      <c r="B148" s="23" t="s">
        <v>215</v>
      </c>
      <c r="C148" s="23">
        <v>4</v>
      </c>
      <c r="D148" s="75">
        <v>7709600</v>
      </c>
      <c r="E148" s="23" t="s">
        <v>130</v>
      </c>
      <c r="F148" s="101">
        <v>4190000</v>
      </c>
      <c r="G148" s="105">
        <f>Tabla3[[#This Row],[COSTO UNITARIO]]/F148</f>
        <v>1.84</v>
      </c>
      <c r="H148" s="70"/>
      <c r="I148" s="44"/>
    </row>
    <row r="149" spans="1:9" s="13" customFormat="1" x14ac:dyDescent="0.25">
      <c r="A149" s="63">
        <v>44406</v>
      </c>
      <c r="B149" s="19" t="s">
        <v>216</v>
      </c>
      <c r="C149" s="19">
        <v>1</v>
      </c>
      <c r="D149" s="58">
        <v>1732500</v>
      </c>
      <c r="E149" s="19" t="s">
        <v>122</v>
      </c>
      <c r="F149" s="99">
        <v>4125000</v>
      </c>
      <c r="G149" s="103">
        <f>Tabla3[[#This Row],[COSTO UNITARIO]]/F149</f>
        <v>0.42</v>
      </c>
      <c r="H149" s="70"/>
      <c r="I149" s="70"/>
    </row>
    <row r="150" spans="1:9" s="13" customFormat="1" x14ac:dyDescent="0.25">
      <c r="A150" s="72">
        <v>44406</v>
      </c>
      <c r="B150" s="21" t="s">
        <v>212</v>
      </c>
      <c r="C150" s="21">
        <v>1</v>
      </c>
      <c r="D150" s="57">
        <v>14328927.08</v>
      </c>
      <c r="E150" s="21" t="s">
        <v>122</v>
      </c>
      <c r="F150" s="100">
        <v>4125000</v>
      </c>
      <c r="G150" s="104">
        <f>Tabla3[[#This Row],[COSTO UNITARIO]]/F150</f>
        <v>3.4736792921212123</v>
      </c>
      <c r="H150" s="70"/>
      <c r="I150" s="70"/>
    </row>
    <row r="151" spans="1:9" s="13" customFormat="1" x14ac:dyDescent="0.25">
      <c r="A151" s="72">
        <v>44406</v>
      </c>
      <c r="B151" s="21" t="s">
        <v>191</v>
      </c>
      <c r="C151" s="21">
        <v>1</v>
      </c>
      <c r="D151" s="57">
        <v>4125000</v>
      </c>
      <c r="E151" s="21" t="s">
        <v>122</v>
      </c>
      <c r="F151" s="100">
        <v>4125000</v>
      </c>
      <c r="G151" s="104">
        <f>Tabla3[[#This Row],[COSTO UNITARIO]]/F151</f>
        <v>1</v>
      </c>
      <c r="H151" s="70"/>
      <c r="I151" s="70"/>
    </row>
    <row r="152" spans="1:9" s="13" customFormat="1" x14ac:dyDescent="0.25">
      <c r="A152" s="72">
        <v>44406</v>
      </c>
      <c r="B152" s="21" t="s">
        <v>212</v>
      </c>
      <c r="C152" s="21">
        <v>1</v>
      </c>
      <c r="D152" s="57">
        <v>14328927.08</v>
      </c>
      <c r="E152" s="21" t="s">
        <v>235</v>
      </c>
      <c r="F152" s="100">
        <v>4125000</v>
      </c>
      <c r="G152" s="104">
        <f>Tabla3[[#This Row],[COSTO UNITARIO]]/F152</f>
        <v>3.4736792921212123</v>
      </c>
      <c r="H152" s="70"/>
      <c r="I152" s="70"/>
    </row>
    <row r="153" spans="1:9" s="13" customFormat="1" x14ac:dyDescent="0.25">
      <c r="A153" s="72">
        <v>44406</v>
      </c>
      <c r="B153" s="21" t="s">
        <v>125</v>
      </c>
      <c r="C153" s="21">
        <v>2</v>
      </c>
      <c r="D153" s="76">
        <v>8250000</v>
      </c>
      <c r="E153" s="21" t="s">
        <v>235</v>
      </c>
      <c r="F153" s="100">
        <v>4125000</v>
      </c>
      <c r="G153" s="104">
        <f>Tabla3[[#This Row],[COSTO UNITARIO]]/F153</f>
        <v>2</v>
      </c>
      <c r="H153" s="70"/>
      <c r="I153" s="70"/>
    </row>
    <row r="154" spans="1:9" s="13" customFormat="1" x14ac:dyDescent="0.25">
      <c r="A154" s="72">
        <v>44406</v>
      </c>
      <c r="B154" s="21" t="s">
        <v>134</v>
      </c>
      <c r="C154" s="21">
        <v>1</v>
      </c>
      <c r="D154" s="57">
        <v>190545.24</v>
      </c>
      <c r="E154" s="21" t="s">
        <v>235</v>
      </c>
      <c r="F154" s="100">
        <v>4125000</v>
      </c>
      <c r="G154" s="104">
        <f>Tabla3[[#This Row],[COSTO UNITARIO]]/F154</f>
        <v>4.619278545454545E-2</v>
      </c>
      <c r="H154" s="70"/>
      <c r="I154" s="70"/>
    </row>
    <row r="155" spans="1:9" s="13" customFormat="1" x14ac:dyDescent="0.25">
      <c r="A155" s="72">
        <v>44406</v>
      </c>
      <c r="B155" s="21" t="s">
        <v>227</v>
      </c>
      <c r="C155" s="21">
        <v>1</v>
      </c>
      <c r="D155" s="57">
        <v>2723500</v>
      </c>
      <c r="E155" s="21" t="s">
        <v>235</v>
      </c>
      <c r="F155" s="100">
        <v>4125000</v>
      </c>
      <c r="G155" s="104">
        <f>Tabla3[[#This Row],[COSTO UNITARIO]]/F155</f>
        <v>0.6602424242424243</v>
      </c>
      <c r="H155" s="70"/>
      <c r="I155" s="70"/>
    </row>
    <row r="156" spans="1:9" s="13" customFormat="1" x14ac:dyDescent="0.25">
      <c r="A156" s="72">
        <v>44406</v>
      </c>
      <c r="B156" s="21" t="s">
        <v>191</v>
      </c>
      <c r="C156" s="21">
        <v>1</v>
      </c>
      <c r="D156" s="57">
        <v>4125000</v>
      </c>
      <c r="E156" s="21" t="s">
        <v>235</v>
      </c>
      <c r="F156" s="100">
        <v>4125000</v>
      </c>
      <c r="G156" s="104">
        <f>Tabla3[[#This Row],[COSTO UNITARIO]]/F156</f>
        <v>1</v>
      </c>
      <c r="H156" s="70"/>
      <c r="I156" s="70"/>
    </row>
    <row r="157" spans="1:9" s="13" customFormat="1" x14ac:dyDescent="0.25">
      <c r="A157" s="72">
        <v>44406</v>
      </c>
      <c r="B157" s="21" t="s">
        <v>219</v>
      </c>
      <c r="C157" s="21">
        <v>1</v>
      </c>
      <c r="D157" s="57">
        <v>1116596.25</v>
      </c>
      <c r="E157" s="21" t="s">
        <v>130</v>
      </c>
      <c r="F157" s="100">
        <v>4125000</v>
      </c>
      <c r="G157" s="104">
        <f>Tabla3[[#This Row],[COSTO UNITARIO]]/F157</f>
        <v>0.27068999999999999</v>
      </c>
      <c r="H157" s="70"/>
      <c r="I157" s="70"/>
    </row>
    <row r="158" spans="1:9" s="13" customFormat="1" x14ac:dyDescent="0.25">
      <c r="A158" s="73">
        <v>44406</v>
      </c>
      <c r="B158" s="23" t="s">
        <v>215</v>
      </c>
      <c r="C158" s="23">
        <v>2</v>
      </c>
      <c r="D158" s="75">
        <v>3795000</v>
      </c>
      <c r="E158" s="23" t="s">
        <v>130</v>
      </c>
      <c r="F158" s="101">
        <v>4125000</v>
      </c>
      <c r="G158" s="105">
        <f>Tabla3[[#This Row],[COSTO UNITARIO]]/F158</f>
        <v>0.92</v>
      </c>
      <c r="H158" s="70"/>
      <c r="I158" s="44"/>
    </row>
    <row r="159" spans="1:9" s="13" customFormat="1" x14ac:dyDescent="0.25">
      <c r="A159" s="63">
        <v>44407</v>
      </c>
      <c r="B159" s="19" t="s">
        <v>125</v>
      </c>
      <c r="C159" s="19">
        <v>1</v>
      </c>
      <c r="D159" s="58">
        <v>4040000</v>
      </c>
      <c r="E159" s="19" t="s">
        <v>129</v>
      </c>
      <c r="F159" s="99">
        <v>4040000</v>
      </c>
      <c r="G159" s="103">
        <f>Tabla3[[#This Row],[COSTO UNITARIO]]/F159</f>
        <v>1</v>
      </c>
      <c r="H159" s="70"/>
      <c r="I159" s="70"/>
    </row>
    <row r="160" spans="1:9" s="13" customFormat="1" x14ac:dyDescent="0.25">
      <c r="A160" s="72">
        <v>44407</v>
      </c>
      <c r="B160" s="21" t="s">
        <v>124</v>
      </c>
      <c r="C160" s="21">
        <v>10</v>
      </c>
      <c r="D160" s="76">
        <v>40400000</v>
      </c>
      <c r="E160" s="21" t="s">
        <v>122</v>
      </c>
      <c r="F160" s="100">
        <v>4040000</v>
      </c>
      <c r="G160" s="104">
        <f>Tabla3[[#This Row],[COSTO UNITARIO]]/F160</f>
        <v>10</v>
      </c>
      <c r="H160" s="70"/>
      <c r="I160" s="70"/>
    </row>
    <row r="161" spans="1:9" s="13" customFormat="1" x14ac:dyDescent="0.25">
      <c r="A161" s="72">
        <v>44407</v>
      </c>
      <c r="B161" s="21" t="s">
        <v>191</v>
      </c>
      <c r="C161" s="21">
        <v>1</v>
      </c>
      <c r="D161" s="57">
        <v>4040000</v>
      </c>
      <c r="E161" s="21" t="s">
        <v>122</v>
      </c>
      <c r="F161" s="100">
        <v>4040000</v>
      </c>
      <c r="G161" s="104">
        <f>Tabla3[[#This Row],[COSTO UNITARIO]]/F161</f>
        <v>1</v>
      </c>
      <c r="H161" s="70"/>
      <c r="I161" s="70"/>
    </row>
    <row r="162" spans="1:9" s="13" customFormat="1" x14ac:dyDescent="0.25">
      <c r="A162" s="72">
        <v>44407</v>
      </c>
      <c r="B162" s="21" t="s">
        <v>186</v>
      </c>
      <c r="C162" s="21">
        <v>2</v>
      </c>
      <c r="D162" s="76">
        <v>5656000</v>
      </c>
      <c r="E162" s="21" t="s">
        <v>235</v>
      </c>
      <c r="F162" s="100">
        <v>4040000</v>
      </c>
      <c r="G162" s="104">
        <f>Tabla3[[#This Row],[COSTO UNITARIO]]/F162</f>
        <v>1.4</v>
      </c>
      <c r="H162" s="70"/>
      <c r="I162" s="70"/>
    </row>
    <row r="163" spans="1:9" s="13" customFormat="1" x14ac:dyDescent="0.25">
      <c r="A163" s="72">
        <v>44407</v>
      </c>
      <c r="B163" s="21" t="s">
        <v>124</v>
      </c>
      <c r="C163" s="21">
        <v>2</v>
      </c>
      <c r="D163" s="76">
        <v>8080000</v>
      </c>
      <c r="E163" s="21" t="s">
        <v>235</v>
      </c>
      <c r="F163" s="100">
        <v>4040000</v>
      </c>
      <c r="G163" s="104">
        <f>Tabla3[[#This Row],[COSTO UNITARIO]]/F163</f>
        <v>2</v>
      </c>
      <c r="H163" s="70"/>
      <c r="I163" s="70"/>
    </row>
    <row r="164" spans="1:9" s="13" customFormat="1" x14ac:dyDescent="0.25">
      <c r="A164" s="72">
        <v>44407</v>
      </c>
      <c r="B164" s="21" t="s">
        <v>125</v>
      </c>
      <c r="C164" s="21">
        <v>1</v>
      </c>
      <c r="D164" s="57">
        <v>4040000</v>
      </c>
      <c r="E164" s="21" t="s">
        <v>235</v>
      </c>
      <c r="F164" s="100">
        <v>4040000</v>
      </c>
      <c r="G164" s="104">
        <f>Tabla3[[#This Row],[COSTO UNITARIO]]/F164</f>
        <v>1</v>
      </c>
      <c r="H164" s="70"/>
      <c r="I164" s="70"/>
    </row>
    <row r="165" spans="1:9" s="13" customFormat="1" x14ac:dyDescent="0.25">
      <c r="A165" s="73">
        <v>44407</v>
      </c>
      <c r="B165" s="23" t="s">
        <v>124</v>
      </c>
      <c r="C165" s="23">
        <v>1</v>
      </c>
      <c r="D165" s="59">
        <v>4040000</v>
      </c>
      <c r="E165" s="23" t="s">
        <v>130</v>
      </c>
      <c r="F165" s="101">
        <v>4040000</v>
      </c>
      <c r="G165" s="105">
        <f>Tabla3[[#This Row],[COSTO UNITARIO]]/F165</f>
        <v>1</v>
      </c>
      <c r="H165" s="70"/>
      <c r="I165" s="70"/>
    </row>
    <row r="166" spans="1:9" s="13" customFormat="1" x14ac:dyDescent="0.25">
      <c r="A166" s="63">
        <v>44408</v>
      </c>
      <c r="B166" s="19" t="s">
        <v>212</v>
      </c>
      <c r="C166" s="19">
        <v>1</v>
      </c>
      <c r="D166" s="58">
        <v>14328927.08</v>
      </c>
      <c r="E166" s="19" t="s">
        <v>129</v>
      </c>
      <c r="F166" s="99">
        <v>4040000</v>
      </c>
      <c r="G166" s="103">
        <f>Tabla3[[#This Row],[COSTO UNITARIO]]/F166</f>
        <v>3.5467641287128715</v>
      </c>
      <c r="H166" s="70"/>
      <c r="I166" s="70"/>
    </row>
    <row r="167" spans="1:9" s="13" customFormat="1" x14ac:dyDescent="0.25">
      <c r="A167" s="72">
        <v>44408</v>
      </c>
      <c r="B167" s="21" t="s">
        <v>125</v>
      </c>
      <c r="C167" s="21">
        <v>1</v>
      </c>
      <c r="D167" s="57">
        <v>4040000</v>
      </c>
      <c r="E167" s="21" t="s">
        <v>129</v>
      </c>
      <c r="F167" s="100">
        <v>4040000</v>
      </c>
      <c r="G167" s="104">
        <f>Tabla3[[#This Row],[COSTO UNITARIO]]/F167</f>
        <v>1</v>
      </c>
      <c r="H167" s="70"/>
      <c r="I167" s="70"/>
    </row>
    <row r="168" spans="1:9" s="13" customFormat="1" x14ac:dyDescent="0.25">
      <c r="A168" s="72">
        <v>44408</v>
      </c>
      <c r="B168" s="21" t="s">
        <v>134</v>
      </c>
      <c r="C168" s="21">
        <v>2</v>
      </c>
      <c r="D168" s="76">
        <v>368088.88</v>
      </c>
      <c r="E168" s="21" t="s">
        <v>129</v>
      </c>
      <c r="F168" s="100">
        <v>4040000</v>
      </c>
      <c r="G168" s="104">
        <f>Tabla3[[#This Row],[COSTO UNITARIO]]/F168</f>
        <v>9.1111108910891095E-2</v>
      </c>
      <c r="H168" s="70"/>
      <c r="I168" s="70"/>
    </row>
    <row r="169" spans="1:9" s="13" customFormat="1" x14ac:dyDescent="0.25">
      <c r="A169" s="72">
        <v>44408</v>
      </c>
      <c r="B169" s="21" t="s">
        <v>216</v>
      </c>
      <c r="C169" s="21">
        <v>1</v>
      </c>
      <c r="D169" s="57">
        <v>1696800</v>
      </c>
      <c r="E169" s="21" t="s">
        <v>122</v>
      </c>
      <c r="F169" s="100">
        <v>4040000</v>
      </c>
      <c r="G169" s="104">
        <f>Tabla3[[#This Row],[COSTO UNITARIO]]/F169</f>
        <v>0.42</v>
      </c>
      <c r="H169" s="70"/>
      <c r="I169" s="70"/>
    </row>
    <row r="170" spans="1:9" s="13" customFormat="1" x14ac:dyDescent="0.25">
      <c r="A170" s="72">
        <v>44408</v>
      </c>
      <c r="B170" s="21" t="s">
        <v>132</v>
      </c>
      <c r="C170" s="21">
        <v>1</v>
      </c>
      <c r="D170" s="57">
        <v>4097820</v>
      </c>
      <c r="E170" s="21" t="s">
        <v>122</v>
      </c>
      <c r="F170" s="100">
        <v>4040000</v>
      </c>
      <c r="G170" s="104">
        <f>Tabla3[[#This Row],[COSTO UNITARIO]]/F170</f>
        <v>1.0143118811881189</v>
      </c>
      <c r="H170" s="70"/>
      <c r="I170" s="70"/>
    </row>
    <row r="171" spans="1:9" s="13" customFormat="1" x14ac:dyDescent="0.25">
      <c r="A171" s="72">
        <v>44408</v>
      </c>
      <c r="B171" s="21" t="s">
        <v>133</v>
      </c>
      <c r="C171" s="21">
        <v>1</v>
      </c>
      <c r="D171" s="57">
        <v>594688</v>
      </c>
      <c r="E171" s="21" t="s">
        <v>122</v>
      </c>
      <c r="F171" s="100">
        <v>4040000</v>
      </c>
      <c r="G171" s="104">
        <f>Tabla3[[#This Row],[COSTO UNITARIO]]/F171</f>
        <v>0.1472</v>
      </c>
      <c r="H171" s="70"/>
      <c r="I171" s="70"/>
    </row>
    <row r="172" spans="1:9" s="13" customFormat="1" x14ac:dyDescent="0.25">
      <c r="A172" s="72">
        <v>44408</v>
      </c>
      <c r="B172" s="21" t="s">
        <v>191</v>
      </c>
      <c r="C172" s="21">
        <v>6</v>
      </c>
      <c r="D172" s="57">
        <v>24240000</v>
      </c>
      <c r="E172" s="21" t="s">
        <v>122</v>
      </c>
      <c r="F172" s="100">
        <v>4040000</v>
      </c>
      <c r="G172" s="104">
        <f>Tabla3[[#This Row],[COSTO UNITARIO]]/F172</f>
        <v>6</v>
      </c>
      <c r="H172" s="70"/>
      <c r="I172" s="70"/>
    </row>
    <row r="173" spans="1:9" s="13" customFormat="1" x14ac:dyDescent="0.25">
      <c r="A173" s="72">
        <v>44408</v>
      </c>
      <c r="B173" s="21" t="s">
        <v>219</v>
      </c>
      <c r="C173" s="21">
        <v>1</v>
      </c>
      <c r="D173" s="57">
        <v>1125058.25</v>
      </c>
      <c r="E173" s="21" t="s">
        <v>130</v>
      </c>
      <c r="F173" s="100">
        <v>4040000</v>
      </c>
      <c r="G173" s="104">
        <f>Tabla3[[#This Row],[COSTO UNITARIO]]/F173</f>
        <v>0.27847976485148512</v>
      </c>
      <c r="H173" s="70"/>
      <c r="I173" s="70"/>
    </row>
    <row r="174" spans="1:9" s="13" customFormat="1" x14ac:dyDescent="0.25">
      <c r="A174" s="73">
        <v>44408</v>
      </c>
      <c r="B174" s="23" t="s">
        <v>229</v>
      </c>
      <c r="C174" s="23">
        <v>1</v>
      </c>
      <c r="D174" s="59">
        <v>29896000</v>
      </c>
      <c r="E174" s="23" t="s">
        <v>130</v>
      </c>
      <c r="F174" s="101">
        <v>4040000</v>
      </c>
      <c r="G174" s="105">
        <f>Tabla3[[#This Row],[COSTO UNITARIO]]/F174</f>
        <v>7.4</v>
      </c>
      <c r="H174" s="70"/>
      <c r="I174" s="70"/>
    </row>
    <row r="175" spans="1:9" s="74" customFormat="1" x14ac:dyDescent="0.25">
      <c r="A175" s="109"/>
      <c r="B175" s="94"/>
      <c r="C175" s="94"/>
      <c r="D175" s="110"/>
      <c r="E175" s="94"/>
      <c r="F175" s="122" t="s">
        <v>223</v>
      </c>
      <c r="G175" s="123">
        <f>SUM(G5:G174)</f>
        <v>294.52885054845353</v>
      </c>
    </row>
    <row r="180" spans="1:10" x14ac:dyDescent="0.25">
      <c r="B180" s="15" t="s">
        <v>233</v>
      </c>
    </row>
    <row r="181" spans="1:10" ht="28.5" x14ac:dyDescent="0.45">
      <c r="B181" s="34" t="s">
        <v>240</v>
      </c>
    </row>
    <row r="182" spans="1:10" x14ac:dyDescent="0.25">
      <c r="A182" s="70"/>
      <c r="B182" s="43"/>
      <c r="C182" s="43"/>
      <c r="D182" s="44"/>
      <c r="E182" s="43"/>
      <c r="F182" s="124"/>
      <c r="G182" s="43"/>
      <c r="H182" s="64"/>
    </row>
    <row r="183" spans="1:10" x14ac:dyDescent="0.25">
      <c r="A183" s="26" t="s">
        <v>181</v>
      </c>
      <c r="B183" s="26" t="s">
        <v>180</v>
      </c>
      <c r="C183" s="26" t="s">
        <v>121</v>
      </c>
      <c r="D183" s="26" t="s">
        <v>187</v>
      </c>
      <c r="E183" s="26" t="s">
        <v>12</v>
      </c>
      <c r="F183" s="26" t="s">
        <v>6</v>
      </c>
      <c r="G183" s="26" t="s">
        <v>237</v>
      </c>
      <c r="H183" s="26"/>
      <c r="I183" s="71"/>
      <c r="J183" s="13"/>
    </row>
    <row r="184" spans="1:10" hidden="1" x14ac:dyDescent="0.25">
      <c r="A184" s="38">
        <v>44409</v>
      </c>
      <c r="B184" s="39" t="s">
        <v>182</v>
      </c>
      <c r="C184" s="39">
        <v>1</v>
      </c>
      <c r="D184" s="40">
        <v>2763500</v>
      </c>
      <c r="E184" s="41" t="s">
        <v>129</v>
      </c>
      <c r="F184" s="111">
        <v>4000000</v>
      </c>
      <c r="G184" s="92">
        <f>Tabla8[[#This Row],[COSTO UNITARIO]]/F184</f>
        <v>0.69087500000000002</v>
      </c>
      <c r="H184" s="43"/>
      <c r="I184"/>
      <c r="J184" s="13"/>
    </row>
    <row r="185" spans="1:10" hidden="1" x14ac:dyDescent="0.25">
      <c r="A185" s="42">
        <v>44409</v>
      </c>
      <c r="B185" s="43" t="s">
        <v>183</v>
      </c>
      <c r="C185" s="43">
        <v>1</v>
      </c>
      <c r="D185" s="44">
        <v>4594688</v>
      </c>
      <c r="E185" s="45" t="s">
        <v>129</v>
      </c>
      <c r="F185" s="112">
        <v>4000000</v>
      </c>
      <c r="G185" s="108">
        <f>Tabla8[[#This Row],[COSTO UNITARIO]]/F185</f>
        <v>1.1486719999999999</v>
      </c>
      <c r="H185" s="43"/>
      <c r="I185"/>
      <c r="J185" s="13"/>
    </row>
    <row r="186" spans="1:10" hidden="1" x14ac:dyDescent="0.25">
      <c r="A186" s="42">
        <v>44409</v>
      </c>
      <c r="B186" s="43" t="s">
        <v>183</v>
      </c>
      <c r="C186" s="43">
        <v>1</v>
      </c>
      <c r="D186" s="44">
        <v>4594688</v>
      </c>
      <c r="E186" s="45" t="s">
        <v>122</v>
      </c>
      <c r="F186" s="112">
        <v>4000000</v>
      </c>
      <c r="G186" s="108">
        <f>Tabla8[[#This Row],[COSTO UNITARIO]]/F186</f>
        <v>1.1486719999999999</v>
      </c>
      <c r="H186" s="43"/>
      <c r="I186"/>
      <c r="J186" s="13"/>
    </row>
    <row r="187" spans="1:10" hidden="1" x14ac:dyDescent="0.25">
      <c r="A187" s="42">
        <v>44409</v>
      </c>
      <c r="B187" s="43" t="s">
        <v>184</v>
      </c>
      <c r="C187" s="43">
        <v>1</v>
      </c>
      <c r="D187" s="44">
        <v>1035000</v>
      </c>
      <c r="E187" s="45" t="s">
        <v>123</v>
      </c>
      <c r="F187" s="112">
        <v>4000000</v>
      </c>
      <c r="G187" s="108">
        <f>Tabla8[[#This Row],[COSTO UNITARIO]]/F187</f>
        <v>0.25874999999999998</v>
      </c>
      <c r="H187" s="43"/>
      <c r="I187"/>
      <c r="J187" s="13"/>
    </row>
    <row r="188" spans="1:10" hidden="1" x14ac:dyDescent="0.25">
      <c r="A188" s="42">
        <v>44409</v>
      </c>
      <c r="B188" s="43" t="s">
        <v>191</v>
      </c>
      <c r="C188" s="43">
        <v>1</v>
      </c>
      <c r="D188" s="44">
        <v>4000000</v>
      </c>
      <c r="E188" s="45" t="s">
        <v>123</v>
      </c>
      <c r="F188" s="112">
        <v>4000000</v>
      </c>
      <c r="G188" s="108">
        <f>Tabla8[[#This Row],[COSTO UNITARIO]]/F188</f>
        <v>1</v>
      </c>
      <c r="H188" s="43"/>
      <c r="I188"/>
      <c r="J188" s="13"/>
    </row>
    <row r="189" spans="1:10" x14ac:dyDescent="0.25">
      <c r="A189" s="42">
        <v>44409</v>
      </c>
      <c r="B189" s="43" t="s">
        <v>185</v>
      </c>
      <c r="C189" s="43">
        <v>1</v>
      </c>
      <c r="D189" s="44">
        <v>1125058.25</v>
      </c>
      <c r="E189" s="45" t="s">
        <v>130</v>
      </c>
      <c r="F189" s="112">
        <v>4000000</v>
      </c>
      <c r="G189" s="108">
        <f>Tabla8[[#This Row],[COSTO UNITARIO]]/F189</f>
        <v>0.28126456249999998</v>
      </c>
      <c r="H189" s="43"/>
      <c r="I189"/>
      <c r="J189" s="13"/>
    </row>
    <row r="190" spans="1:10" x14ac:dyDescent="0.25">
      <c r="A190" s="42">
        <v>44409</v>
      </c>
      <c r="B190" s="43" t="s">
        <v>186</v>
      </c>
      <c r="C190" s="43">
        <v>2</v>
      </c>
      <c r="D190" s="44">
        <v>1256156.25</v>
      </c>
      <c r="E190" s="45" t="s">
        <v>130</v>
      </c>
      <c r="F190" s="112">
        <v>4000000</v>
      </c>
      <c r="G190" s="108">
        <f>Tabla8[[#This Row],[COSTO UNITARIO]]/F190</f>
        <v>0.31403906250000002</v>
      </c>
      <c r="H190" s="43"/>
      <c r="I190"/>
      <c r="J190" s="13"/>
    </row>
    <row r="191" spans="1:10" x14ac:dyDescent="0.25">
      <c r="A191" s="42">
        <v>44409</v>
      </c>
      <c r="B191" s="43" t="s">
        <v>184</v>
      </c>
      <c r="C191" s="43">
        <v>1</v>
      </c>
      <c r="D191" s="44">
        <v>1035000</v>
      </c>
      <c r="E191" s="45" t="s">
        <v>130</v>
      </c>
      <c r="F191" s="112">
        <v>4000000</v>
      </c>
      <c r="G191" s="108">
        <f>Tabla8[[#This Row],[COSTO UNITARIO]]/F191</f>
        <v>0.25874999999999998</v>
      </c>
      <c r="H191" s="43"/>
      <c r="I191"/>
      <c r="J191" s="13"/>
    </row>
    <row r="192" spans="1:10" x14ac:dyDescent="0.25">
      <c r="A192" s="46">
        <v>44409</v>
      </c>
      <c r="B192" s="47" t="s">
        <v>183</v>
      </c>
      <c r="C192" s="47">
        <v>1</v>
      </c>
      <c r="D192" s="48">
        <v>4594688</v>
      </c>
      <c r="E192" s="49" t="s">
        <v>130</v>
      </c>
      <c r="F192" s="113">
        <v>4000000</v>
      </c>
      <c r="G192" s="114">
        <f>Tabla8[[#This Row],[COSTO UNITARIO]]/F192</f>
        <v>1.1486719999999999</v>
      </c>
      <c r="H192" s="43"/>
      <c r="I192"/>
      <c r="J192" s="13"/>
    </row>
    <row r="193" spans="1:10" hidden="1" x14ac:dyDescent="0.25">
      <c r="A193" s="38">
        <v>44410</v>
      </c>
      <c r="B193" s="39" t="s">
        <v>125</v>
      </c>
      <c r="C193" s="39">
        <v>1</v>
      </c>
      <c r="D193" s="40">
        <v>368088.88</v>
      </c>
      <c r="E193" s="41" t="s">
        <v>129</v>
      </c>
      <c r="F193" s="111">
        <v>4015000</v>
      </c>
      <c r="G193" s="92">
        <f>Tabla8[[#This Row],[COSTO UNITARIO]]/F193</f>
        <v>9.1678425902864263E-2</v>
      </c>
      <c r="H193" s="43"/>
      <c r="I193"/>
      <c r="J193" s="13"/>
    </row>
    <row r="194" spans="1:10" hidden="1" x14ac:dyDescent="0.25">
      <c r="A194" s="42">
        <v>44410</v>
      </c>
      <c r="B194" s="43" t="s">
        <v>140</v>
      </c>
      <c r="C194" s="43">
        <v>2</v>
      </c>
      <c r="D194" s="44">
        <v>2763500</v>
      </c>
      <c r="E194" s="45" t="s">
        <v>129</v>
      </c>
      <c r="F194" s="112">
        <v>4015000</v>
      </c>
      <c r="G194" s="108">
        <f>Tabla8[[#This Row],[COSTO UNITARIO]]/F194</f>
        <v>0.68829389788293893</v>
      </c>
      <c r="H194" s="43"/>
      <c r="I194"/>
      <c r="J194" s="13"/>
    </row>
    <row r="195" spans="1:10" hidden="1" x14ac:dyDescent="0.25">
      <c r="A195" s="42">
        <v>44410</v>
      </c>
      <c r="B195" s="43" t="s">
        <v>184</v>
      </c>
      <c r="C195" s="43">
        <v>1</v>
      </c>
      <c r="D195" s="44">
        <v>1035000</v>
      </c>
      <c r="E195" s="45" t="s">
        <v>122</v>
      </c>
      <c r="F195" s="112">
        <v>4015000</v>
      </c>
      <c r="G195" s="108">
        <f>Tabla8[[#This Row],[COSTO UNITARIO]]/F195</f>
        <v>0.2577833125778331</v>
      </c>
      <c r="H195" s="43"/>
      <c r="I195"/>
      <c r="J195" s="13"/>
    </row>
    <row r="196" spans="1:10" hidden="1" x14ac:dyDescent="0.25">
      <c r="A196" s="42">
        <v>44410</v>
      </c>
      <c r="B196" s="43" t="s">
        <v>191</v>
      </c>
      <c r="C196" s="43">
        <v>1</v>
      </c>
      <c r="D196" s="44">
        <v>4015000</v>
      </c>
      <c r="E196" s="45" t="s">
        <v>122</v>
      </c>
      <c r="F196" s="112">
        <v>4015000</v>
      </c>
      <c r="G196" s="108">
        <f>Tabla8[[#This Row],[COSTO UNITARIO]]/F196</f>
        <v>1</v>
      </c>
      <c r="H196" s="43"/>
      <c r="I196"/>
      <c r="J196" s="13"/>
    </row>
    <row r="197" spans="1:10" hidden="1" x14ac:dyDescent="0.25">
      <c r="A197" s="42">
        <v>44410</v>
      </c>
      <c r="B197" s="43" t="s">
        <v>188</v>
      </c>
      <c r="C197" s="43">
        <v>2</v>
      </c>
      <c r="D197" s="44">
        <v>7227000</v>
      </c>
      <c r="E197" s="45" t="s">
        <v>123</v>
      </c>
      <c r="F197" s="112">
        <v>4015000</v>
      </c>
      <c r="G197" s="108">
        <f>Tabla8[[#This Row],[COSTO UNITARIO]]/F197</f>
        <v>1.8</v>
      </c>
      <c r="H197" s="43"/>
      <c r="I197" s="116"/>
      <c r="J197" s="13"/>
    </row>
    <row r="198" spans="1:10" hidden="1" x14ac:dyDescent="0.25">
      <c r="A198" s="42">
        <v>44410</v>
      </c>
      <c r="B198" s="43" t="s">
        <v>124</v>
      </c>
      <c r="C198" s="43">
        <v>3</v>
      </c>
      <c r="D198" s="44">
        <v>11096968.75</v>
      </c>
      <c r="E198" s="45" t="s">
        <v>123</v>
      </c>
      <c r="F198" s="112">
        <v>4015000</v>
      </c>
      <c r="G198" s="108">
        <f>Tabla8[[#This Row],[COSTO UNITARIO]]/F198</f>
        <v>2.7638776463262764</v>
      </c>
      <c r="H198" s="43"/>
      <c r="I198"/>
      <c r="J198" s="13"/>
    </row>
    <row r="199" spans="1:10" hidden="1" x14ac:dyDescent="0.25">
      <c r="A199" s="42">
        <v>44410</v>
      </c>
      <c r="B199" s="43" t="s">
        <v>189</v>
      </c>
      <c r="C199" s="43">
        <v>1</v>
      </c>
      <c r="D199" s="44">
        <v>1370416.67</v>
      </c>
      <c r="E199" s="45" t="s">
        <v>123</v>
      </c>
      <c r="F199" s="112">
        <v>4015000</v>
      </c>
      <c r="G199" s="108">
        <f>Tabla8[[#This Row],[COSTO UNITARIO]]/F199</f>
        <v>0.34132420174346201</v>
      </c>
      <c r="H199" s="43"/>
      <c r="I199"/>
      <c r="J199" s="13"/>
    </row>
    <row r="200" spans="1:10" hidden="1" x14ac:dyDescent="0.25">
      <c r="A200" s="42">
        <v>44410</v>
      </c>
      <c r="B200" s="43" t="s">
        <v>190</v>
      </c>
      <c r="C200" s="43">
        <v>1</v>
      </c>
      <c r="D200" s="44">
        <v>2763500</v>
      </c>
      <c r="E200" s="45" t="s">
        <v>123</v>
      </c>
      <c r="F200" s="112">
        <v>4015000</v>
      </c>
      <c r="G200" s="108">
        <f>Tabla8[[#This Row],[COSTO UNITARIO]]/F200</f>
        <v>0.68829389788293893</v>
      </c>
      <c r="H200" s="43"/>
      <c r="I200" s="27">
        <v>4015000</v>
      </c>
      <c r="J200" s="13"/>
    </row>
    <row r="201" spans="1:10" hidden="1" x14ac:dyDescent="0.25">
      <c r="A201" s="42">
        <v>44410</v>
      </c>
      <c r="B201" s="43" t="s">
        <v>191</v>
      </c>
      <c r="C201" s="43">
        <v>2</v>
      </c>
      <c r="D201" s="44">
        <v>8030000</v>
      </c>
      <c r="E201" s="45" t="s">
        <v>123</v>
      </c>
      <c r="F201" s="112">
        <v>4015000</v>
      </c>
      <c r="G201" s="108">
        <f>Tabla8[[#This Row],[COSTO UNITARIO]]/F201</f>
        <v>2</v>
      </c>
      <c r="H201" s="43"/>
      <c r="I201" s="71">
        <f>I200*2</f>
        <v>8030000</v>
      </c>
      <c r="J201" s="13"/>
    </row>
    <row r="202" spans="1:10" x14ac:dyDescent="0.25">
      <c r="A202" s="42">
        <v>44410</v>
      </c>
      <c r="B202" s="43" t="s">
        <v>185</v>
      </c>
      <c r="C202" s="43">
        <v>1</v>
      </c>
      <c r="D202" s="44">
        <v>1125058.25</v>
      </c>
      <c r="E202" s="45" t="s">
        <v>130</v>
      </c>
      <c r="F202" s="112">
        <v>4015000</v>
      </c>
      <c r="G202" s="108">
        <f>Tabla8[[#This Row],[COSTO UNITARIO]]/F202</f>
        <v>0.28021376089663763</v>
      </c>
      <c r="H202" s="43"/>
      <c r="I202"/>
      <c r="J202" s="13"/>
    </row>
    <row r="203" spans="1:10" x14ac:dyDescent="0.25">
      <c r="A203" s="42">
        <v>44410</v>
      </c>
      <c r="B203" s="43" t="s">
        <v>186</v>
      </c>
      <c r="C203" s="43">
        <v>2</v>
      </c>
      <c r="D203" s="44">
        <v>1256156.25</v>
      </c>
      <c r="E203" s="45" t="s">
        <v>130</v>
      </c>
      <c r="F203" s="112">
        <v>4015000</v>
      </c>
      <c r="G203" s="108">
        <f>Tabla8[[#This Row],[COSTO UNITARIO]]/F203</f>
        <v>0.31286581569115818</v>
      </c>
      <c r="H203" s="43"/>
      <c r="I203"/>
      <c r="J203" s="13"/>
    </row>
    <row r="204" spans="1:10" x14ac:dyDescent="0.25">
      <c r="A204" s="46">
        <v>44410</v>
      </c>
      <c r="B204" s="47" t="s">
        <v>191</v>
      </c>
      <c r="C204" s="47">
        <v>1</v>
      </c>
      <c r="D204" s="48">
        <v>4015000</v>
      </c>
      <c r="E204" s="49" t="s">
        <v>130</v>
      </c>
      <c r="F204" s="113">
        <v>4015000</v>
      </c>
      <c r="G204" s="114">
        <f>Tabla8[[#This Row],[COSTO UNITARIO]]/F204</f>
        <v>1</v>
      </c>
      <c r="H204" s="43"/>
      <c r="I204"/>
      <c r="J204" s="13"/>
    </row>
    <row r="205" spans="1:10" s="13" customFormat="1" hidden="1" x14ac:dyDescent="0.25">
      <c r="A205" s="50">
        <v>44411</v>
      </c>
      <c r="B205" s="51" t="s">
        <v>125</v>
      </c>
      <c r="C205" s="51">
        <v>1</v>
      </c>
      <c r="D205" s="52">
        <v>368088.88</v>
      </c>
      <c r="E205" s="53" t="s">
        <v>123</v>
      </c>
      <c r="F205" s="115">
        <v>4015000</v>
      </c>
      <c r="G205" s="93">
        <f>Tabla8[[#This Row],[COSTO UNITARIO]]/F205</f>
        <v>9.1678425902864263E-2</v>
      </c>
      <c r="H205" s="43"/>
    </row>
    <row r="206" spans="1:10" hidden="1" x14ac:dyDescent="0.25">
      <c r="A206" s="38">
        <v>44412</v>
      </c>
      <c r="B206" s="39" t="s">
        <v>125</v>
      </c>
      <c r="C206" s="39">
        <v>1</v>
      </c>
      <c r="D206" s="40">
        <v>365173.8</v>
      </c>
      <c r="E206" s="41" t="s">
        <v>129</v>
      </c>
      <c r="F206" s="111">
        <v>4015000</v>
      </c>
      <c r="G206" s="92">
        <f>Tabla8[[#This Row],[COSTO UNITARIO]]/F206</f>
        <v>9.0952378580323789E-2</v>
      </c>
      <c r="H206" s="43"/>
      <c r="I206"/>
      <c r="J206" s="13"/>
    </row>
    <row r="207" spans="1:10" hidden="1" x14ac:dyDescent="0.25">
      <c r="A207" s="42">
        <v>44412</v>
      </c>
      <c r="B207" s="43" t="s">
        <v>184</v>
      </c>
      <c r="C207" s="43">
        <v>1</v>
      </c>
      <c r="D207" s="44">
        <v>1035000</v>
      </c>
      <c r="E207" s="45" t="s">
        <v>122</v>
      </c>
      <c r="F207" s="112">
        <v>4015000</v>
      </c>
      <c r="G207" s="108">
        <f>Tabla8[[#This Row],[COSTO UNITARIO]]/F207</f>
        <v>0.2577833125778331</v>
      </c>
      <c r="H207" s="43"/>
      <c r="I207"/>
      <c r="J207" s="13"/>
    </row>
    <row r="208" spans="1:10" hidden="1" x14ac:dyDescent="0.25">
      <c r="A208" s="42">
        <v>44412</v>
      </c>
      <c r="B208" s="43" t="s">
        <v>191</v>
      </c>
      <c r="C208" s="43">
        <v>1</v>
      </c>
      <c r="D208" s="44">
        <v>4015000</v>
      </c>
      <c r="E208" s="45" t="s">
        <v>122</v>
      </c>
      <c r="F208" s="112">
        <v>4015000</v>
      </c>
      <c r="G208" s="108">
        <f>Tabla8[[#This Row],[COSTO UNITARIO]]/F208</f>
        <v>1</v>
      </c>
      <c r="H208" s="43"/>
      <c r="I208"/>
      <c r="J208" s="13"/>
    </row>
    <row r="209" spans="1:10" hidden="1" x14ac:dyDescent="0.25">
      <c r="A209" s="42">
        <v>44412</v>
      </c>
      <c r="B209" s="43" t="s">
        <v>192</v>
      </c>
      <c r="C209" s="43">
        <v>2</v>
      </c>
      <c r="D209" s="44">
        <v>14328927.08</v>
      </c>
      <c r="E209" s="45" t="s">
        <v>123</v>
      </c>
      <c r="F209" s="112">
        <v>4015000</v>
      </c>
      <c r="G209" s="108">
        <f>Tabla8[[#This Row],[COSTO UNITARIO]]/F209</f>
        <v>3.5688485877957659</v>
      </c>
      <c r="H209" s="43"/>
      <c r="I209"/>
      <c r="J209" s="13"/>
    </row>
    <row r="210" spans="1:10" hidden="1" x14ac:dyDescent="0.25">
      <c r="A210" s="42">
        <v>44412</v>
      </c>
      <c r="B210" s="43" t="s">
        <v>125</v>
      </c>
      <c r="C210" s="43">
        <v>1</v>
      </c>
      <c r="D210" s="44">
        <v>365173.8</v>
      </c>
      <c r="E210" s="45" t="s">
        <v>123</v>
      </c>
      <c r="F210" s="112">
        <v>4015000</v>
      </c>
      <c r="G210" s="108">
        <f>Tabla8[[#This Row],[COSTO UNITARIO]]/F210</f>
        <v>9.0952378580323789E-2</v>
      </c>
      <c r="H210" s="43"/>
      <c r="I210"/>
      <c r="J210" s="13"/>
    </row>
    <row r="211" spans="1:10" hidden="1" x14ac:dyDescent="0.25">
      <c r="A211" s="42">
        <v>44412</v>
      </c>
      <c r="B211" s="43" t="s">
        <v>193</v>
      </c>
      <c r="C211" s="43">
        <v>1</v>
      </c>
      <c r="D211" s="44">
        <v>6581768.3200000003</v>
      </c>
      <c r="E211" s="45" t="s">
        <v>123</v>
      </c>
      <c r="F211" s="112">
        <v>4015000</v>
      </c>
      <c r="G211" s="108">
        <f>Tabla8[[#This Row],[COSTO UNITARIO]]/F211</f>
        <v>1.6392947247820673</v>
      </c>
      <c r="H211" s="43"/>
      <c r="I211"/>
      <c r="J211" s="13"/>
    </row>
    <row r="212" spans="1:10" x14ac:dyDescent="0.25">
      <c r="A212" s="42">
        <v>44412</v>
      </c>
      <c r="B212" s="43" t="s">
        <v>185</v>
      </c>
      <c r="C212" s="43">
        <v>2</v>
      </c>
      <c r="D212" s="44">
        <v>1108034.5</v>
      </c>
      <c r="E212" s="45" t="s">
        <v>130</v>
      </c>
      <c r="F212" s="112">
        <v>4015000</v>
      </c>
      <c r="G212" s="108">
        <f>Tabla8[[#This Row],[COSTO UNITARIO]]/F212</f>
        <v>0.27597372353673721</v>
      </c>
      <c r="H212" s="43"/>
      <c r="I212"/>
      <c r="J212" s="13"/>
    </row>
    <row r="213" spans="1:10" x14ac:dyDescent="0.25">
      <c r="A213" s="42">
        <v>44412</v>
      </c>
      <c r="B213" s="43" t="s">
        <v>194</v>
      </c>
      <c r="C213" s="43">
        <v>1</v>
      </c>
      <c r="D213" s="44">
        <v>1020045</v>
      </c>
      <c r="E213" s="45" t="s">
        <v>130</v>
      </c>
      <c r="F213" s="112">
        <v>4015000</v>
      </c>
      <c r="G213" s="108">
        <f>Tabla8[[#This Row],[COSTO UNITARIO]]/F213</f>
        <v>0.2540585305105853</v>
      </c>
      <c r="H213" s="43"/>
      <c r="I213"/>
      <c r="J213" s="13"/>
    </row>
    <row r="214" spans="1:10" x14ac:dyDescent="0.25">
      <c r="A214" s="42">
        <v>44412</v>
      </c>
      <c r="B214" s="43" t="s">
        <v>186</v>
      </c>
      <c r="C214" s="43">
        <v>2</v>
      </c>
      <c r="D214" s="44">
        <v>1239132.5</v>
      </c>
      <c r="E214" s="45" t="s">
        <v>130</v>
      </c>
      <c r="F214" s="112">
        <v>4015000</v>
      </c>
      <c r="G214" s="108">
        <f>Tabla8[[#This Row],[COSTO UNITARIO]]/F214</f>
        <v>0.30862577833125776</v>
      </c>
      <c r="H214" s="43"/>
      <c r="I214"/>
      <c r="J214" s="13"/>
    </row>
    <row r="215" spans="1:10" x14ac:dyDescent="0.25">
      <c r="A215" s="42">
        <v>44412</v>
      </c>
      <c r="B215" s="43" t="s">
        <v>195</v>
      </c>
      <c r="C215" s="43">
        <v>1</v>
      </c>
      <c r="D215" s="44">
        <v>1373947.3</v>
      </c>
      <c r="E215" s="45" t="s">
        <v>130</v>
      </c>
      <c r="F215" s="112">
        <v>4015000</v>
      </c>
      <c r="G215" s="108">
        <f>Tabla8[[#This Row],[COSTO UNITARIO]]/F215</f>
        <v>0.34220356164383564</v>
      </c>
      <c r="H215" s="43"/>
      <c r="I215"/>
      <c r="J215" s="13"/>
    </row>
    <row r="216" spans="1:10" x14ac:dyDescent="0.25">
      <c r="A216" s="46">
        <v>44412</v>
      </c>
      <c r="B216" s="47" t="s">
        <v>124</v>
      </c>
      <c r="C216" s="47">
        <v>2</v>
      </c>
      <c r="D216" s="48">
        <v>11096968</v>
      </c>
      <c r="E216" s="49" t="s">
        <v>130</v>
      </c>
      <c r="F216" s="113">
        <v>4015000</v>
      </c>
      <c r="G216" s="114">
        <f>Tabla8[[#This Row],[COSTO UNITARIO]]/F216</f>
        <v>2.7638774595267748</v>
      </c>
      <c r="H216" s="43"/>
      <c r="I216"/>
      <c r="J216" s="13"/>
    </row>
    <row r="217" spans="1:10" hidden="1" x14ac:dyDescent="0.25">
      <c r="A217" s="38">
        <v>44413</v>
      </c>
      <c r="B217" s="39" t="s">
        <v>184</v>
      </c>
      <c r="C217" s="39">
        <v>1</v>
      </c>
      <c r="D217" s="40">
        <v>1035000</v>
      </c>
      <c r="E217" s="41" t="s">
        <v>122</v>
      </c>
      <c r="F217" s="111">
        <v>4040000</v>
      </c>
      <c r="G217" s="92">
        <f>Tabla8[[#This Row],[COSTO UNITARIO]]/F217</f>
        <v>0.25618811881188119</v>
      </c>
      <c r="H217" s="43"/>
      <c r="I217"/>
      <c r="J217" s="13"/>
    </row>
    <row r="218" spans="1:10" hidden="1" x14ac:dyDescent="0.25">
      <c r="A218" s="38">
        <v>44413</v>
      </c>
      <c r="B218" s="43" t="s">
        <v>191</v>
      </c>
      <c r="C218" s="43">
        <v>1</v>
      </c>
      <c r="D218" s="44">
        <v>4040000</v>
      </c>
      <c r="E218" s="45" t="s">
        <v>122</v>
      </c>
      <c r="F218" s="112">
        <v>4040000</v>
      </c>
      <c r="G218" s="108">
        <f>Tabla8[[#This Row],[COSTO UNITARIO]]/F218</f>
        <v>1</v>
      </c>
      <c r="H218" s="43"/>
      <c r="I218"/>
      <c r="J218" s="13"/>
    </row>
    <row r="219" spans="1:10" hidden="1" x14ac:dyDescent="0.25">
      <c r="A219" s="50">
        <v>44413</v>
      </c>
      <c r="B219" s="47" t="s">
        <v>125</v>
      </c>
      <c r="C219" s="47">
        <v>1</v>
      </c>
      <c r="D219" s="48">
        <v>365173.8</v>
      </c>
      <c r="E219" s="49" t="s">
        <v>123</v>
      </c>
      <c r="F219" s="113">
        <v>4040000</v>
      </c>
      <c r="G219" s="114">
        <f>Tabla8[[#This Row],[COSTO UNITARIO]]/F219</f>
        <v>9.0389554455445539E-2</v>
      </c>
      <c r="H219" s="43"/>
      <c r="I219"/>
      <c r="J219" s="13"/>
    </row>
    <row r="220" spans="1:10" hidden="1" x14ac:dyDescent="0.25">
      <c r="A220" s="38">
        <v>44414</v>
      </c>
      <c r="B220" s="39" t="s">
        <v>125</v>
      </c>
      <c r="C220" s="39">
        <v>1</v>
      </c>
      <c r="D220" s="40">
        <v>372969.04</v>
      </c>
      <c r="E220" s="41" t="s">
        <v>129</v>
      </c>
      <c r="F220" s="111">
        <v>4040000</v>
      </c>
      <c r="G220" s="92">
        <f>Tabla8[[#This Row],[COSTO UNITARIO]]/F220</f>
        <v>9.2319069306930693E-2</v>
      </c>
      <c r="H220" s="43"/>
      <c r="I220"/>
      <c r="J220" s="13"/>
    </row>
    <row r="221" spans="1:10" hidden="1" x14ac:dyDescent="0.25">
      <c r="A221" s="42">
        <v>44414</v>
      </c>
      <c r="B221" s="43" t="s">
        <v>184</v>
      </c>
      <c r="C221" s="43">
        <v>1</v>
      </c>
      <c r="D221" s="44">
        <v>1035000</v>
      </c>
      <c r="E221" s="45" t="s">
        <v>122</v>
      </c>
      <c r="F221" s="112">
        <v>4040000</v>
      </c>
      <c r="G221" s="108">
        <f>Tabla8[[#This Row],[COSTO UNITARIO]]/F221</f>
        <v>0.25618811881188119</v>
      </c>
      <c r="H221" s="43"/>
      <c r="I221"/>
      <c r="J221" s="13"/>
    </row>
    <row r="222" spans="1:10" hidden="1" x14ac:dyDescent="0.25">
      <c r="A222" s="42">
        <v>44414</v>
      </c>
      <c r="B222" s="43" t="s">
        <v>139</v>
      </c>
      <c r="C222" s="43">
        <v>1</v>
      </c>
      <c r="D222" s="44">
        <v>2125500</v>
      </c>
      <c r="E222" s="45" t="s">
        <v>123</v>
      </c>
      <c r="F222" s="112">
        <v>4040000</v>
      </c>
      <c r="G222" s="108">
        <f>Tabla8[[#This Row],[COSTO UNITARIO]]/F222</f>
        <v>0.52611386138613858</v>
      </c>
      <c r="H222" s="43"/>
      <c r="I222"/>
      <c r="J222" s="13"/>
    </row>
    <row r="223" spans="1:10" hidden="1" x14ac:dyDescent="0.25">
      <c r="A223" s="42">
        <v>44415</v>
      </c>
      <c r="B223" s="43" t="s">
        <v>125</v>
      </c>
      <c r="C223" s="43">
        <v>1</v>
      </c>
      <c r="D223" s="44">
        <v>372969.04</v>
      </c>
      <c r="E223" s="45" t="s">
        <v>123</v>
      </c>
      <c r="F223" s="112">
        <v>4040000</v>
      </c>
      <c r="G223" s="108">
        <f>Tabla8[[#This Row],[COSTO UNITARIO]]/F223</f>
        <v>9.2319069306930693E-2</v>
      </c>
      <c r="H223" s="43"/>
      <c r="I223"/>
      <c r="J223" s="13"/>
    </row>
    <row r="224" spans="1:10" hidden="1" x14ac:dyDescent="0.25">
      <c r="A224" s="42">
        <v>44414</v>
      </c>
      <c r="B224" s="43" t="s">
        <v>124</v>
      </c>
      <c r="C224" s="43">
        <v>1</v>
      </c>
      <c r="D224" s="44">
        <v>1612455.59</v>
      </c>
      <c r="E224" s="45" t="s">
        <v>123</v>
      </c>
      <c r="F224" s="112">
        <v>4040000</v>
      </c>
      <c r="G224" s="108">
        <f>Tabla8[[#This Row],[COSTO UNITARIO]]/F224</f>
        <v>0.39912267079207925</v>
      </c>
      <c r="H224" s="43"/>
      <c r="I224"/>
      <c r="J224" s="13"/>
    </row>
    <row r="225" spans="1:10" x14ac:dyDescent="0.25">
      <c r="A225" s="42">
        <v>44414</v>
      </c>
      <c r="B225" s="43" t="s">
        <v>186</v>
      </c>
      <c r="C225" s="43">
        <v>2</v>
      </c>
      <c r="D225" s="44">
        <v>1642970</v>
      </c>
      <c r="E225" s="45" t="s">
        <v>130</v>
      </c>
      <c r="F225" s="112">
        <v>4040000</v>
      </c>
      <c r="G225" s="108">
        <f>Tabla8[[#This Row],[COSTO UNITARIO]]/F225</f>
        <v>0.40667574257425743</v>
      </c>
      <c r="H225" s="43"/>
      <c r="I225"/>
      <c r="J225" s="13"/>
    </row>
    <row r="226" spans="1:10" x14ac:dyDescent="0.25">
      <c r="A226" s="46">
        <v>44414</v>
      </c>
      <c r="B226" s="47" t="s">
        <v>124</v>
      </c>
      <c r="C226" s="47">
        <v>2</v>
      </c>
      <c r="D226" s="48">
        <v>1612455.59</v>
      </c>
      <c r="E226" s="49" t="s">
        <v>130</v>
      </c>
      <c r="F226" s="113">
        <v>4040000</v>
      </c>
      <c r="G226" s="114">
        <f>Tabla8[[#This Row],[COSTO UNITARIO]]/F226</f>
        <v>0.39912267079207925</v>
      </c>
      <c r="H226" s="43"/>
      <c r="I226"/>
      <c r="J226" s="13"/>
    </row>
    <row r="227" spans="1:10" hidden="1" x14ac:dyDescent="0.25">
      <c r="A227" s="38">
        <v>44415</v>
      </c>
      <c r="B227" s="39" t="s">
        <v>183</v>
      </c>
      <c r="C227" s="39">
        <v>3</v>
      </c>
      <c r="D227" s="40">
        <v>4594688</v>
      </c>
      <c r="E227" s="41" t="s">
        <v>129</v>
      </c>
      <c r="F227" s="111">
        <v>4040000</v>
      </c>
      <c r="G227" s="92">
        <f>Tabla8[[#This Row],[COSTO UNITARIO]]/F227</f>
        <v>1.1372990099009901</v>
      </c>
      <c r="H227" s="43"/>
      <c r="I227"/>
      <c r="J227" s="13"/>
    </row>
    <row r="228" spans="1:10" hidden="1" x14ac:dyDescent="0.25">
      <c r="A228" s="42">
        <v>44415</v>
      </c>
      <c r="B228" s="43" t="s">
        <v>184</v>
      </c>
      <c r="C228" s="43">
        <v>1</v>
      </c>
      <c r="D228" s="44">
        <v>1035000</v>
      </c>
      <c r="E228" s="45" t="s">
        <v>122</v>
      </c>
      <c r="F228" s="112">
        <v>4040000</v>
      </c>
      <c r="G228" s="108">
        <f>Tabla8[[#This Row],[COSTO UNITARIO]]/F228</f>
        <v>0.25618811881188119</v>
      </c>
      <c r="H228" s="43"/>
      <c r="I228"/>
      <c r="J228" s="13"/>
    </row>
    <row r="229" spans="1:10" hidden="1" x14ac:dyDescent="0.25">
      <c r="A229" s="42">
        <v>44415</v>
      </c>
      <c r="B229" s="43" t="s">
        <v>191</v>
      </c>
      <c r="C229" s="43">
        <v>1</v>
      </c>
      <c r="D229" s="44">
        <v>1642970</v>
      </c>
      <c r="E229" s="45" t="s">
        <v>123</v>
      </c>
      <c r="F229" s="112">
        <v>4040000</v>
      </c>
      <c r="G229" s="108">
        <f>Tabla8[[#This Row],[COSTO UNITARIO]]/F229</f>
        <v>0.40667574257425743</v>
      </c>
      <c r="H229" s="43"/>
      <c r="I229"/>
      <c r="J229" s="13"/>
    </row>
    <row r="230" spans="1:10" hidden="1" x14ac:dyDescent="0.25">
      <c r="A230" s="42">
        <v>44415</v>
      </c>
      <c r="B230" s="43" t="s">
        <v>186</v>
      </c>
      <c r="C230" s="43">
        <v>1</v>
      </c>
      <c r="D230" s="44">
        <v>2820000</v>
      </c>
      <c r="E230" s="45" t="s">
        <v>123</v>
      </c>
      <c r="F230" s="112">
        <v>4040000</v>
      </c>
      <c r="G230" s="108">
        <f>Tabla8[[#This Row],[COSTO UNITARIO]]/F230</f>
        <v>0.69801980198019797</v>
      </c>
      <c r="H230" s="43"/>
      <c r="I230"/>
      <c r="J230" s="13"/>
    </row>
    <row r="231" spans="1:10" hidden="1" x14ac:dyDescent="0.25">
      <c r="A231" s="42">
        <v>44415</v>
      </c>
      <c r="B231" s="43" t="s">
        <v>192</v>
      </c>
      <c r="C231" s="43">
        <v>1</v>
      </c>
      <c r="D231" s="44">
        <v>14328927.08</v>
      </c>
      <c r="E231" s="45" t="s">
        <v>123</v>
      </c>
      <c r="F231" s="112">
        <v>4040000</v>
      </c>
      <c r="G231" s="108">
        <f>Tabla8[[#This Row],[COSTO UNITARIO]]/F231</f>
        <v>3.5467641287128715</v>
      </c>
      <c r="H231" s="43"/>
      <c r="I231"/>
      <c r="J231" s="13"/>
    </row>
    <row r="232" spans="1:10" hidden="1" x14ac:dyDescent="0.25">
      <c r="A232" s="42">
        <v>44415</v>
      </c>
      <c r="B232" s="55" t="s">
        <v>196</v>
      </c>
      <c r="C232" s="43"/>
      <c r="D232" s="44"/>
      <c r="E232" s="45" t="s">
        <v>123</v>
      </c>
      <c r="F232" s="112">
        <v>4040000</v>
      </c>
      <c r="G232" s="108">
        <f>Tabla8[[#This Row],[COSTO UNITARIO]]/F232</f>
        <v>0</v>
      </c>
      <c r="H232" s="43"/>
      <c r="I232"/>
      <c r="J232" s="13"/>
    </row>
    <row r="233" spans="1:10" hidden="1" x14ac:dyDescent="0.25">
      <c r="A233" s="42">
        <v>44415</v>
      </c>
      <c r="B233" s="43" t="s">
        <v>124</v>
      </c>
      <c r="C233" s="43">
        <v>4</v>
      </c>
      <c r="D233" s="44">
        <v>1612455.59</v>
      </c>
      <c r="E233" s="45" t="s">
        <v>123</v>
      </c>
      <c r="F233" s="112">
        <v>4040000</v>
      </c>
      <c r="G233" s="108">
        <f>Tabla8[[#This Row],[COSTO UNITARIO]]/F233</f>
        <v>0.39912267079207925</v>
      </c>
      <c r="H233" s="43"/>
      <c r="I233"/>
      <c r="J233" s="13"/>
    </row>
    <row r="234" spans="1:10" hidden="1" x14ac:dyDescent="0.25">
      <c r="A234" s="42">
        <v>44415</v>
      </c>
      <c r="B234" s="43" t="s">
        <v>197</v>
      </c>
      <c r="C234" s="43">
        <v>1</v>
      </c>
      <c r="D234" s="44"/>
      <c r="E234" s="45" t="s">
        <v>123</v>
      </c>
      <c r="F234" s="112">
        <v>4040000</v>
      </c>
      <c r="G234" s="108">
        <f>Tabla8[[#This Row],[COSTO UNITARIO]]/F234</f>
        <v>0</v>
      </c>
      <c r="H234" s="43"/>
      <c r="I234"/>
      <c r="J234" s="13"/>
    </row>
    <row r="235" spans="1:10" hidden="1" x14ac:dyDescent="0.25">
      <c r="A235" s="42">
        <v>44415</v>
      </c>
      <c r="B235" s="43" t="s">
        <v>191</v>
      </c>
      <c r="C235" s="43">
        <v>1</v>
      </c>
      <c r="D235" s="44">
        <v>4050000</v>
      </c>
      <c r="E235" s="45" t="s">
        <v>123</v>
      </c>
      <c r="F235" s="112">
        <v>4040000</v>
      </c>
      <c r="G235" s="108">
        <f>Tabla8[[#This Row],[COSTO UNITARIO]]/F235</f>
        <v>1.0024752475247525</v>
      </c>
      <c r="H235" s="43"/>
      <c r="I235"/>
      <c r="J235" s="13"/>
    </row>
    <row r="236" spans="1:10" hidden="1" x14ac:dyDescent="0.25">
      <c r="A236" s="46">
        <v>44415</v>
      </c>
      <c r="B236" s="56" t="s">
        <v>198</v>
      </c>
      <c r="C236" s="47"/>
      <c r="D236" s="48"/>
      <c r="E236" s="49" t="s">
        <v>123</v>
      </c>
      <c r="F236" s="113">
        <v>4040000</v>
      </c>
      <c r="G236" s="114">
        <f>Tabla8[[#This Row],[COSTO UNITARIO]]/F236</f>
        <v>0</v>
      </c>
      <c r="H236" s="43"/>
      <c r="I236"/>
      <c r="J236" s="13"/>
    </row>
    <row r="237" spans="1:10" hidden="1" x14ac:dyDescent="0.25">
      <c r="A237" s="38">
        <v>44416</v>
      </c>
      <c r="B237" s="39" t="s">
        <v>184</v>
      </c>
      <c r="C237" s="39">
        <v>1</v>
      </c>
      <c r="D237" s="40">
        <v>1035000</v>
      </c>
      <c r="E237" s="41" t="s">
        <v>122</v>
      </c>
      <c r="F237" s="111">
        <v>4040000</v>
      </c>
      <c r="G237" s="92">
        <f>Tabla8[[#This Row],[COSTO UNITARIO]]/F237</f>
        <v>0.25618811881188119</v>
      </c>
      <c r="H237" s="43"/>
      <c r="I237"/>
      <c r="J237" s="13"/>
    </row>
    <row r="238" spans="1:10" hidden="1" x14ac:dyDescent="0.25">
      <c r="A238" s="42">
        <v>44416</v>
      </c>
      <c r="B238" s="43" t="s">
        <v>191</v>
      </c>
      <c r="C238" s="43">
        <v>1</v>
      </c>
      <c r="D238" s="44">
        <v>4050000</v>
      </c>
      <c r="E238" s="45" t="s">
        <v>122</v>
      </c>
      <c r="F238" s="112">
        <v>4040000</v>
      </c>
      <c r="G238" s="108">
        <f>Tabla8[[#This Row],[COSTO UNITARIO]]/F238</f>
        <v>1.0024752475247525</v>
      </c>
      <c r="H238" s="43"/>
      <c r="I238"/>
      <c r="J238" s="13"/>
    </row>
    <row r="239" spans="1:10" hidden="1" x14ac:dyDescent="0.25">
      <c r="A239" s="42">
        <v>44416</v>
      </c>
      <c r="B239" s="43" t="s">
        <v>192</v>
      </c>
      <c r="C239" s="43">
        <v>1</v>
      </c>
      <c r="D239" s="44">
        <v>14328927.08</v>
      </c>
      <c r="E239" s="45" t="s">
        <v>123</v>
      </c>
      <c r="F239" s="112">
        <v>4040000</v>
      </c>
      <c r="G239" s="108">
        <f>Tabla8[[#This Row],[COSTO UNITARIO]]/F239</f>
        <v>3.5467641287128715</v>
      </c>
      <c r="H239" s="43"/>
      <c r="I239"/>
      <c r="J239" s="13"/>
    </row>
    <row r="240" spans="1:10" x14ac:dyDescent="0.25">
      <c r="A240" s="42">
        <v>44416</v>
      </c>
      <c r="B240" s="43" t="s">
        <v>186</v>
      </c>
      <c r="C240" s="43">
        <v>1</v>
      </c>
      <c r="D240" s="44">
        <v>1642970</v>
      </c>
      <c r="E240" s="45" t="s">
        <v>130</v>
      </c>
      <c r="F240" s="112">
        <v>4040000</v>
      </c>
      <c r="G240" s="108">
        <f>Tabla8[[#This Row],[COSTO UNITARIO]]/F240</f>
        <v>0.40667574257425743</v>
      </c>
      <c r="H240" s="43"/>
      <c r="I240"/>
      <c r="J240" s="13"/>
    </row>
    <row r="241" spans="1:10" x14ac:dyDescent="0.25">
      <c r="A241" s="42">
        <v>44416</v>
      </c>
      <c r="B241" s="43" t="s">
        <v>195</v>
      </c>
      <c r="C241" s="43">
        <v>1</v>
      </c>
      <c r="D241" s="44">
        <v>1777830.8</v>
      </c>
      <c r="E241" s="45" t="s">
        <v>130</v>
      </c>
      <c r="F241" s="112">
        <v>4040000</v>
      </c>
      <c r="G241" s="108">
        <f>Tabla8[[#This Row],[COSTO UNITARIO]]/F241</f>
        <v>0.44005712871287128</v>
      </c>
      <c r="H241" s="43"/>
      <c r="I241"/>
      <c r="J241" s="13"/>
    </row>
    <row r="242" spans="1:10" x14ac:dyDescent="0.25">
      <c r="A242" s="46">
        <v>44416</v>
      </c>
      <c r="B242" s="47" t="s">
        <v>199</v>
      </c>
      <c r="C242" s="47">
        <v>1</v>
      </c>
      <c r="D242" s="48">
        <v>6472465.2599999998</v>
      </c>
      <c r="E242" s="49" t="s">
        <v>130</v>
      </c>
      <c r="F242" s="113">
        <v>4040000</v>
      </c>
      <c r="G242" s="114">
        <f>Tabla8[[#This Row],[COSTO UNITARIO]]/F242</f>
        <v>1.6020953613861386</v>
      </c>
      <c r="H242" s="43"/>
      <c r="I242"/>
      <c r="J242" s="13"/>
    </row>
    <row r="243" spans="1:10" hidden="1" x14ac:dyDescent="0.25">
      <c r="A243" s="38">
        <v>44417</v>
      </c>
      <c r="B243" s="39" t="s">
        <v>186</v>
      </c>
      <c r="C243" s="39">
        <v>1</v>
      </c>
      <c r="D243" s="40">
        <v>1642970</v>
      </c>
      <c r="E243" s="41" t="s">
        <v>129</v>
      </c>
      <c r="F243" s="111">
        <v>4110000</v>
      </c>
      <c r="G243" s="92">
        <f>Tabla8[[#This Row],[COSTO UNITARIO]]/F243</f>
        <v>0.39974939172749391</v>
      </c>
      <c r="H243" s="43"/>
      <c r="I243"/>
      <c r="J243" s="13"/>
    </row>
    <row r="244" spans="1:10" hidden="1" x14ac:dyDescent="0.25">
      <c r="A244" s="42">
        <v>44417</v>
      </c>
      <c r="B244" s="43" t="s">
        <v>184</v>
      </c>
      <c r="C244" s="43">
        <v>1</v>
      </c>
      <c r="D244" s="44">
        <v>1035000</v>
      </c>
      <c r="E244" s="45" t="s">
        <v>129</v>
      </c>
      <c r="F244" s="112">
        <v>4110000</v>
      </c>
      <c r="G244" s="108">
        <f>Tabla8[[#This Row],[COSTO UNITARIO]]/F244</f>
        <v>0.2518248175182482</v>
      </c>
      <c r="H244" s="43"/>
      <c r="I244"/>
      <c r="J244" s="13"/>
    </row>
    <row r="245" spans="1:10" hidden="1" x14ac:dyDescent="0.25">
      <c r="A245" s="42">
        <v>44417</v>
      </c>
      <c r="B245" s="43" t="s">
        <v>192</v>
      </c>
      <c r="C245" s="43">
        <v>1</v>
      </c>
      <c r="D245" s="44">
        <v>14328927.08</v>
      </c>
      <c r="E245" s="45" t="s">
        <v>129</v>
      </c>
      <c r="F245" s="112">
        <v>4110000</v>
      </c>
      <c r="G245" s="108">
        <f>Tabla8[[#This Row],[COSTO UNITARIO]]/F245</f>
        <v>3.4863569537712897</v>
      </c>
      <c r="H245" s="43"/>
      <c r="I245"/>
      <c r="J245" s="13"/>
    </row>
    <row r="246" spans="1:10" hidden="1" x14ac:dyDescent="0.25">
      <c r="A246" s="42">
        <v>44417</v>
      </c>
      <c r="B246" s="43" t="s">
        <v>134</v>
      </c>
      <c r="C246" s="43">
        <v>1</v>
      </c>
      <c r="D246" s="44">
        <v>186484.52</v>
      </c>
      <c r="E246" s="45" t="s">
        <v>129</v>
      </c>
      <c r="F246" s="112">
        <v>4110000</v>
      </c>
      <c r="G246" s="108">
        <f>Tabla8[[#This Row],[COSTO UNITARIO]]/F246</f>
        <v>4.5373362530413623E-2</v>
      </c>
      <c r="H246" s="43"/>
      <c r="I246"/>
      <c r="J246" s="13"/>
    </row>
    <row r="247" spans="1:10" hidden="1" x14ac:dyDescent="0.25">
      <c r="A247" s="42">
        <v>44417</v>
      </c>
      <c r="B247" s="43" t="s">
        <v>184</v>
      </c>
      <c r="C247" s="43">
        <v>1</v>
      </c>
      <c r="D247" s="44">
        <v>1035000</v>
      </c>
      <c r="E247" s="45" t="s">
        <v>122</v>
      </c>
      <c r="F247" s="112">
        <v>4110000</v>
      </c>
      <c r="G247" s="108">
        <f>Tabla8[[#This Row],[COSTO UNITARIO]]/F247</f>
        <v>0.2518248175182482</v>
      </c>
      <c r="H247" s="43"/>
      <c r="I247"/>
      <c r="J247" s="13"/>
    </row>
    <row r="248" spans="1:10" hidden="1" x14ac:dyDescent="0.25">
      <c r="A248" s="42">
        <v>44417</v>
      </c>
      <c r="B248" s="43" t="s">
        <v>191</v>
      </c>
      <c r="C248" s="43">
        <v>1</v>
      </c>
      <c r="D248" s="44">
        <v>4110000</v>
      </c>
      <c r="E248" s="45" t="s">
        <v>122</v>
      </c>
      <c r="F248" s="112">
        <v>4110000</v>
      </c>
      <c r="G248" s="108">
        <f>Tabla8[[#This Row],[COSTO UNITARIO]]/F248</f>
        <v>1</v>
      </c>
      <c r="H248" s="43"/>
      <c r="I248"/>
      <c r="J248" s="13"/>
    </row>
    <row r="249" spans="1:10" hidden="1" x14ac:dyDescent="0.25">
      <c r="A249" s="42">
        <v>44417</v>
      </c>
      <c r="B249" s="43" t="s">
        <v>200</v>
      </c>
      <c r="C249" s="43">
        <v>2</v>
      </c>
      <c r="D249" s="44">
        <v>12241165.4</v>
      </c>
      <c r="E249" s="45" t="s">
        <v>123</v>
      </c>
      <c r="F249" s="112">
        <v>4110000</v>
      </c>
      <c r="G249" s="108">
        <f>Tabla8[[#This Row],[COSTO UNITARIO]]/F249</f>
        <v>2.9783857420924575</v>
      </c>
      <c r="H249" s="43"/>
      <c r="I249"/>
      <c r="J249" s="13"/>
    </row>
    <row r="250" spans="1:10" hidden="1" x14ac:dyDescent="0.25">
      <c r="A250" s="42">
        <v>44417</v>
      </c>
      <c r="B250" s="43" t="s">
        <v>125</v>
      </c>
      <c r="C250" s="43">
        <v>2</v>
      </c>
      <c r="D250" s="44">
        <v>372969.04</v>
      </c>
      <c r="E250" s="45" t="s">
        <v>123</v>
      </c>
      <c r="F250" s="112">
        <v>4110000</v>
      </c>
      <c r="G250" s="108">
        <f>Tabla8[[#This Row],[COSTO UNITARIO]]/F250</f>
        <v>9.0746725060827246E-2</v>
      </c>
      <c r="H250" s="43"/>
      <c r="I250"/>
      <c r="J250" s="13"/>
    </row>
    <row r="251" spans="1:10" hidden="1" x14ac:dyDescent="0.25">
      <c r="A251" s="42">
        <v>44417</v>
      </c>
      <c r="B251" s="43" t="s">
        <v>134</v>
      </c>
      <c r="C251" s="43">
        <v>1</v>
      </c>
      <c r="D251" s="44">
        <v>186484.52</v>
      </c>
      <c r="E251" s="45" t="s">
        <v>123</v>
      </c>
      <c r="F251" s="112">
        <v>4110000</v>
      </c>
      <c r="G251" s="108">
        <f>Tabla8[[#This Row],[COSTO UNITARIO]]/F251</f>
        <v>4.5373362530413623E-2</v>
      </c>
      <c r="H251" s="43"/>
      <c r="I251"/>
      <c r="J251" s="13"/>
    </row>
    <row r="252" spans="1:10" x14ac:dyDescent="0.25">
      <c r="A252" s="42">
        <v>44417</v>
      </c>
      <c r="B252" s="43" t="s">
        <v>194</v>
      </c>
      <c r="C252" s="43">
        <v>1</v>
      </c>
      <c r="D252" s="44">
        <v>1181580</v>
      </c>
      <c r="E252" s="45" t="s">
        <v>130</v>
      </c>
      <c r="F252" s="112">
        <v>4110000</v>
      </c>
      <c r="G252" s="108">
        <f>Tabla8[[#This Row],[COSTO UNITARIO]]/F252</f>
        <v>0.28748905109489054</v>
      </c>
      <c r="H252" s="43"/>
      <c r="I252"/>
      <c r="J252" s="13"/>
    </row>
    <row r="253" spans="1:10" x14ac:dyDescent="0.25">
      <c r="A253" s="42">
        <v>44417</v>
      </c>
      <c r="B253" s="43" t="s">
        <v>186</v>
      </c>
      <c r="C253" s="43">
        <v>5</v>
      </c>
      <c r="D253" s="44">
        <v>1642970</v>
      </c>
      <c r="E253" s="45" t="s">
        <v>130</v>
      </c>
      <c r="F253" s="112">
        <v>4110000</v>
      </c>
      <c r="G253" s="108">
        <f>Tabla8[[#This Row],[COSTO UNITARIO]]/F253</f>
        <v>0.39974939172749391</v>
      </c>
      <c r="H253" s="43"/>
      <c r="I253"/>
      <c r="J253" s="13"/>
    </row>
    <row r="254" spans="1:10" hidden="1" x14ac:dyDescent="0.25">
      <c r="A254" s="42">
        <v>44417</v>
      </c>
      <c r="B254" s="55" t="s">
        <v>201</v>
      </c>
      <c r="C254" s="43">
        <v>2</v>
      </c>
      <c r="D254" s="44">
        <v>1603280</v>
      </c>
      <c r="E254" s="45" t="s">
        <v>209</v>
      </c>
      <c r="F254" s="112">
        <v>4110000</v>
      </c>
      <c r="G254" s="108">
        <f>Tabla8[[#This Row],[COSTO UNITARIO]]/F254</f>
        <v>0.39009245742092458</v>
      </c>
      <c r="H254" s="43"/>
      <c r="I254"/>
      <c r="J254" s="13"/>
    </row>
    <row r="255" spans="1:10" x14ac:dyDescent="0.25">
      <c r="A255" s="42">
        <v>44417</v>
      </c>
      <c r="B255" s="43" t="s">
        <v>132</v>
      </c>
      <c r="C255" s="43">
        <v>2</v>
      </c>
      <c r="D255" s="44">
        <v>3959136.67</v>
      </c>
      <c r="E255" s="45" t="s">
        <v>130</v>
      </c>
      <c r="F255" s="112">
        <v>4110000</v>
      </c>
      <c r="G255" s="108">
        <f>Tabla8[[#This Row],[COSTO UNITARIO]]/F255</f>
        <v>0.96329359367396594</v>
      </c>
      <c r="H255" s="43"/>
      <c r="I255"/>
      <c r="J255" s="13"/>
    </row>
    <row r="256" spans="1:10" hidden="1" x14ac:dyDescent="0.25">
      <c r="A256" s="42">
        <v>44417</v>
      </c>
      <c r="B256" s="43" t="s">
        <v>202</v>
      </c>
      <c r="C256" s="43">
        <v>1</v>
      </c>
      <c r="D256" s="44">
        <v>986250</v>
      </c>
      <c r="E256" s="45" t="s">
        <v>207</v>
      </c>
      <c r="F256" s="112">
        <v>4110000</v>
      </c>
      <c r="G256" s="108">
        <f>Tabla8[[#This Row],[COSTO UNITARIO]]/F256</f>
        <v>0.23996350364963503</v>
      </c>
      <c r="H256" s="43"/>
      <c r="I256"/>
      <c r="J256" s="13"/>
    </row>
    <row r="257" spans="1:10" hidden="1" x14ac:dyDescent="0.25">
      <c r="A257" s="42">
        <v>44417</v>
      </c>
      <c r="B257" s="43" t="s">
        <v>203</v>
      </c>
      <c r="C257" s="43">
        <v>1</v>
      </c>
      <c r="D257" s="44">
        <v>2844250</v>
      </c>
      <c r="E257" s="45" t="s">
        <v>207</v>
      </c>
      <c r="F257" s="112">
        <v>4110000</v>
      </c>
      <c r="G257" s="108">
        <f>Tabla8[[#This Row],[COSTO UNITARIO]]/F257</f>
        <v>0.69203163017031633</v>
      </c>
      <c r="H257" s="43"/>
      <c r="I257"/>
      <c r="J257" s="13"/>
    </row>
    <row r="258" spans="1:10" hidden="1" x14ac:dyDescent="0.25">
      <c r="A258" s="42">
        <v>44417</v>
      </c>
      <c r="B258" s="43" t="s">
        <v>204</v>
      </c>
      <c r="C258" s="43">
        <v>2</v>
      </c>
      <c r="D258" s="44">
        <v>3231000</v>
      </c>
      <c r="E258" s="45" t="s">
        <v>207</v>
      </c>
      <c r="F258" s="112">
        <v>4110000</v>
      </c>
      <c r="G258" s="108">
        <f>Tabla8[[#This Row],[COSTO UNITARIO]]/F258</f>
        <v>0.7861313868613139</v>
      </c>
      <c r="H258" s="43"/>
      <c r="I258"/>
      <c r="J258" s="13"/>
    </row>
    <row r="259" spans="1:10" hidden="1" x14ac:dyDescent="0.25">
      <c r="A259" s="42">
        <v>44417</v>
      </c>
      <c r="B259" s="43" t="s">
        <v>205</v>
      </c>
      <c r="C259" s="43">
        <v>1</v>
      </c>
      <c r="D259" s="44">
        <v>1838200</v>
      </c>
      <c r="E259" s="45" t="s">
        <v>207</v>
      </c>
      <c r="F259" s="112">
        <v>4110000</v>
      </c>
      <c r="G259" s="108">
        <f>Tabla8[[#This Row],[COSTO UNITARIO]]/F259</f>
        <v>0.44725060827250607</v>
      </c>
      <c r="H259" s="43"/>
      <c r="I259"/>
      <c r="J259" s="13"/>
    </row>
    <row r="260" spans="1:10" hidden="1" x14ac:dyDescent="0.25">
      <c r="A260" s="42">
        <v>44417</v>
      </c>
      <c r="B260" s="43" t="s">
        <v>128</v>
      </c>
      <c r="C260" s="43">
        <v>2</v>
      </c>
      <c r="D260" s="44">
        <v>27324995.050000001</v>
      </c>
      <c r="E260" s="45" t="s">
        <v>129</v>
      </c>
      <c r="F260" s="112">
        <v>4110000</v>
      </c>
      <c r="G260" s="108">
        <f>Tabla8[[#This Row],[COSTO UNITARIO]]/F260</f>
        <v>6.648417287104623</v>
      </c>
      <c r="H260" s="43"/>
      <c r="I260"/>
      <c r="J260" s="13"/>
    </row>
    <row r="261" spans="1:10" hidden="1" x14ac:dyDescent="0.25">
      <c r="A261" s="42">
        <v>44417</v>
      </c>
      <c r="B261" s="43" t="s">
        <v>137</v>
      </c>
      <c r="C261" s="43">
        <v>2</v>
      </c>
      <c r="D261" s="44">
        <v>10648909.92</v>
      </c>
      <c r="E261" s="45" t="s">
        <v>129</v>
      </c>
      <c r="F261" s="112">
        <v>4110000</v>
      </c>
      <c r="G261" s="108">
        <f>Tabla8[[#This Row],[COSTO UNITARIO]]/F261</f>
        <v>2.5909756496350367</v>
      </c>
      <c r="H261" s="43"/>
      <c r="I261"/>
      <c r="J261" s="13"/>
    </row>
    <row r="262" spans="1:10" hidden="1" x14ac:dyDescent="0.25">
      <c r="A262" s="42">
        <v>44417</v>
      </c>
      <c r="B262" s="43" t="s">
        <v>206</v>
      </c>
      <c r="C262" s="43">
        <v>1</v>
      </c>
      <c r="D262" s="44">
        <v>51713200</v>
      </c>
      <c r="E262" s="45" t="s">
        <v>129</v>
      </c>
      <c r="F262" s="113">
        <v>4110000</v>
      </c>
      <c r="G262" s="114">
        <f>Tabla8[[#This Row],[COSTO UNITARIO]]/F262</f>
        <v>12.582287104622871</v>
      </c>
      <c r="H262" s="43"/>
      <c r="I262"/>
      <c r="J262" s="13"/>
    </row>
    <row r="263" spans="1:10" hidden="1" x14ac:dyDescent="0.25">
      <c r="A263" s="38">
        <v>44418</v>
      </c>
      <c r="B263" s="39" t="s">
        <v>186</v>
      </c>
      <c r="C263" s="39">
        <v>2</v>
      </c>
      <c r="D263" s="40">
        <v>1642970</v>
      </c>
      <c r="E263" s="41" t="s">
        <v>129</v>
      </c>
      <c r="F263" s="111">
        <v>4110000</v>
      </c>
      <c r="G263" s="92">
        <f>Tabla8[[#This Row],[COSTO UNITARIO]]/F263</f>
        <v>0.39974939172749391</v>
      </c>
      <c r="H263" s="43"/>
      <c r="I263"/>
      <c r="J263" s="13"/>
    </row>
    <row r="264" spans="1:10" hidden="1" x14ac:dyDescent="0.25">
      <c r="A264" s="38">
        <v>44418</v>
      </c>
      <c r="B264" s="43" t="s">
        <v>124</v>
      </c>
      <c r="C264" s="43">
        <v>1</v>
      </c>
      <c r="D264" s="44">
        <v>1612455.59</v>
      </c>
      <c r="E264" s="45" t="s">
        <v>129</v>
      </c>
      <c r="F264" s="112">
        <v>4110000</v>
      </c>
      <c r="G264" s="108">
        <f>Tabla8[[#This Row],[COSTO UNITARIO]]/F264</f>
        <v>0.39232496107055964</v>
      </c>
      <c r="H264" s="43"/>
      <c r="I264"/>
      <c r="J264" s="13"/>
    </row>
    <row r="265" spans="1:10" hidden="1" x14ac:dyDescent="0.25">
      <c r="A265" s="38">
        <v>44418</v>
      </c>
      <c r="B265" s="43" t="s">
        <v>208</v>
      </c>
      <c r="C265" s="43">
        <v>1</v>
      </c>
      <c r="D265" s="44">
        <v>3778341.67</v>
      </c>
      <c r="E265" s="45" t="s">
        <v>123</v>
      </c>
      <c r="F265" s="112">
        <v>4110000</v>
      </c>
      <c r="G265" s="108">
        <f>Tabla8[[#This Row],[COSTO UNITARIO]]/F265</f>
        <v>0.91930454257907546</v>
      </c>
      <c r="H265" s="43"/>
      <c r="I265"/>
      <c r="J265" s="13"/>
    </row>
    <row r="266" spans="1:10" hidden="1" x14ac:dyDescent="0.25">
      <c r="A266" s="38">
        <v>44418</v>
      </c>
      <c r="B266" s="43" t="s">
        <v>191</v>
      </c>
      <c r="C266" s="43">
        <v>1</v>
      </c>
      <c r="D266" s="44">
        <v>4110000</v>
      </c>
      <c r="E266" s="45" t="s">
        <v>123</v>
      </c>
      <c r="F266" s="113">
        <v>4110000</v>
      </c>
      <c r="G266" s="114">
        <f>Tabla8[[#This Row],[COSTO UNITARIO]]/F266</f>
        <v>1</v>
      </c>
      <c r="H266" s="43"/>
      <c r="I266"/>
      <c r="J266" s="13"/>
    </row>
    <row r="267" spans="1:10" hidden="1" x14ac:dyDescent="0.25">
      <c r="A267" s="38">
        <v>44419</v>
      </c>
      <c r="B267" s="39" t="s">
        <v>124</v>
      </c>
      <c r="C267" s="39">
        <v>1</v>
      </c>
      <c r="D267" s="40">
        <v>1637978.91</v>
      </c>
      <c r="E267" s="41" t="s">
        <v>129</v>
      </c>
      <c r="F267" s="40">
        <v>4140000</v>
      </c>
      <c r="G267" s="92">
        <f>Tabla8[[#This Row],[COSTO UNITARIO]]/F267</f>
        <v>0.3956470797101449</v>
      </c>
      <c r="H267" s="43"/>
      <c r="I267"/>
      <c r="J267" s="13"/>
    </row>
    <row r="268" spans="1:10" hidden="1" x14ac:dyDescent="0.25">
      <c r="A268" s="42">
        <v>44419</v>
      </c>
      <c r="B268" s="43" t="s">
        <v>128</v>
      </c>
      <c r="C268" s="43">
        <v>1</v>
      </c>
      <c r="D268" s="44">
        <v>29201489.579999998</v>
      </c>
      <c r="E268" s="45" t="s">
        <v>129</v>
      </c>
      <c r="F268" s="44">
        <v>4140000</v>
      </c>
      <c r="G268" s="108">
        <f>Tabla8[[#This Row],[COSTO UNITARIO]]/F268</f>
        <v>7.053499898550724</v>
      </c>
      <c r="H268" s="43"/>
      <c r="I268"/>
      <c r="J268" s="13"/>
    </row>
    <row r="269" spans="1:10" hidden="1" x14ac:dyDescent="0.25">
      <c r="A269" s="42">
        <v>44419</v>
      </c>
      <c r="B269" s="43" t="s">
        <v>125</v>
      </c>
      <c r="C269" s="43">
        <v>1</v>
      </c>
      <c r="D269" s="44">
        <v>372969.04</v>
      </c>
      <c r="E269" s="45" t="s">
        <v>123</v>
      </c>
      <c r="F269" s="44">
        <v>4140000</v>
      </c>
      <c r="G269" s="108">
        <f>Tabla8[[#This Row],[COSTO UNITARIO]]/F269</f>
        <v>9.008914009661835E-2</v>
      </c>
      <c r="H269" s="43"/>
      <c r="I269"/>
      <c r="J269" s="13"/>
    </row>
    <row r="270" spans="1:10" x14ac:dyDescent="0.25">
      <c r="A270" s="42">
        <v>44419</v>
      </c>
      <c r="B270" s="43" t="s">
        <v>124</v>
      </c>
      <c r="C270" s="43">
        <v>1</v>
      </c>
      <c r="D270" s="44">
        <v>1637978.91</v>
      </c>
      <c r="E270" s="45" t="s">
        <v>130</v>
      </c>
      <c r="F270" s="44">
        <v>4140000</v>
      </c>
      <c r="G270" s="108">
        <f>Tabla8[[#This Row],[COSTO UNITARIO]]/F270</f>
        <v>0.3956470797101449</v>
      </c>
      <c r="H270" s="43"/>
      <c r="I270"/>
      <c r="J270" s="13"/>
    </row>
    <row r="271" spans="1:10" x14ac:dyDescent="0.25">
      <c r="A271" s="42">
        <v>44419</v>
      </c>
      <c r="B271" s="43" t="s">
        <v>135</v>
      </c>
      <c r="C271" s="43">
        <v>1</v>
      </c>
      <c r="D271" s="44">
        <v>4140000</v>
      </c>
      <c r="E271" s="45" t="s">
        <v>130</v>
      </c>
      <c r="F271" s="44">
        <v>4140000</v>
      </c>
      <c r="G271" s="108">
        <f>Tabla8[[#This Row],[COSTO UNITARIO]]/F271</f>
        <v>1</v>
      </c>
      <c r="H271" s="43"/>
      <c r="I271"/>
      <c r="J271" s="13"/>
    </row>
    <row r="272" spans="1:10" hidden="1" x14ac:dyDescent="0.25">
      <c r="A272" s="38">
        <v>44420</v>
      </c>
      <c r="B272" s="39" t="s">
        <v>184</v>
      </c>
      <c r="C272" s="39">
        <v>1</v>
      </c>
      <c r="D272" s="40">
        <v>1035000</v>
      </c>
      <c r="E272" s="39" t="s">
        <v>122</v>
      </c>
      <c r="F272" s="111">
        <v>4140000</v>
      </c>
      <c r="G272" s="128">
        <f>Tabla8[[#This Row],[COSTO UNITARIO]]/F272</f>
        <v>0.25</v>
      </c>
      <c r="H272" s="43"/>
      <c r="I272"/>
      <c r="J272" s="13"/>
    </row>
    <row r="273" spans="1:10" hidden="1" x14ac:dyDescent="0.25">
      <c r="A273" s="42">
        <v>44420</v>
      </c>
      <c r="B273" s="43" t="s">
        <v>124</v>
      </c>
      <c r="C273" s="43">
        <v>1</v>
      </c>
      <c r="D273" s="44">
        <v>4140000</v>
      </c>
      <c r="E273" s="43" t="s">
        <v>122</v>
      </c>
      <c r="F273" s="112">
        <v>4140000</v>
      </c>
      <c r="G273" s="127">
        <f>Tabla8[[#This Row],[COSTO UNITARIO]]/F273</f>
        <v>1</v>
      </c>
      <c r="H273" s="43"/>
      <c r="I273"/>
      <c r="J273" s="13"/>
    </row>
    <row r="274" spans="1:10" x14ac:dyDescent="0.25">
      <c r="A274" s="46">
        <v>44420</v>
      </c>
      <c r="B274" s="47" t="s">
        <v>124</v>
      </c>
      <c r="C274" s="47">
        <v>1</v>
      </c>
      <c r="D274" s="48">
        <v>4140000</v>
      </c>
      <c r="E274" s="47" t="s">
        <v>130</v>
      </c>
      <c r="F274" s="113">
        <v>4140000</v>
      </c>
      <c r="G274" s="127">
        <f>Tabla8[[#This Row],[COSTO UNITARIO]]/F274</f>
        <v>1</v>
      </c>
      <c r="H274" s="43"/>
      <c r="I274"/>
      <c r="J274" s="13"/>
    </row>
    <row r="275" spans="1:10" x14ac:dyDescent="0.25">
      <c r="A275" s="38">
        <v>44421</v>
      </c>
      <c r="B275" s="39" t="s">
        <v>186</v>
      </c>
      <c r="C275" s="39">
        <v>2</v>
      </c>
      <c r="D275" s="40">
        <v>2486165</v>
      </c>
      <c r="E275" s="39" t="s">
        <v>130</v>
      </c>
      <c r="F275" s="111">
        <v>4140000</v>
      </c>
      <c r="G275" s="125">
        <f>Tabla8[[#This Row],[COSTO UNITARIO]]/F275</f>
        <v>0.60052294685990337</v>
      </c>
      <c r="H275" s="26"/>
      <c r="I275"/>
      <c r="J275" s="13"/>
    </row>
    <row r="276" spans="1:10" x14ac:dyDescent="0.25">
      <c r="A276" s="42">
        <v>44421</v>
      </c>
      <c r="B276" s="43" t="s">
        <v>184</v>
      </c>
      <c r="C276" s="43">
        <v>1</v>
      </c>
      <c r="D276" s="44">
        <v>1035000</v>
      </c>
      <c r="E276" s="43" t="s">
        <v>130</v>
      </c>
      <c r="F276" s="112">
        <v>4140000</v>
      </c>
      <c r="G276" s="126">
        <f>Tabla8[[#This Row],[COSTO UNITARIO]]/F276</f>
        <v>0.25</v>
      </c>
      <c r="H276" s="26"/>
      <c r="I276"/>
      <c r="J276" s="13"/>
    </row>
    <row r="277" spans="1:10" x14ac:dyDescent="0.25">
      <c r="A277" s="46">
        <v>44421</v>
      </c>
      <c r="B277" s="47" t="s">
        <v>131</v>
      </c>
      <c r="C277" s="47">
        <v>1</v>
      </c>
      <c r="D277" s="48">
        <v>815298.9</v>
      </c>
      <c r="E277" s="47" t="s">
        <v>130</v>
      </c>
      <c r="F277" s="113">
        <v>4140000</v>
      </c>
      <c r="G277" s="127">
        <f>Tabla8[[#This Row],[COSTO UNITARIO]]/F277</f>
        <v>0.19693210144927537</v>
      </c>
      <c r="H277" s="26"/>
      <c r="I277"/>
      <c r="J277" s="13"/>
    </row>
    <row r="278" spans="1:10" hidden="1" x14ac:dyDescent="0.25">
      <c r="A278" s="42">
        <v>44422</v>
      </c>
      <c r="B278" s="43" t="s">
        <v>184</v>
      </c>
      <c r="C278" s="43">
        <v>1</v>
      </c>
      <c r="D278" s="44">
        <v>1035000</v>
      </c>
      <c r="E278" s="43" t="s">
        <v>122</v>
      </c>
      <c r="F278" s="111">
        <v>4140000</v>
      </c>
      <c r="G278" s="92">
        <f>Tabla8[[#This Row],[COSTO UNITARIO]]/F278</f>
        <v>0.25</v>
      </c>
      <c r="H278" s="26"/>
      <c r="I278" s="27"/>
      <c r="J278" s="13"/>
    </row>
    <row r="279" spans="1:10" hidden="1" x14ac:dyDescent="0.25">
      <c r="A279" s="42">
        <v>44422</v>
      </c>
      <c r="B279" s="43" t="s">
        <v>132</v>
      </c>
      <c r="C279" s="43">
        <v>3</v>
      </c>
      <c r="D279" s="44">
        <v>12171600</v>
      </c>
      <c r="E279" s="43" t="s">
        <v>122</v>
      </c>
      <c r="F279" s="112">
        <v>4140000</v>
      </c>
      <c r="G279" s="108">
        <f>Tabla8[[#This Row],[COSTO UNITARIO]]/F279</f>
        <v>2.94</v>
      </c>
      <c r="H279" s="26"/>
      <c r="I279" s="71"/>
      <c r="J279" s="13"/>
    </row>
    <row r="280" spans="1:10" hidden="1" x14ac:dyDescent="0.25">
      <c r="A280" s="42">
        <v>44422</v>
      </c>
      <c r="B280" s="43" t="s">
        <v>221</v>
      </c>
      <c r="C280" s="43">
        <v>2</v>
      </c>
      <c r="D280" s="44">
        <v>1145485.72</v>
      </c>
      <c r="E280" s="43" t="s">
        <v>122</v>
      </c>
      <c r="F280" s="112">
        <v>4140000</v>
      </c>
      <c r="G280" s="108">
        <f>Tabla8[[#This Row],[COSTO UNITARIO]]/F280</f>
        <v>0.27668737198067633</v>
      </c>
      <c r="H280" s="26"/>
      <c r="I280" s="27"/>
      <c r="J280" s="13"/>
    </row>
    <row r="281" spans="1:10" hidden="1" x14ac:dyDescent="0.25">
      <c r="A281" s="42">
        <v>44422</v>
      </c>
      <c r="B281" s="43" t="s">
        <v>124</v>
      </c>
      <c r="C281" s="43">
        <v>21</v>
      </c>
      <c r="D281" s="44">
        <v>86940000</v>
      </c>
      <c r="E281" s="43" t="s">
        <v>122</v>
      </c>
      <c r="F281" s="112">
        <v>4140000</v>
      </c>
      <c r="G281" s="108">
        <f>Tabla8[[#This Row],[COSTO UNITARIO]]/F281</f>
        <v>21</v>
      </c>
      <c r="H281" s="26"/>
      <c r="I281" s="71"/>
      <c r="J281" s="13"/>
    </row>
    <row r="282" spans="1:10" hidden="1" x14ac:dyDescent="0.25">
      <c r="A282" s="42">
        <v>44422</v>
      </c>
      <c r="B282" s="43" t="s">
        <v>135</v>
      </c>
      <c r="C282" s="43">
        <v>1</v>
      </c>
      <c r="D282" s="44">
        <v>4140000</v>
      </c>
      <c r="E282" s="43" t="s">
        <v>122</v>
      </c>
      <c r="F282" s="112">
        <v>4140000</v>
      </c>
      <c r="G282" s="108">
        <f>Tabla8[[#This Row],[COSTO UNITARIO]]/F282</f>
        <v>1</v>
      </c>
      <c r="H282" s="26"/>
      <c r="I282" s="71"/>
      <c r="J282" s="13"/>
    </row>
    <row r="283" spans="1:10" hidden="1" x14ac:dyDescent="0.25">
      <c r="A283" s="42">
        <v>44422</v>
      </c>
      <c r="B283" s="43" t="s">
        <v>191</v>
      </c>
      <c r="C283" s="43">
        <v>1</v>
      </c>
      <c r="D283" s="44">
        <v>4140000</v>
      </c>
      <c r="E283" s="43" t="s">
        <v>122</v>
      </c>
      <c r="F283" s="112">
        <v>4140000</v>
      </c>
      <c r="G283" s="108">
        <f>Tabla8[[#This Row],[COSTO UNITARIO]]/F283</f>
        <v>1</v>
      </c>
      <c r="H283" s="26"/>
      <c r="I283"/>
      <c r="J283" s="13"/>
    </row>
    <row r="284" spans="1:10" hidden="1" x14ac:dyDescent="0.25">
      <c r="A284" s="42">
        <v>44422</v>
      </c>
      <c r="B284" s="43" t="s">
        <v>202</v>
      </c>
      <c r="C284" s="43">
        <v>6</v>
      </c>
      <c r="D284" s="44">
        <v>5917500</v>
      </c>
      <c r="E284" s="43" t="s">
        <v>123</v>
      </c>
      <c r="F284" s="112">
        <v>4140000</v>
      </c>
      <c r="G284" s="108">
        <f>Tabla8[[#This Row],[COSTO UNITARIO]]/F284</f>
        <v>1.4293478260869565</v>
      </c>
      <c r="H284" s="26"/>
      <c r="I284"/>
      <c r="J284" s="13"/>
    </row>
    <row r="285" spans="1:10" x14ac:dyDescent="0.25">
      <c r="A285" s="42">
        <v>44422</v>
      </c>
      <c r="B285" s="43" t="s">
        <v>277</v>
      </c>
      <c r="C285" s="43">
        <v>5</v>
      </c>
      <c r="D285" s="44">
        <v>5690626</v>
      </c>
      <c r="E285" s="43" t="s">
        <v>130</v>
      </c>
      <c r="F285" s="112">
        <v>4140000</v>
      </c>
      <c r="G285" s="108">
        <f>Tabla8[[#This Row],[COSTO UNITARIO]]/F285</f>
        <v>1.3745473429951691</v>
      </c>
      <c r="H285" s="26"/>
      <c r="I285"/>
      <c r="J285" s="13"/>
    </row>
    <row r="286" spans="1:10" x14ac:dyDescent="0.25">
      <c r="A286" s="46">
        <v>44422</v>
      </c>
      <c r="B286" s="47" t="s">
        <v>186</v>
      </c>
      <c r="C286" s="47">
        <v>3</v>
      </c>
      <c r="D286" s="48">
        <v>3729247.5</v>
      </c>
      <c r="E286" s="47" t="s">
        <v>130</v>
      </c>
      <c r="F286" s="113">
        <v>4140000</v>
      </c>
      <c r="G286" s="114">
        <f>Tabla8[[#This Row],[COSTO UNITARIO]]/F286</f>
        <v>0.90078442028985506</v>
      </c>
    </row>
    <row r="287" spans="1:10" hidden="1" x14ac:dyDescent="0.25">
      <c r="A287" s="38">
        <v>44423</v>
      </c>
      <c r="B287" s="39" t="s">
        <v>124</v>
      </c>
      <c r="C287" s="39">
        <v>2</v>
      </c>
      <c r="D287" s="40">
        <v>8280000</v>
      </c>
      <c r="E287" s="39" t="s">
        <v>129</v>
      </c>
      <c r="F287" s="111">
        <v>4140000</v>
      </c>
      <c r="G287" s="125">
        <f>Tabla8[[#This Row],[COSTO UNITARIO]]/F287</f>
        <v>2</v>
      </c>
    </row>
    <row r="288" spans="1:10" hidden="1" x14ac:dyDescent="0.25">
      <c r="A288" s="42">
        <v>44423</v>
      </c>
      <c r="B288" s="43" t="s">
        <v>184</v>
      </c>
      <c r="C288" s="43">
        <v>1</v>
      </c>
      <c r="D288" s="44">
        <v>1035000</v>
      </c>
      <c r="E288" s="43" t="s">
        <v>122</v>
      </c>
      <c r="F288" s="112">
        <v>4140000</v>
      </c>
      <c r="G288" s="126">
        <f>Tabla8[[#This Row],[COSTO UNITARIO]]/F288</f>
        <v>0.25</v>
      </c>
    </row>
    <row r="289" spans="1:9" hidden="1" x14ac:dyDescent="0.25">
      <c r="A289" s="42">
        <v>44423</v>
      </c>
      <c r="B289" s="43" t="s">
        <v>191</v>
      </c>
      <c r="C289" s="43">
        <v>1</v>
      </c>
      <c r="D289" s="44">
        <v>1035000</v>
      </c>
      <c r="E289" s="43" t="s">
        <v>122</v>
      </c>
      <c r="F289" s="112">
        <v>4140000</v>
      </c>
      <c r="G289" s="126">
        <f>Tabla8[[#This Row],[COSTO UNITARIO]]/F289</f>
        <v>0.25</v>
      </c>
    </row>
    <row r="290" spans="1:9" hidden="1" x14ac:dyDescent="0.25">
      <c r="A290" s="42">
        <v>44423</v>
      </c>
      <c r="B290" s="43" t="s">
        <v>200</v>
      </c>
      <c r="C290" s="43">
        <v>1</v>
      </c>
      <c r="D290" s="44">
        <v>4930876.6500000004</v>
      </c>
      <c r="E290" s="43" t="s">
        <v>123</v>
      </c>
      <c r="F290" s="112">
        <v>4140000</v>
      </c>
      <c r="G290" s="126">
        <f>Tabla8[[#This Row],[COSTO UNITARIO]]/F290</f>
        <v>1.1910330072463768</v>
      </c>
    </row>
    <row r="291" spans="1:9" x14ac:dyDescent="0.25">
      <c r="A291" s="46">
        <v>44423</v>
      </c>
      <c r="B291" s="47" t="s">
        <v>124</v>
      </c>
      <c r="C291" s="47">
        <v>2</v>
      </c>
      <c r="D291" s="48">
        <v>8280000</v>
      </c>
      <c r="E291" s="47" t="s">
        <v>130</v>
      </c>
      <c r="F291" s="113">
        <v>4140000</v>
      </c>
      <c r="G291" s="127">
        <f>Tabla8[[#This Row],[COSTO UNITARIO]]/F291</f>
        <v>2</v>
      </c>
    </row>
    <row r="292" spans="1:9" hidden="1" x14ac:dyDescent="0.25">
      <c r="A292" s="38">
        <v>44424</v>
      </c>
      <c r="B292" s="39" t="s">
        <v>191</v>
      </c>
      <c r="C292" s="39">
        <v>2</v>
      </c>
      <c r="D292" s="40">
        <v>8280000</v>
      </c>
      <c r="E292" s="39" t="s">
        <v>122</v>
      </c>
      <c r="F292" s="111">
        <v>4140000</v>
      </c>
      <c r="G292" s="125">
        <f>Tabla8[[#This Row],[COSTO UNITARIO]]/F292</f>
        <v>2</v>
      </c>
    </row>
    <row r="293" spans="1:9" hidden="1" x14ac:dyDescent="0.25">
      <c r="A293" s="42">
        <v>44424</v>
      </c>
      <c r="B293" s="43" t="s">
        <v>124</v>
      </c>
      <c r="C293" s="43">
        <v>1</v>
      </c>
      <c r="D293" s="44">
        <v>1634228.91</v>
      </c>
      <c r="E293" s="43" t="s">
        <v>123</v>
      </c>
      <c r="F293" s="112">
        <v>4140000</v>
      </c>
      <c r="G293" s="126">
        <f>Tabla8[[#This Row],[COSTO UNITARIO]]/F293</f>
        <v>0.39474128260869562</v>
      </c>
    </row>
    <row r="294" spans="1:9" hidden="1" x14ac:dyDescent="0.25">
      <c r="A294" s="46">
        <v>44424</v>
      </c>
      <c r="B294" s="47" t="s">
        <v>125</v>
      </c>
      <c r="C294" s="47">
        <v>1</v>
      </c>
      <c r="D294" s="48">
        <v>372969.04</v>
      </c>
      <c r="E294" s="47" t="s">
        <v>123</v>
      </c>
      <c r="F294" s="113">
        <v>4140000</v>
      </c>
      <c r="G294" s="127">
        <f>Tabla8[[#This Row],[COSTO UNITARIO]]/F294</f>
        <v>9.008914009661835E-2</v>
      </c>
    </row>
    <row r="295" spans="1:9" hidden="1" x14ac:dyDescent="0.25">
      <c r="A295" s="38">
        <v>44425</v>
      </c>
      <c r="B295" s="39" t="s">
        <v>128</v>
      </c>
      <c r="C295" s="39">
        <v>1</v>
      </c>
      <c r="D295" s="40">
        <v>29884433.440000001</v>
      </c>
      <c r="E295" s="39" t="s">
        <v>129</v>
      </c>
      <c r="F295" s="111">
        <v>4140000</v>
      </c>
      <c r="G295" s="125">
        <f>Tabla8[[#This Row],[COSTO UNITARIO]]/F295</f>
        <v>7.2184621835748795</v>
      </c>
    </row>
    <row r="296" spans="1:9" x14ac:dyDescent="0.25">
      <c r="A296" s="42">
        <v>44425</v>
      </c>
      <c r="B296" s="43" t="s">
        <v>186</v>
      </c>
      <c r="C296" s="43">
        <v>2</v>
      </c>
      <c r="D296" s="44">
        <f>1243082.5*2</f>
        <v>2486165</v>
      </c>
      <c r="E296" s="43" t="s">
        <v>130</v>
      </c>
      <c r="F296" s="112">
        <v>4140000</v>
      </c>
      <c r="G296" s="126">
        <f>Tabla8[[#This Row],[COSTO UNITARIO]]/F296</f>
        <v>0.60052294685990337</v>
      </c>
    </row>
    <row r="297" spans="1:9" x14ac:dyDescent="0.25">
      <c r="A297" s="46">
        <v>44425</v>
      </c>
      <c r="B297" s="47" t="s">
        <v>221</v>
      </c>
      <c r="C297" s="47">
        <v>4</v>
      </c>
      <c r="D297" s="48">
        <f>572742.86*4</f>
        <v>2290971.44</v>
      </c>
      <c r="E297" s="47" t="s">
        <v>130</v>
      </c>
      <c r="F297" s="113">
        <v>4140000</v>
      </c>
      <c r="G297" s="127">
        <f>Tabla8[[#This Row],[COSTO UNITARIO]]/F297</f>
        <v>0.55337474396135267</v>
      </c>
    </row>
    <row r="298" spans="1:9" hidden="1" x14ac:dyDescent="0.25">
      <c r="A298" s="38">
        <v>44426</v>
      </c>
      <c r="B298" s="39" t="s">
        <v>184</v>
      </c>
      <c r="C298" s="39">
        <v>1</v>
      </c>
      <c r="D298" s="40">
        <v>1035000</v>
      </c>
      <c r="E298" s="39" t="s">
        <v>122</v>
      </c>
      <c r="F298" s="111">
        <v>4140000</v>
      </c>
      <c r="G298" s="92">
        <f>Tabla8[[#This Row],[COSTO UNITARIO]]/F298</f>
        <v>0.25</v>
      </c>
      <c r="I298" s="27">
        <v>4140000</v>
      </c>
    </row>
    <row r="299" spans="1:9" hidden="1" x14ac:dyDescent="0.25">
      <c r="A299" s="42">
        <v>44426</v>
      </c>
      <c r="B299" s="43" t="s">
        <v>224</v>
      </c>
      <c r="C299" s="43">
        <v>1</v>
      </c>
      <c r="D299" s="44">
        <v>37260000</v>
      </c>
      <c r="E299" s="43" t="s">
        <v>122</v>
      </c>
      <c r="F299" s="112">
        <v>4140000</v>
      </c>
      <c r="G299" s="108">
        <f>Tabla8[[#This Row],[COSTO UNITARIO]]/F299</f>
        <v>9</v>
      </c>
      <c r="I299" s="71">
        <f>I298*9</f>
        <v>37260000</v>
      </c>
    </row>
    <row r="300" spans="1:9" hidden="1" x14ac:dyDescent="0.25">
      <c r="A300" s="42">
        <v>44426</v>
      </c>
      <c r="B300" s="43" t="s">
        <v>125</v>
      </c>
      <c r="C300" s="43">
        <v>1</v>
      </c>
      <c r="D300" s="44">
        <v>4140000</v>
      </c>
      <c r="E300" s="43" t="s">
        <v>123</v>
      </c>
      <c r="F300" s="112">
        <v>4140000</v>
      </c>
      <c r="G300" s="108">
        <f>Tabla8[[#This Row],[COSTO UNITARIO]]/F300</f>
        <v>1</v>
      </c>
    </row>
    <row r="301" spans="1:9" x14ac:dyDescent="0.25">
      <c r="A301" s="42">
        <v>44426</v>
      </c>
      <c r="B301" s="43" t="s">
        <v>194</v>
      </c>
      <c r="C301" s="43">
        <v>5</v>
      </c>
      <c r="D301" s="44">
        <v>9522000</v>
      </c>
      <c r="E301" s="43" t="s">
        <v>130</v>
      </c>
      <c r="F301" s="112">
        <v>4140000</v>
      </c>
      <c r="G301" s="108">
        <f>Tabla8[[#This Row],[COSTO UNITARIO]]/F301</f>
        <v>2.2999999999999998</v>
      </c>
    </row>
    <row r="302" spans="1:9" x14ac:dyDescent="0.25">
      <c r="A302" s="42">
        <v>44426</v>
      </c>
      <c r="B302" s="43" t="s">
        <v>298</v>
      </c>
      <c r="C302" s="43">
        <v>1</v>
      </c>
      <c r="D302" s="44">
        <v>24840000</v>
      </c>
      <c r="E302" s="43" t="s">
        <v>130</v>
      </c>
      <c r="F302" s="112">
        <v>4140000</v>
      </c>
      <c r="G302" s="108">
        <f>Tabla8[[#This Row],[COSTO UNITARIO]]/F302</f>
        <v>6</v>
      </c>
      <c r="I302" s="116"/>
    </row>
    <row r="303" spans="1:9" x14ac:dyDescent="0.25">
      <c r="A303" s="42">
        <v>44426</v>
      </c>
      <c r="B303" s="43" t="s">
        <v>132</v>
      </c>
      <c r="C303" s="43">
        <v>1</v>
      </c>
      <c r="D303" s="44">
        <v>6251400</v>
      </c>
      <c r="E303" s="43" t="s">
        <v>130</v>
      </c>
      <c r="F303" s="112">
        <v>4140000</v>
      </c>
      <c r="G303" s="108">
        <f>Tabla8[[#This Row],[COSTO UNITARIO]]/F303</f>
        <v>1.51</v>
      </c>
    </row>
    <row r="304" spans="1:9" x14ac:dyDescent="0.25">
      <c r="A304" s="42">
        <v>44426</v>
      </c>
      <c r="B304" s="43" t="s">
        <v>128</v>
      </c>
      <c r="C304" s="43">
        <v>2</v>
      </c>
      <c r="D304" s="44">
        <v>43056000</v>
      </c>
      <c r="E304" s="43" t="s">
        <v>130</v>
      </c>
      <c r="F304" s="112">
        <v>4140000</v>
      </c>
      <c r="G304" s="108">
        <f>Tabla8[[#This Row],[COSTO UNITARIO]]/F304</f>
        <v>10.4</v>
      </c>
    </row>
    <row r="305" spans="1:9" x14ac:dyDescent="0.25">
      <c r="A305" s="42">
        <v>44426</v>
      </c>
      <c r="B305" s="43" t="s">
        <v>137</v>
      </c>
      <c r="C305" s="43">
        <v>3</v>
      </c>
      <c r="D305" s="44">
        <v>32167800</v>
      </c>
      <c r="E305" s="43" t="s">
        <v>130</v>
      </c>
      <c r="F305" s="112">
        <v>4140000</v>
      </c>
      <c r="G305" s="108">
        <f>Tabla8[[#This Row],[COSTO UNITARIO]]/F305</f>
        <v>7.77</v>
      </c>
    </row>
    <row r="306" spans="1:9" x14ac:dyDescent="0.25">
      <c r="A306" s="46">
        <v>44426</v>
      </c>
      <c r="B306" s="47" t="s">
        <v>206</v>
      </c>
      <c r="C306" s="47">
        <v>1</v>
      </c>
      <c r="D306" s="48">
        <v>12420000</v>
      </c>
      <c r="E306" s="47" t="s">
        <v>130</v>
      </c>
      <c r="F306" s="113">
        <v>4140000</v>
      </c>
      <c r="G306" s="114">
        <f>Tabla8[[#This Row],[COSTO UNITARIO]]/F306</f>
        <v>3</v>
      </c>
    </row>
    <row r="307" spans="1:9" hidden="1" x14ac:dyDescent="0.25">
      <c r="A307" s="38">
        <v>44427</v>
      </c>
      <c r="B307" s="39" t="s">
        <v>184</v>
      </c>
      <c r="C307" s="39">
        <v>1</v>
      </c>
      <c r="D307" s="40">
        <v>1035000</v>
      </c>
      <c r="E307" s="39" t="s">
        <v>122</v>
      </c>
      <c r="F307" s="111">
        <v>4140000</v>
      </c>
      <c r="G307" s="92">
        <f>Tabla8[[#This Row],[COSTO UNITARIO]]/F307</f>
        <v>0.25</v>
      </c>
      <c r="I307" s="13">
        <f>I302*2</f>
        <v>0</v>
      </c>
    </row>
    <row r="308" spans="1:9" hidden="1" x14ac:dyDescent="0.25">
      <c r="A308" s="42">
        <v>44427</v>
      </c>
      <c r="B308" s="43" t="s">
        <v>186</v>
      </c>
      <c r="C308" s="43">
        <v>2</v>
      </c>
      <c r="D308" s="44">
        <v>5796000</v>
      </c>
      <c r="E308" s="43" t="s">
        <v>299</v>
      </c>
      <c r="F308" s="112">
        <v>4140000</v>
      </c>
      <c r="G308" s="108">
        <f>Tabla8[[#This Row],[COSTO UNITARIO]]/F308</f>
        <v>1.4</v>
      </c>
    </row>
    <row r="309" spans="1:9" hidden="1" x14ac:dyDescent="0.25">
      <c r="A309" s="42">
        <v>44427</v>
      </c>
      <c r="B309" s="43" t="s">
        <v>213</v>
      </c>
      <c r="C309" s="43">
        <v>1</v>
      </c>
      <c r="D309" s="44">
        <v>845625</v>
      </c>
      <c r="E309" s="43" t="s">
        <v>299</v>
      </c>
      <c r="F309" s="112">
        <v>4140000</v>
      </c>
      <c r="G309" s="108">
        <f>Tabla8[[#This Row],[COSTO UNITARIO]]/F309</f>
        <v>0.20425724637681159</v>
      </c>
    </row>
    <row r="310" spans="1:9" hidden="1" x14ac:dyDescent="0.25">
      <c r="A310" s="42">
        <v>44427</v>
      </c>
      <c r="B310" s="43" t="s">
        <v>300</v>
      </c>
      <c r="C310" s="43">
        <v>1</v>
      </c>
      <c r="D310" s="44">
        <v>986250</v>
      </c>
      <c r="E310" s="43" t="s">
        <v>299</v>
      </c>
      <c r="F310" s="112">
        <v>4140000</v>
      </c>
      <c r="G310" s="108">
        <f>Tabla8[[#This Row],[COSTO UNITARIO]]/F310</f>
        <v>0.23822463768115942</v>
      </c>
    </row>
    <row r="311" spans="1:9" hidden="1" x14ac:dyDescent="0.25">
      <c r="A311" s="42">
        <v>44427</v>
      </c>
      <c r="B311" s="43" t="s">
        <v>134</v>
      </c>
      <c r="C311" s="43">
        <v>2</v>
      </c>
      <c r="D311" s="44">
        <v>4636800</v>
      </c>
      <c r="E311" s="43" t="s">
        <v>299</v>
      </c>
      <c r="F311" s="112">
        <v>4140000</v>
      </c>
      <c r="G311" s="108">
        <f>Tabla8[[#This Row],[COSTO UNITARIO]]/F311</f>
        <v>1.1200000000000001</v>
      </c>
    </row>
    <row r="312" spans="1:9" x14ac:dyDescent="0.25">
      <c r="A312" s="42">
        <v>44427</v>
      </c>
      <c r="B312" s="43" t="s">
        <v>219</v>
      </c>
      <c r="C312" s="43">
        <v>2</v>
      </c>
      <c r="D312" s="44">
        <v>5796000</v>
      </c>
      <c r="E312" s="43" t="s">
        <v>130</v>
      </c>
      <c r="F312" s="112">
        <v>4140000</v>
      </c>
      <c r="G312" s="108">
        <f>Tabla8[[#This Row],[COSTO UNITARIO]]/F312</f>
        <v>1.4</v>
      </c>
    </row>
    <row r="313" spans="1:9" x14ac:dyDescent="0.25">
      <c r="A313" s="42">
        <v>44427</v>
      </c>
      <c r="B313" s="43" t="s">
        <v>186</v>
      </c>
      <c r="C313" s="43">
        <v>7</v>
      </c>
      <c r="D313" s="44">
        <v>20286000</v>
      </c>
      <c r="E313" s="43" t="s">
        <v>130</v>
      </c>
      <c r="F313" s="112">
        <v>4140000</v>
      </c>
      <c r="G313" s="108">
        <f>Tabla8[[#This Row],[COSTO UNITARIO]]/F313</f>
        <v>4.9000000000000004</v>
      </c>
    </row>
    <row r="314" spans="1:9" x14ac:dyDescent="0.25">
      <c r="A314" s="42">
        <v>44427</v>
      </c>
      <c r="B314" s="43" t="s">
        <v>195</v>
      </c>
      <c r="C314" s="43">
        <v>1</v>
      </c>
      <c r="D314" s="44">
        <v>2898000</v>
      </c>
      <c r="E314" s="43" t="s">
        <v>130</v>
      </c>
      <c r="F314" s="112">
        <v>4140000</v>
      </c>
      <c r="G314" s="108">
        <f>Tabla8[[#This Row],[COSTO UNITARIO]]/F314</f>
        <v>0.7</v>
      </c>
    </row>
    <row r="315" spans="1:9" x14ac:dyDescent="0.25">
      <c r="A315" s="46">
        <v>44427</v>
      </c>
      <c r="B315" s="47" t="s">
        <v>301</v>
      </c>
      <c r="C315" s="47">
        <v>2</v>
      </c>
      <c r="D315" s="48">
        <v>3808800</v>
      </c>
      <c r="E315" s="47" t="s">
        <v>130</v>
      </c>
      <c r="F315" s="113">
        <v>4140001</v>
      </c>
      <c r="G315" s="114">
        <f>Tabla8[[#This Row],[COSTO UNITARIO]]/F315</f>
        <v>0.91999977777783148</v>
      </c>
    </row>
    <row r="316" spans="1:9" hidden="1" x14ac:dyDescent="0.25">
      <c r="A316" s="54">
        <v>44459</v>
      </c>
      <c r="B316" s="26" t="s">
        <v>302</v>
      </c>
      <c r="C316" s="26">
        <v>1</v>
      </c>
      <c r="D316" s="37"/>
      <c r="E316" s="26" t="s">
        <v>129</v>
      </c>
      <c r="F316" s="37"/>
      <c r="G316" s="87">
        <f>SUBTOTAL(109,G184:G315)</f>
        <v>60.218034297576381</v>
      </c>
    </row>
    <row r="317" spans="1:9" hidden="1" x14ac:dyDescent="0.25">
      <c r="A317" s="26"/>
      <c r="B317" s="26"/>
      <c r="C317" s="26"/>
      <c r="D317" s="37"/>
      <c r="E317" s="26"/>
      <c r="F317" s="37"/>
      <c r="G317" s="87" t="e">
        <f>Tabla8[[#This Row],[COSTO UNITARIO]]/F317</f>
        <v>#DIV/0!</v>
      </c>
    </row>
    <row r="318" spans="1:9" hidden="1" x14ac:dyDescent="0.25">
      <c r="A318" s="26"/>
      <c r="B318" s="26"/>
      <c r="C318" s="26"/>
      <c r="D318" s="37"/>
      <c r="E318" s="26"/>
      <c r="F318" s="37"/>
      <c r="G318" s="87" t="e">
        <f>Tabla8[[#This Row],[COSTO UNITARIO]]/F318</f>
        <v>#DIV/0!</v>
      </c>
    </row>
    <row r="319" spans="1:9" hidden="1" x14ac:dyDescent="0.25">
      <c r="A319" s="26"/>
      <c r="B319" s="26"/>
      <c r="C319" s="26"/>
      <c r="D319" s="37"/>
      <c r="E319" s="26"/>
      <c r="F319" s="37"/>
      <c r="G319" s="87" t="e">
        <f>Tabla8[[#This Row],[COSTO UNITARIO]]/F319</f>
        <v>#DIV/0!</v>
      </c>
    </row>
    <row r="320" spans="1:9" hidden="1" x14ac:dyDescent="0.25">
      <c r="A320" s="26"/>
      <c r="B320" s="26"/>
      <c r="C320" s="26"/>
      <c r="D320" s="37"/>
      <c r="E320" s="26"/>
      <c r="F320" s="37"/>
      <c r="G320" s="87" t="e">
        <f>Tabla8[[#This Row],[COSTO UNITARIO]]/F320</f>
        <v>#DIV/0!</v>
      </c>
    </row>
    <row r="321" spans="1:9" hidden="1" x14ac:dyDescent="0.25">
      <c r="A321" s="26"/>
      <c r="B321" s="26"/>
      <c r="C321" s="26"/>
      <c r="D321" s="37"/>
      <c r="E321" s="26"/>
      <c r="F321" s="37"/>
      <c r="G321" s="87" t="e">
        <f>Tabla8[[#This Row],[COSTO UNITARIO]]/F321</f>
        <v>#DIV/0!</v>
      </c>
    </row>
    <row r="322" spans="1:9" hidden="1" x14ac:dyDescent="0.25">
      <c r="A322" s="26"/>
      <c r="B322" s="26"/>
      <c r="C322" s="26"/>
      <c r="D322" s="37"/>
      <c r="E322" s="26"/>
      <c r="F322" s="37"/>
      <c r="G322" s="87" t="e">
        <f>Tabla8[[#This Row],[COSTO UNITARIO]]/F322</f>
        <v>#DIV/0!</v>
      </c>
    </row>
    <row r="323" spans="1:9" hidden="1" x14ac:dyDescent="0.25">
      <c r="A323" s="26"/>
      <c r="B323" s="26"/>
      <c r="C323" s="26"/>
      <c r="D323" s="37"/>
      <c r="E323" s="26"/>
      <c r="F323" s="37"/>
      <c r="G323" s="87" t="e">
        <f>Tabla8[[#This Row],[COSTO UNITARIO]]/F323</f>
        <v>#DIV/0!</v>
      </c>
    </row>
    <row r="324" spans="1:9" hidden="1" x14ac:dyDescent="0.25">
      <c r="A324" s="26"/>
      <c r="B324" s="26"/>
      <c r="C324" s="26"/>
      <c r="D324" s="37"/>
      <c r="E324" s="26"/>
      <c r="F324" s="37"/>
      <c r="G324" s="87" t="e">
        <f>Tabla8[[#This Row],[COSTO UNITARIO]]/F324</f>
        <v>#DIV/0!</v>
      </c>
    </row>
    <row r="325" spans="1:9" hidden="1" x14ac:dyDescent="0.25">
      <c r="A325" s="26"/>
      <c r="B325" s="26"/>
      <c r="C325" s="26"/>
      <c r="D325" s="37"/>
      <c r="E325" s="26"/>
      <c r="F325" s="37"/>
      <c r="G325" s="87" t="e">
        <f>Tabla8[[#This Row],[COSTO UNITARIO]]/F325</f>
        <v>#DIV/0!</v>
      </c>
    </row>
    <row r="326" spans="1:9" hidden="1" x14ac:dyDescent="0.25">
      <c r="A326" s="26"/>
      <c r="B326" s="26"/>
      <c r="C326" s="26"/>
      <c r="D326" s="37"/>
      <c r="E326" s="26"/>
      <c r="F326" s="37"/>
      <c r="G326" s="87" t="e">
        <f>Tabla8[[#This Row],[COSTO UNITARIO]]/F326</f>
        <v>#DIV/0!</v>
      </c>
    </row>
    <row r="327" spans="1:9" hidden="1" x14ac:dyDescent="0.25">
      <c r="A327" s="26"/>
      <c r="B327" s="26"/>
      <c r="C327" s="26"/>
      <c r="D327" s="37"/>
      <c r="E327" s="26"/>
      <c r="F327" s="37"/>
      <c r="G327" s="87" t="e">
        <f>Tabla8[[#This Row],[COSTO UNITARIO]]/F327</f>
        <v>#DIV/0!</v>
      </c>
    </row>
    <row r="328" spans="1:9" hidden="1" x14ac:dyDescent="0.25">
      <c r="A328" s="26"/>
      <c r="B328" s="26"/>
      <c r="C328" s="26"/>
      <c r="D328" s="37"/>
      <c r="E328" s="26"/>
      <c r="F328" s="37"/>
      <c r="G328" s="87" t="e">
        <f>Tabla8[[#This Row],[COSTO UNITARIO]]/F328</f>
        <v>#DIV/0!</v>
      </c>
    </row>
    <row r="329" spans="1:9" hidden="1" x14ac:dyDescent="0.25">
      <c r="A329" s="26"/>
      <c r="B329" s="26"/>
      <c r="C329" s="26"/>
      <c r="D329" s="37"/>
      <c r="E329" s="26"/>
      <c r="F329" s="37"/>
      <c r="G329" s="87" t="e">
        <f>Tabla8[[#This Row],[COSTO UNITARIO]]/F329</f>
        <v>#DIV/0!</v>
      </c>
    </row>
    <row r="330" spans="1:9" hidden="1" x14ac:dyDescent="0.25">
      <c r="A330" s="26"/>
      <c r="B330" s="26"/>
      <c r="C330" s="26"/>
      <c r="D330" s="37"/>
      <c r="E330" s="26"/>
      <c r="F330" s="37"/>
      <c r="G330" s="87" t="e">
        <f>Tabla8[[#This Row],[COSTO UNITARIO]]/F330</f>
        <v>#DIV/0!</v>
      </c>
    </row>
    <row r="331" spans="1:9" hidden="1" x14ac:dyDescent="0.25">
      <c r="A331" s="26"/>
      <c r="B331" s="26"/>
      <c r="C331" s="26"/>
      <c r="D331" s="37"/>
      <c r="E331" s="26"/>
      <c r="F331" s="37"/>
      <c r="G331" s="87" t="e">
        <f>Tabla8[[#This Row],[COSTO UNITARIO]]/F331</f>
        <v>#DIV/0!</v>
      </c>
    </row>
    <row r="332" spans="1:9" hidden="1" x14ac:dyDescent="0.25">
      <c r="A332" s="26"/>
      <c r="B332" s="26"/>
      <c r="C332" s="26"/>
      <c r="D332" s="37"/>
      <c r="E332" s="26"/>
      <c r="F332" s="37"/>
      <c r="G332" s="87" t="e">
        <f>Tabla8[[#This Row],[COSTO UNITARIO]]/F332</f>
        <v>#DIV/0!</v>
      </c>
    </row>
    <row r="333" spans="1:9" hidden="1" x14ac:dyDescent="0.25">
      <c r="A333" s="26"/>
      <c r="B333" s="26"/>
      <c r="C333" s="26"/>
      <c r="D333" s="37"/>
      <c r="E333" s="26"/>
      <c r="F333" s="37"/>
      <c r="G333" s="87" t="e">
        <f>Tabla8[[#This Row],[COSTO UNITARIO]]/F333</f>
        <v>#DIV/0!</v>
      </c>
    </row>
    <row r="334" spans="1:9" x14ac:dyDescent="0.25">
      <c r="A334" s="38">
        <v>44428</v>
      </c>
      <c r="B334" s="39" t="s">
        <v>302</v>
      </c>
      <c r="C334" s="39">
        <v>1</v>
      </c>
      <c r="D334" s="40">
        <v>11962500</v>
      </c>
      <c r="E334" s="39" t="s">
        <v>129</v>
      </c>
      <c r="F334" s="111">
        <v>4125000</v>
      </c>
      <c r="G334" s="125">
        <f>Tabla8[[#This Row],[COSTO UNITARIO]]/F334</f>
        <v>2.9</v>
      </c>
      <c r="I334" s="27"/>
    </row>
    <row r="335" spans="1:9" x14ac:dyDescent="0.25">
      <c r="A335" s="42">
        <v>44428</v>
      </c>
      <c r="B335" s="43" t="s">
        <v>184</v>
      </c>
      <c r="C335" s="43">
        <v>1</v>
      </c>
      <c r="D335" s="44">
        <v>1035000</v>
      </c>
      <c r="E335" s="43" t="s">
        <v>122</v>
      </c>
      <c r="F335" s="112">
        <v>4125000</v>
      </c>
      <c r="G335" s="126">
        <f>Tabla8[[#This Row],[COSTO UNITARIO]]/F335</f>
        <v>0.25090909090909091</v>
      </c>
      <c r="I335" s="71"/>
    </row>
    <row r="336" spans="1:9" x14ac:dyDescent="0.25">
      <c r="A336" s="42">
        <v>44428</v>
      </c>
      <c r="B336" s="43" t="s">
        <v>300</v>
      </c>
      <c r="C336" s="43">
        <v>1</v>
      </c>
      <c r="D336" s="44">
        <v>1526250</v>
      </c>
      <c r="E336" s="43" t="s">
        <v>123</v>
      </c>
      <c r="F336" s="112">
        <v>4125000</v>
      </c>
      <c r="G336" s="126">
        <f>Tabla8[[#This Row],[COSTO UNITARIO]]/F336</f>
        <v>0.37</v>
      </c>
      <c r="I336" s="71"/>
    </row>
    <row r="337" spans="1:9" x14ac:dyDescent="0.25">
      <c r="A337" s="42">
        <v>44428</v>
      </c>
      <c r="B337" s="43" t="s">
        <v>186</v>
      </c>
      <c r="C337" s="43">
        <v>2</v>
      </c>
      <c r="D337" s="44">
        <v>5775000</v>
      </c>
      <c r="E337" s="43" t="s">
        <v>299</v>
      </c>
      <c r="F337" s="112">
        <v>4125000</v>
      </c>
      <c r="G337" s="126">
        <f>Tabla8[[#This Row],[COSTO UNITARIO]]/F337</f>
        <v>1.4</v>
      </c>
    </row>
    <row r="338" spans="1:9" x14ac:dyDescent="0.25">
      <c r="A338" s="42">
        <v>44428</v>
      </c>
      <c r="B338" s="43" t="s">
        <v>205</v>
      </c>
      <c r="C338" s="43">
        <v>1</v>
      </c>
      <c r="D338" s="44">
        <v>4125000</v>
      </c>
      <c r="E338" s="43" t="s">
        <v>299</v>
      </c>
      <c r="F338" s="112">
        <v>4125000</v>
      </c>
      <c r="G338" s="126">
        <f>Tabla8[[#This Row],[COSTO UNITARIO]]/F338</f>
        <v>1</v>
      </c>
      <c r="I338" s="27"/>
    </row>
    <row r="339" spans="1:9" x14ac:dyDescent="0.25">
      <c r="A339" s="42">
        <v>44428</v>
      </c>
      <c r="B339" s="43" t="s">
        <v>302</v>
      </c>
      <c r="C339" s="43">
        <v>2</v>
      </c>
      <c r="D339" s="44">
        <v>23925000</v>
      </c>
      <c r="E339" s="43" t="s">
        <v>299</v>
      </c>
      <c r="F339" s="112">
        <v>4125000</v>
      </c>
      <c r="G339" s="126">
        <f>Tabla8[[#This Row],[COSTO UNITARIO]]/F339</f>
        <v>5.8</v>
      </c>
      <c r="I339" s="71"/>
    </row>
    <row r="340" spans="1:9" x14ac:dyDescent="0.25">
      <c r="A340" s="46">
        <v>44428</v>
      </c>
      <c r="B340" s="47" t="s">
        <v>219</v>
      </c>
      <c r="C340" s="47">
        <v>2</v>
      </c>
      <c r="D340" s="48">
        <v>5775000</v>
      </c>
      <c r="E340" s="47" t="s">
        <v>130</v>
      </c>
      <c r="F340" s="113">
        <v>4125000</v>
      </c>
      <c r="G340" s="127">
        <f>Tabla8[[#This Row],[COSTO UNITARIO]]/F340</f>
        <v>1.4</v>
      </c>
    </row>
    <row r="341" spans="1:9" x14ac:dyDescent="0.25">
      <c r="A341" s="38">
        <v>44429</v>
      </c>
      <c r="B341" s="39" t="s">
        <v>134</v>
      </c>
      <c r="C341" s="39">
        <v>2</v>
      </c>
      <c r="D341" s="40">
        <v>4670000</v>
      </c>
      <c r="E341" s="39" t="s">
        <v>129</v>
      </c>
      <c r="F341" s="111">
        <v>4125000</v>
      </c>
      <c r="G341" s="125">
        <f>Tabla8[[#This Row],[COSTO UNITARIO]]/F341</f>
        <v>1.1321212121212121</v>
      </c>
      <c r="I341" s="27"/>
    </row>
    <row r="342" spans="1:9" x14ac:dyDescent="0.25">
      <c r="A342" s="42">
        <v>44429</v>
      </c>
      <c r="B342" s="43" t="s">
        <v>184</v>
      </c>
      <c r="C342" s="43">
        <v>1</v>
      </c>
      <c r="D342" s="44">
        <v>1035000</v>
      </c>
      <c r="E342" s="43" t="s">
        <v>129</v>
      </c>
      <c r="F342" s="112">
        <v>4125000</v>
      </c>
      <c r="G342" s="126">
        <f>Tabla8[[#This Row],[COSTO UNITARIO]]/F342</f>
        <v>0.25090909090909091</v>
      </c>
      <c r="I342" s="71"/>
    </row>
    <row r="343" spans="1:9" x14ac:dyDescent="0.25">
      <c r="A343" s="42">
        <v>44429</v>
      </c>
      <c r="B343" s="43" t="s">
        <v>183</v>
      </c>
      <c r="C343" s="43">
        <v>1</v>
      </c>
      <c r="D343" s="44">
        <v>12168750</v>
      </c>
      <c r="E343" s="43" t="s">
        <v>129</v>
      </c>
      <c r="F343" s="112">
        <v>4125000</v>
      </c>
      <c r="G343" s="126">
        <f>Tabla8[[#This Row],[COSTO UNITARIO]]/F343</f>
        <v>2.95</v>
      </c>
    </row>
    <row r="344" spans="1:9" x14ac:dyDescent="0.25">
      <c r="A344" s="46">
        <v>44429</v>
      </c>
      <c r="B344" s="47" t="s">
        <v>124</v>
      </c>
      <c r="C344" s="47">
        <v>1</v>
      </c>
      <c r="D344" s="48">
        <v>4125000</v>
      </c>
      <c r="E344" s="47" t="s">
        <v>122</v>
      </c>
      <c r="F344" s="113">
        <v>4125000</v>
      </c>
      <c r="G344" s="127">
        <f>Tabla8[[#This Row],[COSTO UNITARIO]]/F344</f>
        <v>1</v>
      </c>
      <c r="I344" s="71"/>
    </row>
    <row r="345" spans="1:9" x14ac:dyDescent="0.25">
      <c r="A345" s="38">
        <v>44430</v>
      </c>
      <c r="B345" s="39" t="s">
        <v>183</v>
      </c>
      <c r="C345" s="39">
        <v>1</v>
      </c>
      <c r="D345" s="40">
        <v>12168750</v>
      </c>
      <c r="E345" s="39" t="s">
        <v>129</v>
      </c>
      <c r="F345" s="111">
        <v>4125000</v>
      </c>
      <c r="G345" s="125">
        <f>Tabla8[[#This Row],[COSTO UNITARIO]]/F345</f>
        <v>2.95</v>
      </c>
    </row>
    <row r="346" spans="1:9" x14ac:dyDescent="0.25">
      <c r="A346" s="42">
        <v>44430</v>
      </c>
      <c r="B346" s="43" t="s">
        <v>191</v>
      </c>
      <c r="C346" s="43">
        <v>1</v>
      </c>
      <c r="D346" s="44">
        <v>4125000</v>
      </c>
      <c r="E346" s="43" t="s">
        <v>129</v>
      </c>
      <c r="F346" s="112">
        <v>4125000</v>
      </c>
      <c r="G346" s="126">
        <f>Tabla8[[#This Row],[COSTO UNITARIO]]/F346</f>
        <v>1</v>
      </c>
    </row>
    <row r="347" spans="1:9" x14ac:dyDescent="0.25">
      <c r="A347" s="42">
        <v>44430</v>
      </c>
      <c r="B347" s="43" t="s">
        <v>132</v>
      </c>
      <c r="C347" s="43">
        <v>1</v>
      </c>
      <c r="D347" s="44">
        <v>6228750</v>
      </c>
      <c r="E347" s="43" t="s">
        <v>122</v>
      </c>
      <c r="F347" s="112">
        <v>4125000</v>
      </c>
      <c r="G347" s="126">
        <f>Tabla8[[#This Row],[COSTO UNITARIO]]/F347</f>
        <v>1.51</v>
      </c>
    </row>
    <row r="348" spans="1:9" x14ac:dyDescent="0.25">
      <c r="A348" s="42">
        <v>44430</v>
      </c>
      <c r="B348" s="43" t="s">
        <v>183</v>
      </c>
      <c r="C348" s="43">
        <v>1</v>
      </c>
      <c r="D348" s="44">
        <v>12168750</v>
      </c>
      <c r="E348" s="43" t="s">
        <v>122</v>
      </c>
      <c r="F348" s="112">
        <v>4125000</v>
      </c>
      <c r="G348" s="126">
        <f>Tabla8[[#This Row],[COSTO UNITARIO]]/F348</f>
        <v>2.95</v>
      </c>
    </row>
    <row r="349" spans="1:9" x14ac:dyDescent="0.25">
      <c r="A349" s="42">
        <v>44430</v>
      </c>
      <c r="B349" s="43" t="s">
        <v>125</v>
      </c>
      <c r="C349" s="43">
        <v>1</v>
      </c>
      <c r="D349" s="44">
        <v>4125000</v>
      </c>
      <c r="E349" s="43" t="s">
        <v>123</v>
      </c>
      <c r="F349" s="112">
        <v>4125000</v>
      </c>
      <c r="G349" s="126">
        <f>Tabla8[[#This Row],[COSTO UNITARIO]]/F349</f>
        <v>1</v>
      </c>
    </row>
    <row r="350" spans="1:9" x14ac:dyDescent="0.25">
      <c r="A350" s="46">
        <v>44430</v>
      </c>
      <c r="B350" s="47" t="s">
        <v>277</v>
      </c>
      <c r="C350" s="47">
        <v>3</v>
      </c>
      <c r="D350" s="48">
        <v>7425000</v>
      </c>
      <c r="E350" s="47" t="s">
        <v>130</v>
      </c>
      <c r="F350" s="113">
        <v>4125000</v>
      </c>
      <c r="G350" s="127">
        <f>Tabla8[[#This Row],[COSTO UNITARIO]]/F350</f>
        <v>1.8</v>
      </c>
      <c r="I350" s="71"/>
    </row>
    <row r="351" spans="1:9" x14ac:dyDescent="0.25">
      <c r="A351" s="38">
        <v>44431</v>
      </c>
      <c r="B351" s="39" t="s">
        <v>125</v>
      </c>
      <c r="C351" s="39">
        <v>1</v>
      </c>
      <c r="D351" s="40">
        <v>4125000</v>
      </c>
      <c r="E351" s="39" t="s">
        <v>129</v>
      </c>
      <c r="F351" s="111">
        <v>4125000</v>
      </c>
      <c r="G351" s="125">
        <f>Tabla8[[#This Row],[COSTO UNITARIO]]/F351</f>
        <v>1</v>
      </c>
      <c r="I351" s="71"/>
    </row>
    <row r="352" spans="1:9" x14ac:dyDescent="0.25">
      <c r="A352" s="42">
        <v>44431</v>
      </c>
      <c r="B352" s="43" t="s">
        <v>125</v>
      </c>
      <c r="C352" s="43">
        <v>1</v>
      </c>
      <c r="D352" s="44">
        <v>4125000</v>
      </c>
      <c r="E352" s="43" t="s">
        <v>123</v>
      </c>
      <c r="F352" s="112">
        <v>4125000</v>
      </c>
      <c r="G352" s="126">
        <f>Tabla8[[#This Row],[COSTO UNITARIO]]/F352</f>
        <v>1</v>
      </c>
    </row>
    <row r="353" spans="1:9" x14ac:dyDescent="0.25">
      <c r="A353" s="42">
        <v>44431</v>
      </c>
      <c r="B353" s="43" t="s">
        <v>128</v>
      </c>
      <c r="C353" s="43">
        <v>1</v>
      </c>
      <c r="D353" s="44">
        <v>21450000</v>
      </c>
      <c r="E353" s="43" t="s">
        <v>299</v>
      </c>
      <c r="F353" s="112">
        <v>4125000</v>
      </c>
      <c r="G353" s="126">
        <f>Tabla8[[#This Row],[COSTO UNITARIO]]/F353</f>
        <v>5.2</v>
      </c>
    </row>
    <row r="354" spans="1:9" x14ac:dyDescent="0.25">
      <c r="A354" s="46">
        <v>44431</v>
      </c>
      <c r="B354" s="47" t="s">
        <v>277</v>
      </c>
      <c r="C354" s="47">
        <v>4</v>
      </c>
      <c r="D354" s="48">
        <v>9900000</v>
      </c>
      <c r="E354" s="47" t="s">
        <v>130</v>
      </c>
      <c r="F354" s="113">
        <v>4125000</v>
      </c>
      <c r="G354" s="127">
        <f>Tabla8[[#This Row],[COSTO UNITARIO]]/F354</f>
        <v>2.4</v>
      </c>
      <c r="I354" s="71"/>
    </row>
    <row r="355" spans="1:9" x14ac:dyDescent="0.25">
      <c r="A355" s="38">
        <v>44432</v>
      </c>
      <c r="B355" s="39" t="s">
        <v>124</v>
      </c>
      <c r="C355" s="39">
        <v>1</v>
      </c>
      <c r="D355" s="40">
        <v>4150000</v>
      </c>
      <c r="E355" s="39" t="s">
        <v>129</v>
      </c>
      <c r="F355" s="111">
        <v>4150000</v>
      </c>
      <c r="G355" s="125">
        <f>Tabla8[[#This Row],[COSTO UNITARIO]]/F355</f>
        <v>1</v>
      </c>
    </row>
    <row r="356" spans="1:9" x14ac:dyDescent="0.25">
      <c r="A356" s="42">
        <v>44432</v>
      </c>
      <c r="B356" s="43" t="s">
        <v>137</v>
      </c>
      <c r="C356" s="43">
        <v>1</v>
      </c>
      <c r="D356" s="44">
        <v>21165000</v>
      </c>
      <c r="E356" s="43" t="s">
        <v>129</v>
      </c>
      <c r="F356" s="112">
        <v>4150000</v>
      </c>
      <c r="G356" s="126">
        <f>Tabla8[[#This Row],[COSTO UNITARIO]]/F356</f>
        <v>5.0999999999999996</v>
      </c>
    </row>
    <row r="357" spans="1:9" x14ac:dyDescent="0.25">
      <c r="A357" s="42">
        <v>44432</v>
      </c>
      <c r="B357" s="43" t="s">
        <v>277</v>
      </c>
      <c r="C357" s="43">
        <v>5</v>
      </c>
      <c r="D357" s="44">
        <v>12450000</v>
      </c>
      <c r="E357" s="43" t="s">
        <v>130</v>
      </c>
      <c r="F357" s="112">
        <v>4150000</v>
      </c>
      <c r="G357" s="126">
        <f>Tabla8[[#This Row],[COSTO UNITARIO]]/F357</f>
        <v>3</v>
      </c>
      <c r="I357" s="71"/>
    </row>
    <row r="358" spans="1:9" x14ac:dyDescent="0.25">
      <c r="A358" s="42">
        <v>44432</v>
      </c>
      <c r="B358" s="43" t="s">
        <v>186</v>
      </c>
      <c r="C358" s="43">
        <v>3</v>
      </c>
      <c r="D358" s="44">
        <v>8715000</v>
      </c>
      <c r="E358" s="43" t="s">
        <v>130</v>
      </c>
      <c r="F358" s="112">
        <v>4150000</v>
      </c>
      <c r="G358" s="126">
        <f>Tabla8[[#This Row],[COSTO UNITARIO]]/F358</f>
        <v>2.1</v>
      </c>
      <c r="I358" s="71"/>
    </row>
    <row r="359" spans="1:9" x14ac:dyDescent="0.25">
      <c r="A359" s="46">
        <v>44432</v>
      </c>
      <c r="B359" s="47" t="s">
        <v>124</v>
      </c>
      <c r="C359" s="47">
        <v>2</v>
      </c>
      <c r="D359" s="48">
        <v>8300000</v>
      </c>
      <c r="E359" s="47" t="s">
        <v>130</v>
      </c>
      <c r="F359" s="113">
        <v>4150000</v>
      </c>
      <c r="G359" s="127">
        <f>Tabla8[[#This Row],[COSTO UNITARIO]]/F359</f>
        <v>2</v>
      </c>
    </row>
    <row r="360" spans="1:9" x14ac:dyDescent="0.25">
      <c r="A360" s="38">
        <v>44433</v>
      </c>
      <c r="B360" s="39" t="s">
        <v>192</v>
      </c>
      <c r="C360" s="39">
        <v>2</v>
      </c>
      <c r="D360" s="40">
        <v>6225000</v>
      </c>
      <c r="E360" s="39" t="s">
        <v>123</v>
      </c>
      <c r="F360" s="111">
        <v>4150000</v>
      </c>
      <c r="G360" s="125">
        <f>Tabla8[[#This Row],[COSTO UNITARIO]]/F360</f>
        <v>1.5</v>
      </c>
    </row>
    <row r="361" spans="1:9" x14ac:dyDescent="0.25">
      <c r="A361" s="42">
        <v>44433</v>
      </c>
      <c r="B361" s="43" t="s">
        <v>125</v>
      </c>
      <c r="C361" s="43">
        <v>1</v>
      </c>
      <c r="D361" s="44">
        <v>4150000</v>
      </c>
      <c r="E361" s="43" t="s">
        <v>123</v>
      </c>
      <c r="F361" s="112">
        <v>4150000</v>
      </c>
      <c r="G361" s="126">
        <f>Tabla8[[#This Row],[COSTO UNITARIO]]/F361</f>
        <v>1</v>
      </c>
    </row>
    <row r="362" spans="1:9" x14ac:dyDescent="0.25">
      <c r="A362" s="42">
        <v>44433</v>
      </c>
      <c r="B362" s="43" t="s">
        <v>182</v>
      </c>
      <c r="C362" s="43">
        <v>1</v>
      </c>
      <c r="D362" s="44">
        <v>4150000</v>
      </c>
      <c r="E362" s="43" t="s">
        <v>123</v>
      </c>
      <c r="F362" s="112">
        <v>4150000</v>
      </c>
      <c r="G362" s="126">
        <f>Tabla8[[#This Row],[COSTO UNITARIO]]/F362</f>
        <v>1</v>
      </c>
    </row>
    <row r="363" spans="1:9" x14ac:dyDescent="0.25">
      <c r="A363" s="46">
        <v>44433</v>
      </c>
      <c r="B363" s="47" t="s">
        <v>219</v>
      </c>
      <c r="C363" s="47">
        <v>2</v>
      </c>
      <c r="D363" s="48">
        <v>5810000</v>
      </c>
      <c r="E363" s="47" t="s">
        <v>130</v>
      </c>
      <c r="F363" s="113">
        <v>4150000</v>
      </c>
      <c r="G363" s="127">
        <f>Tabla8[[#This Row],[COSTO UNITARIO]]/F363</f>
        <v>1.4</v>
      </c>
    </row>
    <row r="364" spans="1:9" x14ac:dyDescent="0.25">
      <c r="A364" s="38">
        <v>44434</v>
      </c>
      <c r="B364" s="39" t="s">
        <v>184</v>
      </c>
      <c r="C364" s="39">
        <v>1</v>
      </c>
      <c r="D364" s="40">
        <v>1035000</v>
      </c>
      <c r="E364" s="39" t="s">
        <v>122</v>
      </c>
      <c r="F364" s="111">
        <v>4150000</v>
      </c>
      <c r="G364" s="125">
        <f>Tabla8[[#This Row],[COSTO UNITARIO]]/F364</f>
        <v>0.24939759036144579</v>
      </c>
    </row>
    <row r="365" spans="1:9" x14ac:dyDescent="0.25">
      <c r="A365" s="42">
        <v>44434</v>
      </c>
      <c r="B365" s="43" t="s">
        <v>132</v>
      </c>
      <c r="C365" s="43">
        <v>1</v>
      </c>
      <c r="D365" s="44">
        <v>6266500</v>
      </c>
      <c r="E365" s="43" t="s">
        <v>122</v>
      </c>
      <c r="F365" s="112">
        <v>4150000</v>
      </c>
      <c r="G365" s="126">
        <f>Tabla8[[#This Row],[COSTO UNITARIO]]/F365</f>
        <v>1.51</v>
      </c>
    </row>
    <row r="366" spans="1:9" x14ac:dyDescent="0.25">
      <c r="A366" s="42">
        <v>44434</v>
      </c>
      <c r="B366" s="43" t="s">
        <v>124</v>
      </c>
      <c r="C366" s="43">
        <v>1</v>
      </c>
      <c r="D366" s="44">
        <v>4150000</v>
      </c>
      <c r="E366" s="43" t="s">
        <v>122</v>
      </c>
      <c r="F366" s="112">
        <v>4150000</v>
      </c>
      <c r="G366" s="126">
        <f>Tabla8[[#This Row],[COSTO UNITARIO]]/F366</f>
        <v>1</v>
      </c>
    </row>
    <row r="367" spans="1:9" x14ac:dyDescent="0.25">
      <c r="A367" s="42">
        <v>44434</v>
      </c>
      <c r="B367" s="43" t="s">
        <v>229</v>
      </c>
      <c r="C367" s="43">
        <v>1</v>
      </c>
      <c r="D367" s="44">
        <v>24609500</v>
      </c>
      <c r="E367" s="43" t="s">
        <v>122</v>
      </c>
      <c r="F367" s="112">
        <v>4150000</v>
      </c>
      <c r="G367" s="126">
        <f>Tabla8[[#This Row],[COSTO UNITARIO]]/F367</f>
        <v>5.93</v>
      </c>
    </row>
    <row r="368" spans="1:9" x14ac:dyDescent="0.25">
      <c r="A368" s="42">
        <v>44434</v>
      </c>
      <c r="B368" s="43" t="s">
        <v>191</v>
      </c>
      <c r="C368" s="43">
        <v>1</v>
      </c>
      <c r="D368" s="44">
        <v>4150000</v>
      </c>
      <c r="E368" s="43" t="s">
        <v>123</v>
      </c>
      <c r="F368" s="112">
        <v>4150000</v>
      </c>
      <c r="G368" s="126">
        <f>Tabla8[[#This Row],[COSTO UNITARIO]]/F368</f>
        <v>1</v>
      </c>
    </row>
    <row r="369" spans="1:7" x14ac:dyDescent="0.25">
      <c r="A369" s="42">
        <v>44434</v>
      </c>
      <c r="B369" s="43" t="s">
        <v>303</v>
      </c>
      <c r="C369" s="43">
        <v>2</v>
      </c>
      <c r="D369" s="44">
        <v>5810000</v>
      </c>
      <c r="E369" s="43" t="s">
        <v>130</v>
      </c>
      <c r="F369" s="112">
        <v>4150000</v>
      </c>
      <c r="G369" s="126">
        <f>Tabla8[[#This Row],[COSTO UNITARIO]]/F369</f>
        <v>1.4</v>
      </c>
    </row>
    <row r="370" spans="1:7" x14ac:dyDescent="0.25">
      <c r="A370" s="42">
        <v>44434</v>
      </c>
      <c r="B370" s="43" t="s">
        <v>194</v>
      </c>
      <c r="C370" s="43">
        <v>2</v>
      </c>
      <c r="D370" s="44">
        <v>3652000</v>
      </c>
      <c r="E370" s="43" t="s">
        <v>130</v>
      </c>
      <c r="F370" s="112">
        <v>4150000</v>
      </c>
      <c r="G370" s="126">
        <f>Tabla8[[#This Row],[COSTO UNITARIO]]/F370</f>
        <v>0.88</v>
      </c>
    </row>
    <row r="371" spans="1:7" x14ac:dyDescent="0.25">
      <c r="A371" s="42">
        <v>44434</v>
      </c>
      <c r="B371" s="43" t="s">
        <v>186</v>
      </c>
      <c r="C371" s="43">
        <v>3</v>
      </c>
      <c r="D371" s="44">
        <v>8715000</v>
      </c>
      <c r="E371" s="43" t="s">
        <v>130</v>
      </c>
      <c r="F371" s="112">
        <v>4150000</v>
      </c>
      <c r="G371" s="126">
        <f>Tabla8[[#This Row],[COSTO UNITARIO]]/F371</f>
        <v>2.1</v>
      </c>
    </row>
    <row r="372" spans="1:7" x14ac:dyDescent="0.25">
      <c r="A372" s="46">
        <v>44434</v>
      </c>
      <c r="B372" s="47" t="s">
        <v>304</v>
      </c>
      <c r="C372" s="47">
        <v>1</v>
      </c>
      <c r="D372" s="48">
        <v>2905000</v>
      </c>
      <c r="E372" s="47" t="s">
        <v>130</v>
      </c>
      <c r="F372" s="113">
        <v>4150000</v>
      </c>
      <c r="G372" s="127">
        <f>Tabla8[[#This Row],[COSTO UNITARIO]]/F372</f>
        <v>0.7</v>
      </c>
    </row>
    <row r="373" spans="1:7" x14ac:dyDescent="0.25">
      <c r="A373" s="38">
        <v>44435</v>
      </c>
      <c r="B373" s="39" t="s">
        <v>184</v>
      </c>
      <c r="C373" s="39">
        <v>1</v>
      </c>
      <c r="D373" s="40">
        <v>1035000</v>
      </c>
      <c r="E373" s="39" t="s">
        <v>122</v>
      </c>
      <c r="F373" s="111">
        <v>4150000</v>
      </c>
      <c r="G373" s="125">
        <f>Tabla8[[#This Row],[COSTO UNITARIO]]/F373</f>
        <v>0.24939759036144579</v>
      </c>
    </row>
    <row r="374" spans="1:7" x14ac:dyDescent="0.25">
      <c r="A374" s="42">
        <v>44435</v>
      </c>
      <c r="B374" s="43" t="s">
        <v>197</v>
      </c>
      <c r="C374" s="43">
        <v>1</v>
      </c>
      <c r="D374" s="44">
        <v>8300000</v>
      </c>
      <c r="E374" s="43" t="s">
        <v>123</v>
      </c>
      <c r="F374" s="112">
        <v>4150000</v>
      </c>
      <c r="G374" s="126">
        <f>Tabla8[[#This Row],[COSTO UNITARIO]]/F374</f>
        <v>2</v>
      </c>
    </row>
    <row r="375" spans="1:7" x14ac:dyDescent="0.25">
      <c r="A375" s="42">
        <v>44435</v>
      </c>
      <c r="B375" s="43" t="s">
        <v>125</v>
      </c>
      <c r="C375" s="43">
        <v>1</v>
      </c>
      <c r="D375" s="44">
        <v>4150000</v>
      </c>
      <c r="E375" s="43" t="s">
        <v>130</v>
      </c>
      <c r="F375" s="112">
        <v>4150000</v>
      </c>
      <c r="G375" s="126">
        <f>Tabla8[[#This Row],[COSTO UNITARIO]]/F375</f>
        <v>1</v>
      </c>
    </row>
    <row r="376" spans="1:7" x14ac:dyDescent="0.25">
      <c r="A376" s="42">
        <v>44435</v>
      </c>
      <c r="B376" s="43" t="s">
        <v>211</v>
      </c>
      <c r="C376" s="43">
        <v>1</v>
      </c>
      <c r="D376" s="44">
        <f>6.64*F375</f>
        <v>27556000</v>
      </c>
      <c r="E376" s="43" t="s">
        <v>130</v>
      </c>
      <c r="F376" s="112">
        <v>4150000</v>
      </c>
      <c r="G376" s="126">
        <f>Tabla8[[#This Row],[COSTO UNITARIO]]/F376</f>
        <v>6.64</v>
      </c>
    </row>
    <row r="377" spans="1:7" x14ac:dyDescent="0.25">
      <c r="A377" s="46">
        <v>44435</v>
      </c>
      <c r="B377" s="47" t="s">
        <v>191</v>
      </c>
      <c r="C377" s="47">
        <v>1</v>
      </c>
      <c r="D377" s="48">
        <v>4150000</v>
      </c>
      <c r="E377" s="47" t="s">
        <v>130</v>
      </c>
      <c r="F377" s="113">
        <v>4150000</v>
      </c>
      <c r="G377" s="127">
        <f>Tabla8[[#This Row],[COSTO UNITARIO]]/F377</f>
        <v>1</v>
      </c>
    </row>
    <row r="378" spans="1:7" x14ac:dyDescent="0.25">
      <c r="A378" s="38">
        <v>44436</v>
      </c>
      <c r="B378" s="39" t="s">
        <v>305</v>
      </c>
      <c r="C378" s="39">
        <v>1</v>
      </c>
      <c r="D378" s="40">
        <v>1751400</v>
      </c>
      <c r="E378" s="39" t="s">
        <v>122</v>
      </c>
      <c r="F378" s="111">
        <v>4150000</v>
      </c>
      <c r="G378" s="125">
        <f>Tabla8[[#This Row],[COSTO UNITARIO]]/F378</f>
        <v>0.42202409638554217</v>
      </c>
    </row>
    <row r="379" spans="1:7" x14ac:dyDescent="0.25">
      <c r="A379" s="46">
        <v>44436</v>
      </c>
      <c r="B379" s="47" t="s">
        <v>302</v>
      </c>
      <c r="C379" s="47">
        <v>1</v>
      </c>
      <c r="D379" s="48">
        <f>2.9*F378</f>
        <v>12035000</v>
      </c>
      <c r="E379" s="47" t="s">
        <v>122</v>
      </c>
      <c r="F379" s="113">
        <v>4150000</v>
      </c>
      <c r="G379" s="127">
        <f>Tabla8[[#This Row],[COSTO UNITARIO]]/F379</f>
        <v>2.9</v>
      </c>
    </row>
    <row r="380" spans="1:7" x14ac:dyDescent="0.25">
      <c r="A380" s="38">
        <v>44437</v>
      </c>
      <c r="B380" s="39" t="s">
        <v>184</v>
      </c>
      <c r="C380" s="39">
        <v>1</v>
      </c>
      <c r="D380" s="40">
        <v>1751400</v>
      </c>
      <c r="E380" s="39" t="s">
        <v>122</v>
      </c>
      <c r="F380" s="111">
        <v>4150000</v>
      </c>
      <c r="G380" s="125">
        <f>Tabla8[[#This Row],[COSTO UNITARIO]]/F380</f>
        <v>0.42202409638554217</v>
      </c>
    </row>
    <row r="381" spans="1:7" x14ac:dyDescent="0.25">
      <c r="A381" s="42">
        <v>44437</v>
      </c>
      <c r="B381" s="43" t="s">
        <v>191</v>
      </c>
      <c r="C381" s="43">
        <v>1</v>
      </c>
      <c r="D381" s="44">
        <v>4150000</v>
      </c>
      <c r="E381" s="43" t="s">
        <v>122</v>
      </c>
      <c r="F381" s="112">
        <v>4150000</v>
      </c>
      <c r="G381" s="126">
        <f>Tabla8[[#This Row],[COSTO UNITARIO]]/F381</f>
        <v>1</v>
      </c>
    </row>
    <row r="382" spans="1:7" x14ac:dyDescent="0.25">
      <c r="A382" s="42">
        <v>44437</v>
      </c>
      <c r="B382" s="43" t="s">
        <v>219</v>
      </c>
      <c r="C382" s="43">
        <v>6</v>
      </c>
      <c r="D382" s="44">
        <v>17430000</v>
      </c>
      <c r="E382" s="43" t="s">
        <v>130</v>
      </c>
      <c r="F382" s="112">
        <v>4150000</v>
      </c>
      <c r="G382" s="126">
        <f>Tabla8[[#This Row],[COSTO UNITARIO]]/F382</f>
        <v>4.2</v>
      </c>
    </row>
    <row r="383" spans="1:7" x14ac:dyDescent="0.25">
      <c r="A383" s="42">
        <v>44437</v>
      </c>
      <c r="B383" s="43" t="s">
        <v>186</v>
      </c>
      <c r="C383" s="43">
        <v>1</v>
      </c>
      <c r="D383" s="44">
        <v>2905000</v>
      </c>
      <c r="E383" s="43" t="s">
        <v>130</v>
      </c>
      <c r="F383" s="112">
        <v>4150000</v>
      </c>
      <c r="G383" s="126">
        <f>Tabla8[[#This Row],[COSTO UNITARIO]]/F383</f>
        <v>0.7</v>
      </c>
    </row>
    <row r="384" spans="1:7" x14ac:dyDescent="0.25">
      <c r="A384" s="46">
        <v>44437</v>
      </c>
      <c r="B384" s="47" t="s">
        <v>131</v>
      </c>
      <c r="C384" s="47">
        <v>2</v>
      </c>
      <c r="D384" s="48">
        <v>12450000</v>
      </c>
      <c r="E384" s="47" t="s">
        <v>130</v>
      </c>
      <c r="F384" s="113">
        <v>4150000</v>
      </c>
      <c r="G384" s="127">
        <f>Tabla8[[#This Row],[COSTO UNITARIO]]/F384</f>
        <v>3</v>
      </c>
    </row>
    <row r="385" spans="1:16" x14ac:dyDescent="0.25">
      <c r="A385" s="38">
        <v>44438</v>
      </c>
      <c r="B385" s="39" t="s">
        <v>132</v>
      </c>
      <c r="C385" s="39">
        <v>1</v>
      </c>
      <c r="D385" s="40">
        <v>6266500</v>
      </c>
      <c r="E385" s="39" t="s">
        <v>129</v>
      </c>
      <c r="F385" s="111">
        <v>4150000</v>
      </c>
      <c r="G385" s="125">
        <f>Tabla8[[#This Row],[COSTO UNITARIO]]/F385</f>
        <v>1.51</v>
      </c>
    </row>
    <row r="386" spans="1:16" x14ac:dyDescent="0.25">
      <c r="A386" s="42">
        <v>44438</v>
      </c>
      <c r="B386" s="43" t="s">
        <v>128</v>
      </c>
      <c r="C386" s="43">
        <v>2</v>
      </c>
      <c r="D386" s="44">
        <v>43160000</v>
      </c>
      <c r="E386" s="43" t="s">
        <v>129</v>
      </c>
      <c r="F386" s="112">
        <v>4150000</v>
      </c>
      <c r="G386" s="126">
        <f>Tabla8[[#This Row],[COSTO UNITARIO]]/F386</f>
        <v>10.4</v>
      </c>
    </row>
    <row r="387" spans="1:16" x14ac:dyDescent="0.25">
      <c r="A387" s="42">
        <v>44438</v>
      </c>
      <c r="B387" s="43" t="s">
        <v>137</v>
      </c>
      <c r="C387" s="43">
        <v>1</v>
      </c>
      <c r="D387" s="44">
        <v>21165000</v>
      </c>
      <c r="E387" s="43" t="s">
        <v>129</v>
      </c>
      <c r="F387" s="112">
        <v>4150000</v>
      </c>
      <c r="G387" s="126">
        <f>Tabla8[[#This Row],[COSTO UNITARIO]]/F387</f>
        <v>5.0999999999999996</v>
      </c>
    </row>
    <row r="388" spans="1:16" x14ac:dyDescent="0.25">
      <c r="A388" s="42">
        <v>44438</v>
      </c>
      <c r="B388" s="43" t="s">
        <v>184</v>
      </c>
      <c r="C388" s="43">
        <v>1</v>
      </c>
      <c r="D388" s="44">
        <v>1743000</v>
      </c>
      <c r="E388" s="43" t="s">
        <v>122</v>
      </c>
      <c r="F388" s="112">
        <v>4150000</v>
      </c>
      <c r="G388" s="126">
        <f>Tabla8[[#This Row],[COSTO UNITARIO]]/F388</f>
        <v>0.42</v>
      </c>
    </row>
    <row r="389" spans="1:16" x14ac:dyDescent="0.25">
      <c r="A389" s="46">
        <v>44438</v>
      </c>
      <c r="B389" s="47" t="s">
        <v>191</v>
      </c>
      <c r="C389" s="47">
        <v>1</v>
      </c>
      <c r="D389" s="48">
        <v>4150000</v>
      </c>
      <c r="E389" s="47" t="s">
        <v>122</v>
      </c>
      <c r="F389" s="113">
        <v>4150000</v>
      </c>
      <c r="G389" s="127">
        <f>Tabla8[[#This Row],[COSTO UNITARIO]]/F389</f>
        <v>1</v>
      </c>
    </row>
    <row r="390" spans="1:16" x14ac:dyDescent="0.25">
      <c r="A390" s="50">
        <v>44439</v>
      </c>
      <c r="B390" s="51" t="s">
        <v>221</v>
      </c>
      <c r="C390" s="51">
        <v>1</v>
      </c>
      <c r="D390" s="52">
        <v>3735000</v>
      </c>
      <c r="E390" s="51" t="s">
        <v>123</v>
      </c>
      <c r="F390" s="115">
        <v>4150000</v>
      </c>
      <c r="G390" s="128">
        <f>Tabla8[[#This Row],[COSTO UNITARIO]]/F390</f>
        <v>0.9</v>
      </c>
    </row>
    <row r="391" spans="1:16" x14ac:dyDescent="0.25">
      <c r="A391" s="94"/>
      <c r="B391" s="94"/>
      <c r="C391" s="94"/>
      <c r="D391" s="110"/>
      <c r="E391" s="94"/>
      <c r="F391" s="141" t="s">
        <v>223</v>
      </c>
      <c r="G391" s="142">
        <f>SUBTOTAL(109,G184:G390)</f>
        <v>175.2148170650097</v>
      </c>
    </row>
    <row r="392" spans="1:16" x14ac:dyDescent="0.25">
      <c r="A392" s="26"/>
      <c r="B392" s="26"/>
      <c r="C392" s="26"/>
      <c r="D392" s="37"/>
      <c r="E392" s="26"/>
      <c r="F392" s="37"/>
      <c r="G392" s="87"/>
    </row>
    <row r="395" spans="1:16" ht="45.75" x14ac:dyDescent="0.65">
      <c r="L395" s="263" t="s">
        <v>523</v>
      </c>
      <c r="M395" s="263"/>
    </row>
    <row r="397" spans="1:16" x14ac:dyDescent="0.25">
      <c r="A397" s="155" t="s">
        <v>181</v>
      </c>
      <c r="B397" s="156" t="s">
        <v>180</v>
      </c>
      <c r="C397" s="156" t="s">
        <v>121</v>
      </c>
      <c r="D397" s="156" t="s">
        <v>187</v>
      </c>
      <c r="E397" s="156" t="s">
        <v>12</v>
      </c>
      <c r="F397" s="156" t="s">
        <v>6</v>
      </c>
      <c r="G397" s="157" t="s">
        <v>237</v>
      </c>
      <c r="J397" s="258" t="s">
        <v>503</v>
      </c>
      <c r="K397" s="259" t="s">
        <v>504</v>
      </c>
      <c r="L397" s="259" t="s">
        <v>505</v>
      </c>
      <c r="M397" s="259" t="s">
        <v>506</v>
      </c>
      <c r="N397" s="259" t="s">
        <v>507</v>
      </c>
      <c r="O397" s="259" t="s">
        <v>6</v>
      </c>
      <c r="P397" s="260" t="s">
        <v>508</v>
      </c>
    </row>
    <row r="398" spans="1:16" x14ac:dyDescent="0.25">
      <c r="A398" s="148">
        <v>44440</v>
      </c>
      <c r="B398" s="149" t="s">
        <v>125</v>
      </c>
      <c r="C398" s="149">
        <v>1</v>
      </c>
      <c r="D398" s="150"/>
      <c r="E398" s="149" t="s">
        <v>306</v>
      </c>
      <c r="F398" s="151"/>
      <c r="G398" s="152">
        <v>1</v>
      </c>
      <c r="J398" s="195">
        <v>44453</v>
      </c>
      <c r="K398" t="s">
        <v>509</v>
      </c>
      <c r="L398" t="s">
        <v>527</v>
      </c>
      <c r="M398" s="27">
        <v>240</v>
      </c>
      <c r="N398" t="s">
        <v>530</v>
      </c>
      <c r="O398">
        <f>4060000/1000000</f>
        <v>4.0599999999999996</v>
      </c>
      <c r="P398" s="118">
        <v>240</v>
      </c>
    </row>
    <row r="399" spans="1:16" x14ac:dyDescent="0.25">
      <c r="A399" s="137">
        <v>44440</v>
      </c>
      <c r="B399" s="134" t="s">
        <v>219</v>
      </c>
      <c r="C399" s="134">
        <v>1</v>
      </c>
      <c r="D399" s="135"/>
      <c r="E399" s="134" t="s">
        <v>130</v>
      </c>
      <c r="F399" s="136"/>
      <c r="G399" s="153">
        <v>0.7</v>
      </c>
      <c r="J399" s="195">
        <v>44453</v>
      </c>
      <c r="K399" t="s">
        <v>510</v>
      </c>
      <c r="L399" t="s">
        <v>528</v>
      </c>
      <c r="M399" s="27">
        <f>49457884.66/1000000</f>
        <v>49.457884659999998</v>
      </c>
      <c r="N399" t="s">
        <v>531</v>
      </c>
      <c r="O399" s="13">
        <f t="shared" ref="O399:O402" si="0">4060000/1000000</f>
        <v>4.0599999999999996</v>
      </c>
      <c r="P399" s="118">
        <v>12.18</v>
      </c>
    </row>
    <row r="400" spans="1:16" x14ac:dyDescent="0.25">
      <c r="A400" s="137">
        <v>44440</v>
      </c>
      <c r="B400" s="138" t="s">
        <v>186</v>
      </c>
      <c r="C400" s="138">
        <v>3</v>
      </c>
      <c r="D400" s="139"/>
      <c r="E400" s="134" t="s">
        <v>130</v>
      </c>
      <c r="F400" s="140"/>
      <c r="G400" s="147">
        <v>2.0699999999999998</v>
      </c>
      <c r="J400" s="195">
        <v>44454</v>
      </c>
      <c r="K400" s="13" t="s">
        <v>510</v>
      </c>
      <c r="L400" s="13" t="s">
        <v>528</v>
      </c>
      <c r="M400" s="27">
        <f>18000000/1000000</f>
        <v>18</v>
      </c>
      <c r="N400" t="s">
        <v>532</v>
      </c>
      <c r="O400" s="13">
        <f t="shared" si="0"/>
        <v>4.0599999999999996</v>
      </c>
      <c r="P400" s="118">
        <v>4.43</v>
      </c>
    </row>
    <row r="401" spans="1:16" x14ac:dyDescent="0.25">
      <c r="A401" s="137">
        <v>44440</v>
      </c>
      <c r="B401" s="143" t="s">
        <v>307</v>
      </c>
      <c r="C401" s="143">
        <v>1</v>
      </c>
      <c r="D401" s="144"/>
      <c r="E401" s="143" t="s">
        <v>130</v>
      </c>
      <c r="F401" s="145"/>
      <c r="G401" s="160">
        <v>7</v>
      </c>
      <c r="J401" s="195">
        <v>44453</v>
      </c>
      <c r="K401" s="13" t="s">
        <v>510</v>
      </c>
      <c r="L401" s="13" t="s">
        <v>528</v>
      </c>
      <c r="M401" s="27">
        <f>395919999/1000000</f>
        <v>395.91999900000002</v>
      </c>
      <c r="N401" t="s">
        <v>533</v>
      </c>
      <c r="O401" s="13">
        <f t="shared" si="0"/>
        <v>4.0599999999999996</v>
      </c>
      <c r="P401" s="118">
        <v>97.52</v>
      </c>
    </row>
    <row r="402" spans="1:16" x14ac:dyDescent="0.25">
      <c r="A402" s="137">
        <v>44440</v>
      </c>
      <c r="B402" s="158" t="s">
        <v>124</v>
      </c>
      <c r="C402" s="158">
        <v>5</v>
      </c>
      <c r="D402" s="158"/>
      <c r="E402" s="158" t="s">
        <v>130</v>
      </c>
      <c r="F402" s="108"/>
      <c r="G402" s="126">
        <v>5</v>
      </c>
      <c r="J402" s="195">
        <v>44454</v>
      </c>
      <c r="K402" s="13" t="s">
        <v>510</v>
      </c>
      <c r="L402" s="13" t="s">
        <v>528</v>
      </c>
      <c r="M402" s="27">
        <f>244800000/1000000</f>
        <v>244.8</v>
      </c>
      <c r="N402" t="s">
        <v>540</v>
      </c>
      <c r="O402" s="13">
        <f t="shared" si="0"/>
        <v>4.0599999999999996</v>
      </c>
      <c r="P402" s="118">
        <v>60.3</v>
      </c>
    </row>
    <row r="403" spans="1:16" x14ac:dyDescent="0.25">
      <c r="A403" s="154">
        <v>44440</v>
      </c>
      <c r="B403" s="159" t="s">
        <v>191</v>
      </c>
      <c r="C403" s="159">
        <v>2</v>
      </c>
      <c r="D403" s="159"/>
      <c r="E403" s="159" t="s">
        <v>130</v>
      </c>
      <c r="F403" s="114"/>
      <c r="G403" s="395">
        <v>2</v>
      </c>
      <c r="J403" s="195">
        <v>44463</v>
      </c>
      <c r="K403" s="13" t="s">
        <v>510</v>
      </c>
      <c r="L403" s="13" t="s">
        <v>528</v>
      </c>
      <c r="M403" s="27">
        <f>231000000/1000000</f>
        <v>231</v>
      </c>
      <c r="N403" t="s">
        <v>541</v>
      </c>
      <c r="O403">
        <f>4250000/1000000</f>
        <v>4.25</v>
      </c>
      <c r="P403" s="118">
        <v>54.35</v>
      </c>
    </row>
    <row r="404" spans="1:16" x14ac:dyDescent="0.25">
      <c r="A404" s="161">
        <v>44441</v>
      </c>
      <c r="B404" s="162" t="s">
        <v>319</v>
      </c>
      <c r="C404" s="162">
        <v>1</v>
      </c>
      <c r="D404" s="162"/>
      <c r="E404" s="162" t="s">
        <v>122</v>
      </c>
      <c r="F404" s="92"/>
      <c r="G404" s="125">
        <v>0.42</v>
      </c>
      <c r="J404" s="195">
        <v>44464</v>
      </c>
      <c r="K404" t="s">
        <v>509</v>
      </c>
      <c r="L404" t="s">
        <v>527</v>
      </c>
      <c r="M404" s="27">
        <v>220</v>
      </c>
      <c r="N404" t="s">
        <v>542</v>
      </c>
      <c r="O404" s="13">
        <f>4250000/1000000</f>
        <v>4.25</v>
      </c>
      <c r="P404" s="118">
        <v>220</v>
      </c>
    </row>
    <row r="405" spans="1:16" x14ac:dyDescent="0.25">
      <c r="A405" s="163">
        <v>44441</v>
      </c>
      <c r="B405" s="159" t="s">
        <v>191</v>
      </c>
      <c r="C405" s="159">
        <v>1</v>
      </c>
      <c r="D405" s="159"/>
      <c r="E405" s="159" t="s">
        <v>122</v>
      </c>
      <c r="F405" s="114"/>
      <c r="G405" s="127">
        <v>1</v>
      </c>
      <c r="J405" s="195">
        <v>44466</v>
      </c>
      <c r="K405" t="s">
        <v>510</v>
      </c>
      <c r="L405" t="s">
        <v>528</v>
      </c>
      <c r="M405" s="27">
        <f>48763717.93/1000000</f>
        <v>48.763717929999999</v>
      </c>
      <c r="N405" t="s">
        <v>543</v>
      </c>
      <c r="O405">
        <f>4200000/1000000</f>
        <v>4.2</v>
      </c>
      <c r="P405" s="118">
        <v>11.61</v>
      </c>
    </row>
    <row r="406" spans="1:16" x14ac:dyDescent="0.25">
      <c r="A406" s="161">
        <v>44442</v>
      </c>
      <c r="B406" s="162" t="s">
        <v>319</v>
      </c>
      <c r="C406" s="162">
        <v>1</v>
      </c>
      <c r="D406" s="162"/>
      <c r="E406" s="162" t="s">
        <v>129</v>
      </c>
      <c r="F406" s="92"/>
      <c r="G406" s="125">
        <v>0.42</v>
      </c>
      <c r="J406" s="195">
        <v>44466</v>
      </c>
      <c r="K406" s="13" t="s">
        <v>510</v>
      </c>
      <c r="L406" s="13" t="s">
        <v>528</v>
      </c>
      <c r="M406" s="27">
        <f>18200000/1000000</f>
        <v>18.2</v>
      </c>
      <c r="N406" t="s">
        <v>544</v>
      </c>
      <c r="O406" s="13">
        <f t="shared" ref="O406:O407" si="1">4200000/1000000</f>
        <v>4.2</v>
      </c>
      <c r="P406" s="118">
        <v>4.33</v>
      </c>
    </row>
    <row r="407" spans="1:16" x14ac:dyDescent="0.25">
      <c r="A407" s="164">
        <v>44442</v>
      </c>
      <c r="B407" s="158" t="s">
        <v>125</v>
      </c>
      <c r="C407" s="158">
        <v>1</v>
      </c>
      <c r="D407" s="158"/>
      <c r="E407" s="158" t="s">
        <v>129</v>
      </c>
      <c r="F407" s="108"/>
      <c r="G407" s="126">
        <v>1</v>
      </c>
      <c r="J407" s="195">
        <v>44466</v>
      </c>
      <c r="K407" s="13" t="s">
        <v>510</v>
      </c>
      <c r="L407" s="13" t="s">
        <v>528</v>
      </c>
      <c r="M407" s="27">
        <f>409872333.33/1000000</f>
        <v>409.87233333</v>
      </c>
      <c r="N407" t="s">
        <v>545</v>
      </c>
      <c r="O407" s="13">
        <f t="shared" si="1"/>
        <v>4.2</v>
      </c>
      <c r="P407" s="118">
        <v>97.59</v>
      </c>
    </row>
    <row r="408" spans="1:16" x14ac:dyDescent="0.25">
      <c r="A408" s="164">
        <v>44442</v>
      </c>
      <c r="B408" s="158" t="s">
        <v>319</v>
      </c>
      <c r="C408" s="158">
        <v>1</v>
      </c>
      <c r="D408" s="158"/>
      <c r="E408" s="158" t="s">
        <v>122</v>
      </c>
      <c r="F408" s="108"/>
      <c r="G408" s="126">
        <v>0.42</v>
      </c>
      <c r="J408" s="195">
        <v>44469</v>
      </c>
      <c r="K408" t="s">
        <v>509</v>
      </c>
      <c r="L408" t="s">
        <v>529</v>
      </c>
      <c r="M408" s="27">
        <v>4.8</v>
      </c>
      <c r="N408" t="s">
        <v>546</v>
      </c>
      <c r="O408">
        <f>4800000/1000000</f>
        <v>4.8</v>
      </c>
      <c r="P408" s="118">
        <v>4.8</v>
      </c>
    </row>
    <row r="409" spans="1:16" x14ac:dyDescent="0.25">
      <c r="A409" s="164">
        <v>44442</v>
      </c>
      <c r="B409" s="158" t="s">
        <v>191</v>
      </c>
      <c r="C409" s="158">
        <v>1</v>
      </c>
      <c r="D409" s="158"/>
      <c r="E409" s="158" t="s">
        <v>122</v>
      </c>
      <c r="F409" s="108"/>
      <c r="G409" s="126">
        <v>1</v>
      </c>
      <c r="J409" s="195">
        <v>44454</v>
      </c>
      <c r="K409" t="s">
        <v>509</v>
      </c>
      <c r="L409" t="s">
        <v>528</v>
      </c>
      <c r="M409" s="118">
        <v>300</v>
      </c>
      <c r="N409" t="s">
        <v>547</v>
      </c>
      <c r="O409">
        <v>4.08</v>
      </c>
      <c r="P409" s="118">
        <v>300</v>
      </c>
    </row>
    <row r="410" spans="1:16" x14ac:dyDescent="0.25">
      <c r="A410" s="164">
        <v>44442</v>
      </c>
      <c r="B410" s="158" t="s">
        <v>219</v>
      </c>
      <c r="C410" s="158">
        <v>2</v>
      </c>
      <c r="D410" s="158"/>
      <c r="E410" s="158" t="s">
        <v>130</v>
      </c>
      <c r="F410" s="108"/>
      <c r="G410" s="126">
        <v>1</v>
      </c>
      <c r="J410" s="195">
        <v>44469</v>
      </c>
      <c r="K410" t="s">
        <v>509</v>
      </c>
      <c r="L410" t="s">
        <v>528</v>
      </c>
      <c r="M410" s="118">
        <v>275</v>
      </c>
      <c r="N410" t="s">
        <v>526</v>
      </c>
      <c r="O410">
        <v>4.2</v>
      </c>
      <c r="P410" s="118">
        <v>275</v>
      </c>
    </row>
    <row r="411" spans="1:16" x14ac:dyDescent="0.25">
      <c r="A411" s="164">
        <v>44442</v>
      </c>
      <c r="B411" s="158" t="s">
        <v>191</v>
      </c>
      <c r="C411" s="158">
        <v>1</v>
      </c>
      <c r="D411" s="158"/>
      <c r="E411" s="158" t="s">
        <v>130</v>
      </c>
      <c r="F411" s="114"/>
      <c r="G411" s="127">
        <v>1.4</v>
      </c>
    </row>
    <row r="412" spans="1:16" x14ac:dyDescent="0.25">
      <c r="A412" s="161">
        <v>44443</v>
      </c>
      <c r="B412" s="162" t="s">
        <v>133</v>
      </c>
      <c r="C412" s="162">
        <v>1</v>
      </c>
      <c r="D412" s="162"/>
      <c r="E412" s="165" t="s">
        <v>129</v>
      </c>
      <c r="F412" s="92"/>
      <c r="G412" s="125">
        <v>2.95</v>
      </c>
    </row>
    <row r="413" spans="1:16" x14ac:dyDescent="0.25">
      <c r="A413" s="164">
        <v>44443</v>
      </c>
      <c r="B413" s="158" t="s">
        <v>319</v>
      </c>
      <c r="C413" s="158">
        <v>1</v>
      </c>
      <c r="D413" s="158"/>
      <c r="E413" s="166" t="s">
        <v>122</v>
      </c>
      <c r="F413" s="108"/>
      <c r="G413" s="126">
        <v>0.42</v>
      </c>
    </row>
    <row r="414" spans="1:16" x14ac:dyDescent="0.25">
      <c r="A414" s="164">
        <v>44443</v>
      </c>
      <c r="B414" s="158" t="s">
        <v>191</v>
      </c>
      <c r="C414" s="158">
        <v>1</v>
      </c>
      <c r="D414" s="158"/>
      <c r="E414" s="166" t="s">
        <v>122</v>
      </c>
      <c r="F414" s="108"/>
      <c r="G414" s="396">
        <v>1</v>
      </c>
    </row>
    <row r="415" spans="1:16" x14ac:dyDescent="0.25">
      <c r="A415" s="164">
        <v>44443</v>
      </c>
      <c r="B415" s="158" t="s">
        <v>191</v>
      </c>
      <c r="C415" s="158">
        <v>1</v>
      </c>
      <c r="D415" s="158"/>
      <c r="E415" s="166" t="s">
        <v>306</v>
      </c>
      <c r="F415" s="108"/>
      <c r="G415" s="396">
        <v>1</v>
      </c>
    </row>
    <row r="416" spans="1:16" x14ac:dyDescent="0.25">
      <c r="A416" s="164">
        <v>44443</v>
      </c>
      <c r="B416" s="158" t="s">
        <v>131</v>
      </c>
      <c r="C416" s="158">
        <v>2</v>
      </c>
      <c r="D416" s="158"/>
      <c r="E416" s="166" t="s">
        <v>130</v>
      </c>
      <c r="F416" s="108"/>
      <c r="G416" s="396">
        <v>3</v>
      </c>
    </row>
    <row r="417" spans="1:8" x14ac:dyDescent="0.25">
      <c r="A417" s="163">
        <v>44443</v>
      </c>
      <c r="B417" s="159" t="s">
        <v>412</v>
      </c>
      <c r="C417" s="159">
        <v>7</v>
      </c>
      <c r="D417" s="159"/>
      <c r="E417" s="167" t="s">
        <v>130</v>
      </c>
      <c r="F417" s="114"/>
      <c r="G417" s="127"/>
    </row>
    <row r="418" spans="1:8" x14ac:dyDescent="0.25">
      <c r="A418" s="161">
        <v>44444</v>
      </c>
      <c r="B418" s="162" t="s">
        <v>319</v>
      </c>
      <c r="C418" s="162">
        <v>1</v>
      </c>
      <c r="D418" s="162"/>
      <c r="E418" s="162" t="s">
        <v>122</v>
      </c>
      <c r="F418" s="92"/>
      <c r="G418" s="125">
        <v>0.42</v>
      </c>
    </row>
    <row r="419" spans="1:8" x14ac:dyDescent="0.25">
      <c r="A419" s="163">
        <v>44444</v>
      </c>
      <c r="B419" s="159" t="s">
        <v>191</v>
      </c>
      <c r="C419" s="159">
        <v>1</v>
      </c>
      <c r="D419" s="159"/>
      <c r="E419" s="159" t="s">
        <v>122</v>
      </c>
      <c r="F419" s="114"/>
      <c r="G419" s="127">
        <v>1</v>
      </c>
      <c r="H419" s="118"/>
    </row>
    <row r="420" spans="1:8" x14ac:dyDescent="0.25">
      <c r="A420" s="161">
        <v>44445</v>
      </c>
      <c r="B420" s="162" t="s">
        <v>186</v>
      </c>
      <c r="C420" s="162">
        <v>3</v>
      </c>
      <c r="D420" s="162"/>
      <c r="E420" s="162" t="s">
        <v>129</v>
      </c>
      <c r="F420" s="92"/>
      <c r="G420" s="125">
        <v>2.1</v>
      </c>
    </row>
    <row r="421" spans="1:8" x14ac:dyDescent="0.25">
      <c r="A421" s="164">
        <v>44445</v>
      </c>
      <c r="B421" s="158" t="s">
        <v>302</v>
      </c>
      <c r="C421" s="158">
        <v>2</v>
      </c>
      <c r="D421" s="158"/>
      <c r="E421" s="158" t="s">
        <v>129</v>
      </c>
      <c r="F421" s="108"/>
      <c r="G421" s="126">
        <v>2.9</v>
      </c>
    </row>
    <row r="422" spans="1:8" x14ac:dyDescent="0.25">
      <c r="A422" s="164">
        <v>44445</v>
      </c>
      <c r="B422" s="158" t="s">
        <v>133</v>
      </c>
      <c r="C422" s="158">
        <v>2</v>
      </c>
      <c r="D422" s="158"/>
      <c r="E422" s="158" t="s">
        <v>129</v>
      </c>
      <c r="F422" s="108"/>
      <c r="G422" s="126">
        <v>2.95</v>
      </c>
    </row>
    <row r="423" spans="1:8" x14ac:dyDescent="0.25">
      <c r="A423" s="164">
        <v>44445</v>
      </c>
      <c r="B423" s="158" t="s">
        <v>319</v>
      </c>
      <c r="C423" s="158">
        <v>1</v>
      </c>
      <c r="D423" s="158"/>
      <c r="E423" s="158" t="s">
        <v>122</v>
      </c>
      <c r="F423" s="108"/>
      <c r="G423" s="126">
        <v>0.42</v>
      </c>
    </row>
    <row r="424" spans="1:8" x14ac:dyDescent="0.25">
      <c r="A424" s="164">
        <v>44445</v>
      </c>
      <c r="B424" s="158" t="s">
        <v>191</v>
      </c>
      <c r="C424" s="158">
        <v>1</v>
      </c>
      <c r="D424" s="158"/>
      <c r="E424" s="158" t="s">
        <v>122</v>
      </c>
      <c r="F424" s="108"/>
      <c r="G424" s="126">
        <v>1</v>
      </c>
    </row>
    <row r="425" spans="1:8" x14ac:dyDescent="0.25">
      <c r="A425" s="164">
        <v>44445</v>
      </c>
      <c r="B425" s="158" t="s">
        <v>221</v>
      </c>
      <c r="C425" s="158">
        <v>1</v>
      </c>
      <c r="D425" s="158"/>
      <c r="E425" s="158" t="s">
        <v>306</v>
      </c>
      <c r="F425" s="108"/>
      <c r="G425" s="126">
        <v>0.6</v>
      </c>
    </row>
    <row r="426" spans="1:8" x14ac:dyDescent="0.25">
      <c r="A426" s="164">
        <v>44445</v>
      </c>
      <c r="B426" s="158" t="s">
        <v>124</v>
      </c>
      <c r="C426" s="158">
        <v>3</v>
      </c>
      <c r="D426" s="158"/>
      <c r="E426" s="158" t="s">
        <v>306</v>
      </c>
      <c r="F426" s="108"/>
      <c r="G426" s="126">
        <v>3</v>
      </c>
    </row>
    <row r="427" spans="1:8" x14ac:dyDescent="0.25">
      <c r="A427" s="164">
        <v>44445</v>
      </c>
      <c r="B427" s="158" t="s">
        <v>125</v>
      </c>
      <c r="C427" s="158">
        <v>1</v>
      </c>
      <c r="D427" s="158"/>
      <c r="E427" s="158" t="s">
        <v>306</v>
      </c>
      <c r="F427" s="108"/>
      <c r="G427" s="126">
        <v>1</v>
      </c>
    </row>
    <row r="428" spans="1:8" x14ac:dyDescent="0.25">
      <c r="A428" s="164">
        <v>44445</v>
      </c>
      <c r="B428" s="158" t="s">
        <v>191</v>
      </c>
      <c r="C428" s="158">
        <v>1</v>
      </c>
      <c r="D428" s="158"/>
      <c r="E428" s="158" t="s">
        <v>306</v>
      </c>
      <c r="F428" s="108"/>
      <c r="G428" s="126">
        <v>1</v>
      </c>
    </row>
    <row r="429" spans="1:8" x14ac:dyDescent="0.25">
      <c r="A429" s="163">
        <v>44445</v>
      </c>
      <c r="B429" s="159" t="s">
        <v>191</v>
      </c>
      <c r="C429" s="159">
        <v>1</v>
      </c>
      <c r="D429" s="159"/>
      <c r="E429" s="159" t="s">
        <v>130</v>
      </c>
      <c r="F429" s="114"/>
      <c r="G429" s="127">
        <v>1</v>
      </c>
    </row>
    <row r="430" spans="1:8" x14ac:dyDescent="0.25">
      <c r="A430" s="170">
        <v>44446</v>
      </c>
      <c r="B430" s="15" t="s">
        <v>319</v>
      </c>
      <c r="C430" s="15">
        <v>1</v>
      </c>
      <c r="E430" s="15" t="s">
        <v>306</v>
      </c>
      <c r="F430" s="93"/>
      <c r="G430" s="93">
        <v>0.42</v>
      </c>
    </row>
    <row r="431" spans="1:8" x14ac:dyDescent="0.25">
      <c r="A431" s="161">
        <v>44447</v>
      </c>
      <c r="B431" s="162" t="s">
        <v>319</v>
      </c>
      <c r="C431" s="162">
        <v>1</v>
      </c>
      <c r="D431" s="162"/>
      <c r="E431" s="162" t="s">
        <v>122</v>
      </c>
      <c r="F431" s="92"/>
      <c r="G431" s="125">
        <v>1</v>
      </c>
    </row>
    <row r="432" spans="1:8" x14ac:dyDescent="0.25">
      <c r="A432" s="163">
        <v>44447</v>
      </c>
      <c r="B432" s="159" t="s">
        <v>191</v>
      </c>
      <c r="C432" s="159">
        <v>1</v>
      </c>
      <c r="D432" s="159"/>
      <c r="E432" s="159" t="s">
        <v>122</v>
      </c>
      <c r="F432" s="114"/>
      <c r="G432" s="127">
        <v>1</v>
      </c>
    </row>
    <row r="433" spans="1:7" x14ac:dyDescent="0.25">
      <c r="A433" s="161">
        <v>44448</v>
      </c>
      <c r="B433" s="162" t="s">
        <v>319</v>
      </c>
      <c r="C433" s="162">
        <v>1</v>
      </c>
      <c r="D433" s="162"/>
      <c r="E433" s="162" t="s">
        <v>122</v>
      </c>
      <c r="F433" s="92"/>
      <c r="G433" s="125">
        <v>0.42</v>
      </c>
    </row>
    <row r="434" spans="1:7" x14ac:dyDescent="0.25">
      <c r="A434" s="164">
        <v>44448</v>
      </c>
      <c r="B434" s="158" t="s">
        <v>212</v>
      </c>
      <c r="C434" s="158">
        <v>1</v>
      </c>
      <c r="D434" s="158"/>
      <c r="E434" s="158" t="s">
        <v>122</v>
      </c>
      <c r="F434" s="108"/>
      <c r="G434" s="126">
        <v>0.75</v>
      </c>
    </row>
    <row r="435" spans="1:7" x14ac:dyDescent="0.25">
      <c r="A435" s="164">
        <v>44448</v>
      </c>
      <c r="B435" s="158" t="s">
        <v>191</v>
      </c>
      <c r="C435" s="158">
        <v>1</v>
      </c>
      <c r="D435" s="158"/>
      <c r="E435" s="158" t="s">
        <v>122</v>
      </c>
      <c r="F435" s="108"/>
      <c r="G435" s="126">
        <v>1</v>
      </c>
    </row>
    <row r="436" spans="1:7" x14ac:dyDescent="0.25">
      <c r="A436" s="164">
        <v>44448</v>
      </c>
      <c r="B436" s="158" t="s">
        <v>186</v>
      </c>
      <c r="C436" s="158">
        <v>2</v>
      </c>
      <c r="D436" s="158"/>
      <c r="E436" s="158" t="s">
        <v>130</v>
      </c>
      <c r="F436" s="108"/>
      <c r="G436" s="126">
        <v>0.69</v>
      </c>
    </row>
    <row r="437" spans="1:7" x14ac:dyDescent="0.25">
      <c r="A437" s="164">
        <v>44448</v>
      </c>
      <c r="B437" s="158" t="s">
        <v>212</v>
      </c>
      <c r="C437" s="158">
        <v>1</v>
      </c>
      <c r="D437" s="158"/>
      <c r="E437" s="158" t="s">
        <v>130</v>
      </c>
      <c r="F437" s="108"/>
      <c r="G437" s="126">
        <v>0.75</v>
      </c>
    </row>
    <row r="438" spans="1:7" x14ac:dyDescent="0.25">
      <c r="A438" s="163">
        <v>44448</v>
      </c>
      <c r="B438" s="159" t="s">
        <v>191</v>
      </c>
      <c r="C438" s="159">
        <v>2</v>
      </c>
      <c r="D438" s="159"/>
      <c r="E438" s="159" t="s">
        <v>130</v>
      </c>
      <c r="F438" s="114"/>
      <c r="G438" s="127">
        <v>2</v>
      </c>
    </row>
    <row r="439" spans="1:7" x14ac:dyDescent="0.25">
      <c r="A439" s="161">
        <v>44449</v>
      </c>
      <c r="B439" s="162" t="s">
        <v>219</v>
      </c>
      <c r="C439" s="162">
        <v>2</v>
      </c>
      <c r="D439" s="162"/>
      <c r="E439" s="162" t="s">
        <v>122</v>
      </c>
      <c r="F439" s="92"/>
      <c r="G439" s="125">
        <f>0.7*2</f>
        <v>1.4</v>
      </c>
    </row>
    <row r="440" spans="1:7" x14ac:dyDescent="0.25">
      <c r="A440" s="164">
        <v>44449</v>
      </c>
      <c r="B440" s="158" t="s">
        <v>319</v>
      </c>
      <c r="C440" s="158">
        <v>1</v>
      </c>
      <c r="D440" s="158"/>
      <c r="E440" s="158" t="s">
        <v>122</v>
      </c>
      <c r="F440" s="108"/>
      <c r="G440" s="126">
        <v>0.42</v>
      </c>
    </row>
    <row r="441" spans="1:7" x14ac:dyDescent="0.25">
      <c r="A441" s="164">
        <v>44449</v>
      </c>
      <c r="B441" s="158" t="s">
        <v>212</v>
      </c>
      <c r="C441" s="158">
        <v>4</v>
      </c>
      <c r="D441" s="158"/>
      <c r="E441" s="158" t="s">
        <v>122</v>
      </c>
      <c r="F441" s="108"/>
      <c r="G441" s="126">
        <f>0.75*4</f>
        <v>3</v>
      </c>
    </row>
    <row r="442" spans="1:7" x14ac:dyDescent="0.25">
      <c r="A442" s="164">
        <v>44449</v>
      </c>
      <c r="B442" s="158" t="s">
        <v>124</v>
      </c>
      <c r="C442" s="158">
        <v>1</v>
      </c>
      <c r="D442" s="158"/>
      <c r="E442" s="158" t="s">
        <v>122</v>
      </c>
      <c r="F442" s="108"/>
      <c r="G442" s="126">
        <v>1</v>
      </c>
    </row>
    <row r="443" spans="1:7" x14ac:dyDescent="0.25">
      <c r="A443" s="164">
        <v>44449</v>
      </c>
      <c r="B443" s="158" t="s">
        <v>307</v>
      </c>
      <c r="C443" s="158">
        <v>1</v>
      </c>
      <c r="D443" s="158"/>
      <c r="E443" s="158" t="s">
        <v>306</v>
      </c>
      <c r="F443" s="108"/>
      <c r="G443" s="126">
        <v>7</v>
      </c>
    </row>
    <row r="444" spans="1:7" x14ac:dyDescent="0.25">
      <c r="A444" s="164">
        <v>44449</v>
      </c>
      <c r="B444" s="158" t="s">
        <v>132</v>
      </c>
      <c r="C444" s="158">
        <v>1</v>
      </c>
      <c r="D444" s="158"/>
      <c r="E444" s="158" t="s">
        <v>306</v>
      </c>
      <c r="F444" s="108"/>
      <c r="G444" s="126">
        <v>1.5</v>
      </c>
    </row>
    <row r="445" spans="1:7" x14ac:dyDescent="0.25">
      <c r="A445" s="164">
        <v>44449</v>
      </c>
      <c r="B445" s="158" t="s">
        <v>124</v>
      </c>
      <c r="C445" s="158">
        <v>2</v>
      </c>
      <c r="D445" s="158"/>
      <c r="E445" s="158" t="s">
        <v>306</v>
      </c>
      <c r="F445" s="108"/>
      <c r="G445" s="126">
        <v>2</v>
      </c>
    </row>
    <row r="446" spans="1:7" x14ac:dyDescent="0.25">
      <c r="A446" s="163">
        <v>44449</v>
      </c>
      <c r="B446" s="159" t="s">
        <v>131</v>
      </c>
      <c r="C446" s="159">
        <v>2</v>
      </c>
      <c r="D446" s="159"/>
      <c r="E446" s="159" t="s">
        <v>130</v>
      </c>
      <c r="F446" s="114"/>
      <c r="G446" s="127">
        <v>3</v>
      </c>
    </row>
    <row r="447" spans="1:7" x14ac:dyDescent="0.25">
      <c r="A447" s="161">
        <v>44450</v>
      </c>
      <c r="B447" s="162" t="s">
        <v>133</v>
      </c>
      <c r="C447" s="162">
        <v>1</v>
      </c>
      <c r="D447" s="162"/>
      <c r="E447" s="162" t="s">
        <v>129</v>
      </c>
      <c r="F447" s="92"/>
      <c r="G447" s="125">
        <v>2.95</v>
      </c>
    </row>
    <row r="448" spans="1:7" x14ac:dyDescent="0.25">
      <c r="A448" s="164">
        <v>44450</v>
      </c>
      <c r="B448" s="158" t="s">
        <v>132</v>
      </c>
      <c r="C448" s="158">
        <v>1</v>
      </c>
      <c r="D448" s="158"/>
      <c r="E448" s="158" t="s">
        <v>122</v>
      </c>
      <c r="F448" s="108"/>
      <c r="G448" s="126">
        <v>1.5</v>
      </c>
    </row>
    <row r="449" spans="1:7" x14ac:dyDescent="0.25">
      <c r="A449" s="164">
        <v>44450</v>
      </c>
      <c r="B449" s="158" t="s">
        <v>191</v>
      </c>
      <c r="C449" s="158">
        <v>1</v>
      </c>
      <c r="D449" s="158"/>
      <c r="E449" s="158" t="s">
        <v>122</v>
      </c>
      <c r="F449" s="108"/>
      <c r="G449" s="126">
        <v>1</v>
      </c>
    </row>
    <row r="450" spans="1:7" x14ac:dyDescent="0.25">
      <c r="A450" s="164">
        <v>44450</v>
      </c>
      <c r="B450" s="158" t="s">
        <v>125</v>
      </c>
      <c r="C450" s="158">
        <v>1</v>
      </c>
      <c r="D450" s="158"/>
      <c r="E450" s="158" t="s">
        <v>306</v>
      </c>
      <c r="F450" s="108"/>
      <c r="G450" s="126">
        <v>1</v>
      </c>
    </row>
    <row r="451" spans="1:7" x14ac:dyDescent="0.25">
      <c r="A451" s="164">
        <v>44450</v>
      </c>
      <c r="B451" s="158" t="s">
        <v>186</v>
      </c>
      <c r="C451" s="158">
        <v>3</v>
      </c>
      <c r="D451" s="158"/>
      <c r="E451" s="158" t="s">
        <v>130</v>
      </c>
      <c r="F451" s="108"/>
      <c r="G451" s="126">
        <f>0.69*3</f>
        <v>2.0699999999999998</v>
      </c>
    </row>
    <row r="452" spans="1:7" x14ac:dyDescent="0.25">
      <c r="A452" s="163">
        <v>44450</v>
      </c>
      <c r="B452" s="159" t="s">
        <v>212</v>
      </c>
      <c r="C452" s="159">
        <v>1</v>
      </c>
      <c r="D452" s="159"/>
      <c r="E452" s="159" t="s">
        <v>130</v>
      </c>
      <c r="F452" s="114"/>
      <c r="G452" s="127">
        <v>0.75</v>
      </c>
    </row>
    <row r="453" spans="1:7" x14ac:dyDescent="0.25">
      <c r="A453" s="161">
        <v>44451</v>
      </c>
      <c r="B453" s="162" t="s">
        <v>413</v>
      </c>
      <c r="C453" s="162">
        <v>1</v>
      </c>
      <c r="D453" s="162"/>
      <c r="E453" s="162" t="s">
        <v>122</v>
      </c>
      <c r="F453" s="92"/>
      <c r="G453" s="125">
        <v>3</v>
      </c>
    </row>
    <row r="454" spans="1:7" x14ac:dyDescent="0.25">
      <c r="A454" s="164">
        <v>44451</v>
      </c>
      <c r="B454" s="158" t="s">
        <v>186</v>
      </c>
      <c r="C454" s="158">
        <v>3</v>
      </c>
      <c r="D454" s="158"/>
      <c r="E454" s="158" t="s">
        <v>130</v>
      </c>
      <c r="F454" s="108"/>
      <c r="G454" s="126">
        <f>0.69*3</f>
        <v>2.0699999999999998</v>
      </c>
    </row>
    <row r="455" spans="1:7" x14ac:dyDescent="0.25">
      <c r="A455" s="164">
        <v>44451</v>
      </c>
      <c r="B455" s="158" t="s">
        <v>124</v>
      </c>
      <c r="C455" s="158">
        <v>2</v>
      </c>
      <c r="D455" s="158"/>
      <c r="E455" s="158" t="s">
        <v>130</v>
      </c>
      <c r="F455" s="108"/>
      <c r="G455" s="126">
        <v>2</v>
      </c>
    </row>
    <row r="456" spans="1:7" x14ac:dyDescent="0.25">
      <c r="A456" s="163">
        <v>44451</v>
      </c>
      <c r="B456" s="159" t="s">
        <v>133</v>
      </c>
      <c r="C456" s="159">
        <v>1</v>
      </c>
      <c r="D456" s="159"/>
      <c r="E456" s="159" t="s">
        <v>130</v>
      </c>
      <c r="F456" s="114"/>
      <c r="G456" s="127">
        <v>2.95</v>
      </c>
    </row>
    <row r="457" spans="1:7" x14ac:dyDescent="0.25">
      <c r="A457" s="161">
        <v>44452</v>
      </c>
      <c r="B457" s="162" t="s">
        <v>125</v>
      </c>
      <c r="C457" s="162">
        <v>1</v>
      </c>
      <c r="D457" s="162"/>
      <c r="E457" s="162" t="s">
        <v>129</v>
      </c>
      <c r="F457" s="92"/>
      <c r="G457" s="125">
        <v>1</v>
      </c>
    </row>
    <row r="458" spans="1:7" x14ac:dyDescent="0.25">
      <c r="A458" s="164">
        <v>44452</v>
      </c>
      <c r="B458" s="158" t="s">
        <v>319</v>
      </c>
      <c r="C458" s="158">
        <v>1</v>
      </c>
      <c r="D458" s="158"/>
      <c r="E458" s="158" t="s">
        <v>122</v>
      </c>
      <c r="F458" s="108"/>
      <c r="G458" s="126">
        <v>0.42</v>
      </c>
    </row>
    <row r="459" spans="1:7" x14ac:dyDescent="0.25">
      <c r="A459" s="163">
        <v>44452</v>
      </c>
      <c r="B459" s="159" t="s">
        <v>191</v>
      </c>
      <c r="C459" s="159">
        <v>1</v>
      </c>
      <c r="D459" s="159"/>
      <c r="E459" s="159" t="s">
        <v>122</v>
      </c>
      <c r="F459" s="114"/>
      <c r="G459" s="127">
        <v>1</v>
      </c>
    </row>
    <row r="460" spans="1:7" x14ac:dyDescent="0.25">
      <c r="A460" s="161">
        <v>44453</v>
      </c>
      <c r="B460" s="162" t="s">
        <v>137</v>
      </c>
      <c r="C460" s="162">
        <v>2</v>
      </c>
      <c r="D460" s="162"/>
      <c r="E460" s="162" t="s">
        <v>129</v>
      </c>
      <c r="F460" s="92"/>
      <c r="G460" s="125">
        <v>10.199999999999999</v>
      </c>
    </row>
    <row r="461" spans="1:7" x14ac:dyDescent="0.25">
      <c r="A461" s="164">
        <v>44453</v>
      </c>
      <c r="B461" s="158" t="s">
        <v>219</v>
      </c>
      <c r="C461" s="158">
        <v>3</v>
      </c>
      <c r="D461" s="158"/>
      <c r="E461" s="158" t="s">
        <v>130</v>
      </c>
      <c r="F461" s="108"/>
      <c r="G461" s="126">
        <f>0.7*3</f>
        <v>2.0999999999999996</v>
      </c>
    </row>
    <row r="462" spans="1:7" x14ac:dyDescent="0.25">
      <c r="A462" s="163">
        <v>44453</v>
      </c>
      <c r="B462" s="159" t="s">
        <v>191</v>
      </c>
      <c r="C462" s="159">
        <v>2</v>
      </c>
      <c r="D462" s="159"/>
      <c r="E462" s="159" t="s">
        <v>130</v>
      </c>
      <c r="F462" s="114"/>
      <c r="G462" s="127">
        <v>2</v>
      </c>
    </row>
    <row r="463" spans="1:7" x14ac:dyDescent="0.25">
      <c r="A463" s="161">
        <v>44454</v>
      </c>
      <c r="B463" s="162" t="s">
        <v>137</v>
      </c>
      <c r="C463" s="162">
        <v>1</v>
      </c>
      <c r="D463" s="162"/>
      <c r="E463" s="162" t="s">
        <v>129</v>
      </c>
      <c r="F463" s="92"/>
      <c r="G463" s="125">
        <v>5.0999999999999996</v>
      </c>
    </row>
    <row r="464" spans="1:7" x14ac:dyDescent="0.25">
      <c r="A464" s="164">
        <v>44454</v>
      </c>
      <c r="B464" s="158" t="s">
        <v>319</v>
      </c>
      <c r="C464" s="158">
        <v>1</v>
      </c>
      <c r="D464" s="158"/>
      <c r="E464" s="158" t="s">
        <v>122</v>
      </c>
      <c r="F464" s="108"/>
      <c r="G464" s="126">
        <v>0.42</v>
      </c>
    </row>
    <row r="465" spans="1:7" x14ac:dyDescent="0.25">
      <c r="A465" s="164">
        <v>44454</v>
      </c>
      <c r="B465" s="158" t="s">
        <v>191</v>
      </c>
      <c r="C465" s="158">
        <v>1</v>
      </c>
      <c r="D465" s="158"/>
      <c r="E465" s="158" t="s">
        <v>122</v>
      </c>
      <c r="F465" s="108"/>
      <c r="G465" s="126">
        <v>1</v>
      </c>
    </row>
    <row r="466" spans="1:7" x14ac:dyDescent="0.25">
      <c r="A466" s="164">
        <v>44454</v>
      </c>
      <c r="B466" s="158" t="s">
        <v>186</v>
      </c>
      <c r="C466" s="158">
        <v>7</v>
      </c>
      <c r="D466" s="158"/>
      <c r="E466" s="158" t="s">
        <v>130</v>
      </c>
      <c r="F466" s="108"/>
      <c r="G466" s="126">
        <f>0.69*7</f>
        <v>4.83</v>
      </c>
    </row>
    <row r="467" spans="1:7" x14ac:dyDescent="0.25">
      <c r="A467" s="163">
        <v>44454</v>
      </c>
      <c r="B467" s="159" t="s">
        <v>124</v>
      </c>
      <c r="C467" s="159">
        <v>3</v>
      </c>
      <c r="D467" s="159"/>
      <c r="E467" s="159" t="s">
        <v>130</v>
      </c>
      <c r="F467" s="114"/>
      <c r="G467" s="127">
        <v>3</v>
      </c>
    </row>
    <row r="468" spans="1:7" x14ac:dyDescent="0.25">
      <c r="A468" s="161">
        <v>44455</v>
      </c>
      <c r="B468" s="162" t="s">
        <v>319</v>
      </c>
      <c r="C468" s="162">
        <v>1</v>
      </c>
      <c r="D468" s="162"/>
      <c r="E468" s="162" t="s">
        <v>122</v>
      </c>
      <c r="F468" s="92"/>
      <c r="G468" s="125">
        <v>0.42</v>
      </c>
    </row>
    <row r="469" spans="1:7" x14ac:dyDescent="0.25">
      <c r="A469" s="164">
        <v>44455</v>
      </c>
      <c r="B469" s="158" t="s">
        <v>191</v>
      </c>
      <c r="C469" s="158">
        <v>1</v>
      </c>
      <c r="D469" s="158"/>
      <c r="E469" s="158" t="s">
        <v>122</v>
      </c>
      <c r="F469" s="108"/>
      <c r="G469" s="126">
        <v>1</v>
      </c>
    </row>
    <row r="470" spans="1:7" x14ac:dyDescent="0.25">
      <c r="A470" s="164">
        <v>44455</v>
      </c>
      <c r="B470" s="158" t="s">
        <v>319</v>
      </c>
      <c r="C470" s="158">
        <v>1</v>
      </c>
      <c r="D470" s="158"/>
      <c r="E470" s="158" t="s">
        <v>306</v>
      </c>
      <c r="F470" s="108"/>
      <c r="G470" s="126">
        <v>0.42</v>
      </c>
    </row>
    <row r="471" spans="1:7" x14ac:dyDescent="0.25">
      <c r="A471" s="164">
        <v>44455</v>
      </c>
      <c r="B471" s="158" t="s">
        <v>125</v>
      </c>
      <c r="C471" s="158">
        <v>1</v>
      </c>
      <c r="D471" s="158"/>
      <c r="E471" s="158" t="s">
        <v>306</v>
      </c>
      <c r="F471" s="108"/>
      <c r="G471" s="126">
        <v>1</v>
      </c>
    </row>
    <row r="472" spans="1:7" x14ac:dyDescent="0.25">
      <c r="A472" s="164">
        <v>44455</v>
      </c>
      <c r="B472" s="158" t="s">
        <v>186</v>
      </c>
      <c r="C472" s="158">
        <v>3</v>
      </c>
      <c r="D472" s="158"/>
      <c r="E472" s="158" t="s">
        <v>130</v>
      </c>
      <c r="F472" s="108"/>
      <c r="G472" s="126">
        <f>0.69*3</f>
        <v>2.0699999999999998</v>
      </c>
    </row>
    <row r="473" spans="1:7" x14ac:dyDescent="0.25">
      <c r="A473" s="163">
        <v>44455</v>
      </c>
      <c r="B473" s="159" t="s">
        <v>125</v>
      </c>
      <c r="C473" s="159">
        <v>1</v>
      </c>
      <c r="D473" s="159"/>
      <c r="E473" s="159" t="s">
        <v>130</v>
      </c>
      <c r="F473" s="114"/>
      <c r="G473" s="127">
        <v>1</v>
      </c>
    </row>
    <row r="474" spans="1:7" x14ac:dyDescent="0.25">
      <c r="A474" s="161">
        <v>44456</v>
      </c>
      <c r="B474" s="162" t="s">
        <v>319</v>
      </c>
      <c r="C474" s="162">
        <v>1</v>
      </c>
      <c r="D474" s="162"/>
      <c r="E474" s="162" t="s">
        <v>122</v>
      </c>
      <c r="F474" s="92"/>
      <c r="G474" s="125">
        <v>0.42</v>
      </c>
    </row>
    <row r="475" spans="1:7" x14ac:dyDescent="0.25">
      <c r="A475" s="164">
        <v>44456</v>
      </c>
      <c r="B475" s="158" t="s">
        <v>124</v>
      </c>
      <c r="C475" s="158">
        <v>1</v>
      </c>
      <c r="D475" s="158"/>
      <c r="E475" s="158" t="s">
        <v>122</v>
      </c>
      <c r="F475" s="108"/>
      <c r="G475" s="126">
        <v>1</v>
      </c>
    </row>
    <row r="476" spans="1:7" x14ac:dyDescent="0.25">
      <c r="A476" s="164">
        <v>44456</v>
      </c>
      <c r="B476" s="158" t="s">
        <v>125</v>
      </c>
      <c r="C476" s="158">
        <v>1</v>
      </c>
      <c r="D476" s="158"/>
      <c r="E476" s="158" t="s">
        <v>306</v>
      </c>
      <c r="F476" s="108"/>
      <c r="G476" s="126">
        <v>1</v>
      </c>
    </row>
    <row r="477" spans="1:7" x14ac:dyDescent="0.25">
      <c r="A477" s="163">
        <v>44456</v>
      </c>
      <c r="B477" s="159" t="s">
        <v>186</v>
      </c>
      <c r="C477" s="159">
        <v>2</v>
      </c>
      <c r="D477" s="159"/>
      <c r="E477" s="159" t="s">
        <v>130</v>
      </c>
      <c r="F477" s="114"/>
      <c r="G477" s="127">
        <f>0.69*2</f>
        <v>1.38</v>
      </c>
    </row>
    <row r="478" spans="1:7" x14ac:dyDescent="0.25">
      <c r="A478" s="161">
        <v>44457</v>
      </c>
      <c r="B478" s="162" t="s">
        <v>186</v>
      </c>
      <c r="C478" s="162">
        <v>4</v>
      </c>
      <c r="D478" s="162"/>
      <c r="E478" s="162" t="s">
        <v>129</v>
      </c>
      <c r="F478" s="92"/>
      <c r="G478" s="125">
        <f>0.69*4</f>
        <v>2.76</v>
      </c>
    </row>
    <row r="479" spans="1:7" x14ac:dyDescent="0.25">
      <c r="A479" s="164">
        <v>44457</v>
      </c>
      <c r="B479" s="158" t="s">
        <v>134</v>
      </c>
      <c r="C479" s="158">
        <v>3</v>
      </c>
      <c r="D479" s="158"/>
      <c r="E479" s="158" t="s">
        <v>129</v>
      </c>
      <c r="F479" s="108"/>
      <c r="G479" s="126">
        <f>0.56*3</f>
        <v>1.6800000000000002</v>
      </c>
    </row>
    <row r="480" spans="1:7" x14ac:dyDescent="0.25">
      <c r="A480" s="163">
        <v>44457</v>
      </c>
      <c r="B480" s="159" t="s">
        <v>302</v>
      </c>
      <c r="C480" s="159">
        <v>1</v>
      </c>
      <c r="D480" s="159"/>
      <c r="E480" s="159" t="s">
        <v>129</v>
      </c>
      <c r="F480" s="114"/>
      <c r="G480" s="127">
        <v>2.9</v>
      </c>
    </row>
    <row r="481" spans="1:7" x14ac:dyDescent="0.25">
      <c r="A481" s="161">
        <v>44458</v>
      </c>
      <c r="B481" s="162" t="s">
        <v>125</v>
      </c>
      <c r="C481" s="162">
        <v>1</v>
      </c>
      <c r="D481" s="162"/>
      <c r="E481" s="162" t="s">
        <v>129</v>
      </c>
      <c r="F481" s="92"/>
      <c r="G481" s="125">
        <v>1</v>
      </c>
    </row>
    <row r="482" spans="1:7" x14ac:dyDescent="0.25">
      <c r="A482" s="164">
        <v>44458</v>
      </c>
      <c r="B482" s="158" t="s">
        <v>319</v>
      </c>
      <c r="C482" s="158">
        <v>1</v>
      </c>
      <c r="D482" s="158"/>
      <c r="E482" s="158" t="s">
        <v>122</v>
      </c>
      <c r="F482" s="108"/>
      <c r="G482" s="126">
        <v>0.42</v>
      </c>
    </row>
    <row r="483" spans="1:7" x14ac:dyDescent="0.25">
      <c r="A483" s="164">
        <v>44458</v>
      </c>
      <c r="B483" s="158" t="s">
        <v>319</v>
      </c>
      <c r="C483" s="158">
        <v>1</v>
      </c>
      <c r="D483" s="158"/>
      <c r="E483" s="158" t="s">
        <v>122</v>
      </c>
      <c r="F483" s="108"/>
      <c r="G483" s="126">
        <v>0.42</v>
      </c>
    </row>
    <row r="484" spans="1:7" x14ac:dyDescent="0.25">
      <c r="A484" s="164">
        <v>44458</v>
      </c>
      <c r="B484" s="158" t="s">
        <v>132</v>
      </c>
      <c r="C484" s="158">
        <v>1</v>
      </c>
      <c r="D484" s="158"/>
      <c r="E484" s="158" t="s">
        <v>122</v>
      </c>
      <c r="F484" s="108"/>
      <c r="G484" s="126">
        <v>1.5</v>
      </c>
    </row>
    <row r="485" spans="1:7" x14ac:dyDescent="0.25">
      <c r="A485" s="164">
        <v>44458</v>
      </c>
      <c r="B485" s="158" t="s">
        <v>124</v>
      </c>
      <c r="C485" s="158">
        <v>1</v>
      </c>
      <c r="D485" s="158"/>
      <c r="E485" s="158" t="s">
        <v>122</v>
      </c>
      <c r="F485" s="108"/>
      <c r="G485" s="126">
        <v>1</v>
      </c>
    </row>
    <row r="486" spans="1:7" x14ac:dyDescent="0.25">
      <c r="A486" s="163">
        <v>44458</v>
      </c>
      <c r="B486" s="159" t="s">
        <v>191</v>
      </c>
      <c r="C486" s="159">
        <v>3</v>
      </c>
      <c r="D486" s="159"/>
      <c r="E486" s="159" t="s">
        <v>122</v>
      </c>
      <c r="F486" s="114"/>
      <c r="G486" s="127">
        <v>3</v>
      </c>
    </row>
    <row r="487" spans="1:7" x14ac:dyDescent="0.25">
      <c r="A487" s="161">
        <v>44459</v>
      </c>
      <c r="B487" s="162" t="s">
        <v>125</v>
      </c>
      <c r="C487" s="162">
        <v>1</v>
      </c>
      <c r="D487" s="162"/>
      <c r="E487" s="162" t="s">
        <v>129</v>
      </c>
      <c r="F487" s="92"/>
      <c r="G487" s="125">
        <v>1</v>
      </c>
    </row>
    <row r="488" spans="1:7" x14ac:dyDescent="0.25">
      <c r="A488" s="164">
        <v>44459</v>
      </c>
      <c r="B488" s="158" t="s">
        <v>137</v>
      </c>
      <c r="C488" s="158">
        <v>2</v>
      </c>
      <c r="D488" s="158"/>
      <c r="E488" s="158" t="s">
        <v>129</v>
      </c>
      <c r="F488" s="108"/>
      <c r="G488" s="126">
        <v>10.199999999999999</v>
      </c>
    </row>
    <row r="489" spans="1:7" x14ac:dyDescent="0.25">
      <c r="A489" s="164">
        <v>44459</v>
      </c>
      <c r="B489" s="158" t="s">
        <v>319</v>
      </c>
      <c r="C489" s="158">
        <v>1</v>
      </c>
      <c r="D489" s="158"/>
      <c r="E489" s="158" t="s">
        <v>122</v>
      </c>
      <c r="F489" s="108"/>
      <c r="G489" s="126">
        <v>0.42</v>
      </c>
    </row>
    <row r="490" spans="1:7" x14ac:dyDescent="0.25">
      <c r="A490" s="163">
        <v>44459</v>
      </c>
      <c r="B490" s="159" t="s">
        <v>124</v>
      </c>
      <c r="C490" s="159">
        <v>1</v>
      </c>
      <c r="D490" s="159"/>
      <c r="E490" s="159" t="s">
        <v>122</v>
      </c>
      <c r="F490" s="114"/>
      <c r="G490" s="127">
        <v>1</v>
      </c>
    </row>
    <row r="491" spans="1:7" x14ac:dyDescent="0.25">
      <c r="A491" s="171">
        <v>44460</v>
      </c>
      <c r="B491" s="172" t="s">
        <v>124</v>
      </c>
      <c r="C491" s="172">
        <v>1</v>
      </c>
      <c r="D491" s="172"/>
      <c r="E491" s="172" t="s">
        <v>129</v>
      </c>
      <c r="F491" s="93"/>
      <c r="G491" s="128">
        <v>1</v>
      </c>
    </row>
    <row r="492" spans="1:7" x14ac:dyDescent="0.25">
      <c r="A492" s="161">
        <v>44461</v>
      </c>
      <c r="B492" s="162" t="s">
        <v>124</v>
      </c>
      <c r="C492" s="162">
        <v>2</v>
      </c>
      <c r="D492" s="162"/>
      <c r="E492" s="162" t="s">
        <v>129</v>
      </c>
      <c r="F492" s="92"/>
      <c r="G492" s="125">
        <v>2</v>
      </c>
    </row>
    <row r="493" spans="1:7" x14ac:dyDescent="0.25">
      <c r="A493" s="164">
        <v>44461</v>
      </c>
      <c r="B493" s="158" t="s">
        <v>319</v>
      </c>
      <c r="C493" s="158">
        <v>1</v>
      </c>
      <c r="D493" s="158"/>
      <c r="E493" s="158" t="s">
        <v>122</v>
      </c>
      <c r="F493" s="108"/>
      <c r="G493" s="126">
        <v>0.42</v>
      </c>
    </row>
    <row r="494" spans="1:7" x14ac:dyDescent="0.25">
      <c r="A494" s="164">
        <v>44461</v>
      </c>
      <c r="B494" s="158" t="s">
        <v>191</v>
      </c>
      <c r="C494" s="158">
        <v>1</v>
      </c>
      <c r="D494" s="158"/>
      <c r="E494" s="158" t="s">
        <v>122</v>
      </c>
      <c r="F494" s="108"/>
      <c r="G494" s="126">
        <v>1</v>
      </c>
    </row>
    <row r="495" spans="1:7" x14ac:dyDescent="0.25">
      <c r="A495" s="163">
        <v>44461</v>
      </c>
      <c r="B495" s="159" t="s">
        <v>191</v>
      </c>
      <c r="C495" s="159">
        <v>2</v>
      </c>
      <c r="D495" s="159"/>
      <c r="E495" s="159" t="s">
        <v>130</v>
      </c>
      <c r="F495" s="114"/>
      <c r="G495" s="127">
        <v>2</v>
      </c>
    </row>
    <row r="496" spans="1:7" x14ac:dyDescent="0.25">
      <c r="A496" s="161">
        <v>44462</v>
      </c>
      <c r="B496" s="162" t="s">
        <v>219</v>
      </c>
      <c r="C496" s="162">
        <v>4</v>
      </c>
      <c r="D496" s="162"/>
      <c r="E496" s="162" t="s">
        <v>122</v>
      </c>
      <c r="F496" s="92"/>
      <c r="G496" s="397">
        <f>0.7*4</f>
        <v>2.8</v>
      </c>
    </row>
    <row r="497" spans="1:7" x14ac:dyDescent="0.25">
      <c r="A497" s="163">
        <v>44462</v>
      </c>
      <c r="B497" s="159" t="s">
        <v>319</v>
      </c>
      <c r="C497" s="159">
        <v>1</v>
      </c>
      <c r="D497" s="159"/>
      <c r="E497" s="159" t="s">
        <v>122</v>
      </c>
      <c r="F497" s="114"/>
      <c r="G497" s="127">
        <v>0.42</v>
      </c>
    </row>
    <row r="498" spans="1:7" x14ac:dyDescent="0.25">
      <c r="A498" s="171">
        <v>44463</v>
      </c>
      <c r="B498" s="172" t="s">
        <v>125</v>
      </c>
      <c r="C498" s="172">
        <v>1</v>
      </c>
      <c r="D498" s="172"/>
      <c r="E498" s="172" t="s">
        <v>129</v>
      </c>
      <c r="F498" s="93"/>
      <c r="G498" s="128">
        <v>1</v>
      </c>
    </row>
    <row r="499" spans="1:7" x14ac:dyDescent="0.25">
      <c r="A499" s="161">
        <v>44464</v>
      </c>
      <c r="B499" s="162" t="s">
        <v>319</v>
      </c>
      <c r="C499" s="162">
        <v>1</v>
      </c>
      <c r="D499" s="162"/>
      <c r="E499" s="162" t="s">
        <v>129</v>
      </c>
      <c r="F499" s="92"/>
      <c r="G499" s="125">
        <v>0.42</v>
      </c>
    </row>
    <row r="500" spans="1:7" x14ac:dyDescent="0.25">
      <c r="A500" s="164">
        <v>44464</v>
      </c>
      <c r="B500" s="158" t="s">
        <v>125</v>
      </c>
      <c r="C500" s="158">
        <v>1</v>
      </c>
      <c r="D500" s="158"/>
      <c r="E500" s="158" t="s">
        <v>129</v>
      </c>
      <c r="F500" s="108"/>
      <c r="G500" s="126">
        <v>1</v>
      </c>
    </row>
    <row r="501" spans="1:7" x14ac:dyDescent="0.25">
      <c r="A501" s="164">
        <v>44464</v>
      </c>
      <c r="B501" s="158" t="s">
        <v>319</v>
      </c>
      <c r="C501" s="158">
        <v>1</v>
      </c>
      <c r="D501" s="158"/>
      <c r="E501" s="158" t="s">
        <v>122</v>
      </c>
      <c r="F501" s="108"/>
      <c r="G501" s="126">
        <v>0.42</v>
      </c>
    </row>
    <row r="502" spans="1:7" x14ac:dyDescent="0.25">
      <c r="A502" s="164">
        <v>44464</v>
      </c>
      <c r="B502" s="158" t="s">
        <v>191</v>
      </c>
      <c r="C502" s="158">
        <v>1</v>
      </c>
      <c r="D502" s="158"/>
      <c r="E502" s="158" t="s">
        <v>122</v>
      </c>
      <c r="F502" s="108"/>
      <c r="G502" s="126">
        <v>1</v>
      </c>
    </row>
    <row r="503" spans="1:7" x14ac:dyDescent="0.25">
      <c r="A503" s="164">
        <v>44464</v>
      </c>
      <c r="B503" s="158" t="s">
        <v>219</v>
      </c>
      <c r="C503" s="158">
        <v>2</v>
      </c>
      <c r="D503" s="158"/>
      <c r="E503" s="158" t="s">
        <v>306</v>
      </c>
      <c r="F503" s="108"/>
      <c r="G503" s="398">
        <f>0.7*2</f>
        <v>1.4</v>
      </c>
    </row>
    <row r="504" spans="1:7" x14ac:dyDescent="0.25">
      <c r="A504" s="164">
        <v>44464</v>
      </c>
      <c r="B504" s="158" t="s">
        <v>414</v>
      </c>
      <c r="C504" s="158">
        <v>1</v>
      </c>
      <c r="D504" s="158"/>
      <c r="E504" s="158" t="s">
        <v>306</v>
      </c>
      <c r="F504" s="108"/>
      <c r="G504" s="126">
        <v>0.48</v>
      </c>
    </row>
    <row r="505" spans="1:7" x14ac:dyDescent="0.25">
      <c r="A505" s="163">
        <v>44464</v>
      </c>
      <c r="B505" s="159" t="s">
        <v>186</v>
      </c>
      <c r="C505" s="159">
        <v>4</v>
      </c>
      <c r="D505" s="159"/>
      <c r="E505" s="159" t="s">
        <v>130</v>
      </c>
      <c r="F505" s="114"/>
      <c r="G505" s="127">
        <f>0.7*4</f>
        <v>2.8</v>
      </c>
    </row>
    <row r="506" spans="1:7" x14ac:dyDescent="0.25">
      <c r="A506" s="161">
        <v>44465</v>
      </c>
      <c r="B506" s="162" t="s">
        <v>133</v>
      </c>
      <c r="C506" s="162">
        <v>1</v>
      </c>
      <c r="D506" s="162"/>
      <c r="E506" s="162" t="s">
        <v>129</v>
      </c>
      <c r="F506" s="92"/>
      <c r="G506" s="125">
        <v>2.95</v>
      </c>
    </row>
    <row r="507" spans="1:7" x14ac:dyDescent="0.25">
      <c r="A507" s="164">
        <v>44465</v>
      </c>
      <c r="B507" s="158" t="s">
        <v>413</v>
      </c>
      <c r="C507" s="158">
        <v>1</v>
      </c>
      <c r="D507" s="158"/>
      <c r="E507" s="158" t="s">
        <v>122</v>
      </c>
      <c r="F507" s="108"/>
      <c r="G507" s="126">
        <v>3</v>
      </c>
    </row>
    <row r="508" spans="1:7" x14ac:dyDescent="0.25">
      <c r="A508" s="163">
        <v>44465</v>
      </c>
      <c r="B508" s="159" t="s">
        <v>132</v>
      </c>
      <c r="C508" s="159">
        <v>2</v>
      </c>
      <c r="D508" s="159"/>
      <c r="E508" s="159" t="s">
        <v>306</v>
      </c>
      <c r="F508" s="114"/>
      <c r="G508" s="127">
        <v>3</v>
      </c>
    </row>
    <row r="509" spans="1:7" x14ac:dyDescent="0.25">
      <c r="A509" s="161">
        <v>44466</v>
      </c>
      <c r="B509" s="162" t="s">
        <v>319</v>
      </c>
      <c r="C509" s="162">
        <v>1</v>
      </c>
      <c r="D509" s="162"/>
      <c r="E509" s="162" t="s">
        <v>122</v>
      </c>
      <c r="F509" s="92"/>
      <c r="G509" s="125">
        <v>0.42</v>
      </c>
    </row>
    <row r="510" spans="1:7" x14ac:dyDescent="0.25">
      <c r="A510" s="163">
        <v>44466</v>
      </c>
      <c r="B510" s="159" t="s">
        <v>191</v>
      </c>
      <c r="C510" s="159">
        <v>1</v>
      </c>
      <c r="D510" s="159"/>
      <c r="E510" s="159" t="s">
        <v>122</v>
      </c>
      <c r="F510" s="114"/>
      <c r="G510" s="127">
        <v>1</v>
      </c>
    </row>
    <row r="511" spans="1:7" x14ac:dyDescent="0.25">
      <c r="A511" s="161">
        <v>44467</v>
      </c>
      <c r="B511" s="162" t="s">
        <v>219</v>
      </c>
      <c r="C511" s="162">
        <v>5</v>
      </c>
      <c r="D511" s="162"/>
      <c r="E511" s="162" t="s">
        <v>306</v>
      </c>
      <c r="F511" s="92"/>
      <c r="G511" s="125">
        <f>0.7*5</f>
        <v>3.5</v>
      </c>
    </row>
    <row r="512" spans="1:7" x14ac:dyDescent="0.25">
      <c r="A512" s="163">
        <v>44467</v>
      </c>
      <c r="B512" s="159" t="s">
        <v>186</v>
      </c>
      <c r="C512" s="159">
        <v>2</v>
      </c>
      <c r="D512" s="159"/>
      <c r="E512" s="159" t="s">
        <v>130</v>
      </c>
      <c r="F512" s="114"/>
      <c r="G512" s="127">
        <f>0.69*2</f>
        <v>1.38</v>
      </c>
    </row>
    <row r="513" spans="1:15" x14ac:dyDescent="0.25">
      <c r="A513" s="161">
        <v>44468</v>
      </c>
      <c r="B513" s="162" t="s">
        <v>186</v>
      </c>
      <c r="C513" s="162">
        <v>3</v>
      </c>
      <c r="D513" s="162"/>
      <c r="E513" s="162" t="s">
        <v>129</v>
      </c>
      <c r="F513" s="92"/>
      <c r="G513" s="125">
        <f>0.69*3</f>
        <v>2.0699999999999998</v>
      </c>
    </row>
    <row r="514" spans="1:15" x14ac:dyDescent="0.25">
      <c r="A514" s="164">
        <v>44468</v>
      </c>
      <c r="B514" s="158" t="s">
        <v>186</v>
      </c>
      <c r="C514" s="158">
        <v>2</v>
      </c>
      <c r="D514" s="158"/>
      <c r="E514" s="158" t="s">
        <v>130</v>
      </c>
      <c r="F514" s="108"/>
      <c r="G514" s="126">
        <f>0.69*2</f>
        <v>1.38</v>
      </c>
    </row>
    <row r="515" spans="1:15" x14ac:dyDescent="0.25">
      <c r="A515" s="164">
        <v>44468</v>
      </c>
      <c r="B515" s="158" t="s">
        <v>195</v>
      </c>
      <c r="C515" s="158">
        <v>1</v>
      </c>
      <c r="D515" s="158"/>
      <c r="E515" s="158" t="s">
        <v>130</v>
      </c>
      <c r="F515" s="108"/>
      <c r="G515" s="126">
        <v>0.69</v>
      </c>
    </row>
    <row r="516" spans="1:15" x14ac:dyDescent="0.25">
      <c r="A516" s="164">
        <v>44468</v>
      </c>
      <c r="B516" s="158" t="s">
        <v>124</v>
      </c>
      <c r="C516" s="158">
        <v>2</v>
      </c>
      <c r="D516" s="158"/>
      <c r="E516" s="158" t="s">
        <v>130</v>
      </c>
      <c r="F516" s="108"/>
      <c r="G516" s="126">
        <v>2</v>
      </c>
    </row>
    <row r="517" spans="1:15" x14ac:dyDescent="0.25">
      <c r="A517" s="163">
        <v>44468</v>
      </c>
      <c r="B517" s="159" t="s">
        <v>191</v>
      </c>
      <c r="C517" s="159">
        <v>1</v>
      </c>
      <c r="D517" s="159"/>
      <c r="E517" s="159" t="s">
        <v>130</v>
      </c>
      <c r="F517" s="114"/>
      <c r="G517" s="127">
        <v>1</v>
      </c>
    </row>
    <row r="518" spans="1:15" x14ac:dyDescent="0.25">
      <c r="A518" s="161">
        <v>44469</v>
      </c>
      <c r="B518" s="162" t="s">
        <v>194</v>
      </c>
      <c r="C518" s="162">
        <v>1</v>
      </c>
      <c r="D518" s="162"/>
      <c r="E518" s="162" t="s">
        <v>130</v>
      </c>
      <c r="F518" s="92"/>
      <c r="G518" s="125">
        <v>0.44</v>
      </c>
    </row>
    <row r="519" spans="1:15" x14ac:dyDescent="0.25">
      <c r="A519" s="164">
        <v>44469</v>
      </c>
      <c r="B519" s="158" t="s">
        <v>186</v>
      </c>
      <c r="C519" s="158">
        <v>5</v>
      </c>
      <c r="D519" s="158"/>
      <c r="E519" s="158" t="s">
        <v>130</v>
      </c>
      <c r="F519" s="108"/>
      <c r="G519" s="126">
        <f>0.7*5</f>
        <v>3.5</v>
      </c>
    </row>
    <row r="520" spans="1:15" x14ac:dyDescent="0.25">
      <c r="A520" s="163">
        <v>44469</v>
      </c>
      <c r="B520" s="159" t="s">
        <v>224</v>
      </c>
      <c r="C520" s="159">
        <v>2</v>
      </c>
      <c r="D520" s="159"/>
      <c r="E520" s="159" t="s">
        <v>130</v>
      </c>
      <c r="F520" s="114"/>
      <c r="G520" s="127">
        <f>8.92*2</f>
        <v>17.84</v>
      </c>
    </row>
    <row r="521" spans="1:15" x14ac:dyDescent="0.25">
      <c r="E521" s="173" t="s">
        <v>223</v>
      </c>
      <c r="F521" s="399" t="s">
        <v>223</v>
      </c>
      <c r="G521" s="400">
        <f>SUBTOTAL(109,G398:G520)</f>
        <v>227.23999999999984</v>
      </c>
    </row>
    <row r="525" spans="1:15" ht="36" x14ac:dyDescent="0.55000000000000004">
      <c r="C525" s="229" t="s">
        <v>534</v>
      </c>
      <c r="K525" s="196" t="s">
        <v>523</v>
      </c>
      <c r="L525" s="196"/>
      <c r="N525" s="175">
        <v>44470</v>
      </c>
    </row>
    <row r="527" spans="1:15" x14ac:dyDescent="0.25">
      <c r="A527" s="176" t="s">
        <v>181</v>
      </c>
      <c r="B527" s="177" t="s">
        <v>180</v>
      </c>
      <c r="C527" s="177" t="s">
        <v>121</v>
      </c>
      <c r="D527" s="177" t="s">
        <v>187</v>
      </c>
      <c r="E527" s="177" t="s">
        <v>12</v>
      </c>
      <c r="F527" s="177" t="s">
        <v>6</v>
      </c>
      <c r="G527" s="178" t="s">
        <v>237</v>
      </c>
      <c r="I527" s="13" t="s">
        <v>503</v>
      </c>
      <c r="J527" t="s">
        <v>504</v>
      </c>
      <c r="K527" t="s">
        <v>505</v>
      </c>
      <c r="L527" t="s">
        <v>506</v>
      </c>
      <c r="M527" t="s">
        <v>507</v>
      </c>
      <c r="N527" t="s">
        <v>6</v>
      </c>
      <c r="O527" t="s">
        <v>508</v>
      </c>
    </row>
    <row r="528" spans="1:15" x14ac:dyDescent="0.25">
      <c r="A528" s="199">
        <v>44470</v>
      </c>
      <c r="B528" s="200" t="s">
        <v>124</v>
      </c>
      <c r="C528" s="200">
        <v>1</v>
      </c>
      <c r="D528" s="201"/>
      <c r="E528" s="200" t="s">
        <v>417</v>
      </c>
      <c r="F528" s="202"/>
      <c r="G528" s="224">
        <v>1</v>
      </c>
      <c r="I528" s="195">
        <v>44477</v>
      </c>
      <c r="J528" t="s">
        <v>509</v>
      </c>
      <c r="K528" t="s">
        <v>511</v>
      </c>
      <c r="L528">
        <v>9.9600000000000009</v>
      </c>
      <c r="M528" t="s">
        <v>515</v>
      </c>
      <c r="N528">
        <f t="shared" ref="N528" si="2">4160000/1000000</f>
        <v>4.16</v>
      </c>
      <c r="O528" s="118">
        <v>9.9600000000000009</v>
      </c>
    </row>
    <row r="529" spans="1:15" x14ac:dyDescent="0.25">
      <c r="A529" s="199">
        <v>44470</v>
      </c>
      <c r="B529" s="203" t="s">
        <v>416</v>
      </c>
      <c r="C529" s="203">
        <v>1</v>
      </c>
      <c r="D529" s="204"/>
      <c r="E529" s="203" t="s">
        <v>417</v>
      </c>
      <c r="F529" s="205"/>
      <c r="G529" s="225">
        <v>1</v>
      </c>
      <c r="I529" s="195">
        <v>44481</v>
      </c>
      <c r="J529" t="s">
        <v>509</v>
      </c>
      <c r="K529" t="s">
        <v>512</v>
      </c>
      <c r="L529">
        <v>10</v>
      </c>
      <c r="M529" t="s">
        <v>516</v>
      </c>
      <c r="N529">
        <f>4160000/1000000</f>
        <v>4.16</v>
      </c>
      <c r="O529" s="118">
        <v>10</v>
      </c>
    </row>
    <row r="530" spans="1:15" x14ac:dyDescent="0.25">
      <c r="A530" s="199">
        <v>44470</v>
      </c>
      <c r="B530" s="203" t="s">
        <v>319</v>
      </c>
      <c r="C530" s="203">
        <v>1</v>
      </c>
      <c r="D530" s="204"/>
      <c r="E530" s="203" t="s">
        <v>122</v>
      </c>
      <c r="F530" s="205"/>
      <c r="G530" s="225">
        <v>0.43</v>
      </c>
      <c r="I530" s="195">
        <v>44483</v>
      </c>
      <c r="J530" t="s">
        <v>510</v>
      </c>
      <c r="K530" t="s">
        <v>514</v>
      </c>
      <c r="L530">
        <f>47770000/1000000</f>
        <v>47.77</v>
      </c>
      <c r="M530" t="s">
        <v>517</v>
      </c>
      <c r="N530">
        <f>4180000/1000000</f>
        <v>4.18</v>
      </c>
      <c r="O530" s="118">
        <v>11.43</v>
      </c>
    </row>
    <row r="531" spans="1:15" x14ac:dyDescent="0.25">
      <c r="A531" s="206">
        <v>44470</v>
      </c>
      <c r="B531" s="207" t="s">
        <v>416</v>
      </c>
      <c r="C531" s="207">
        <v>1</v>
      </c>
      <c r="D531" s="208"/>
      <c r="E531" s="207" t="s">
        <v>122</v>
      </c>
      <c r="F531" s="209"/>
      <c r="G531" s="226">
        <v>1</v>
      </c>
      <c r="I531" s="195">
        <v>44483</v>
      </c>
      <c r="J531" s="13" t="s">
        <v>510</v>
      </c>
      <c r="K531" s="13" t="s">
        <v>514</v>
      </c>
      <c r="L531">
        <f>18300000/1000000</f>
        <v>18.3</v>
      </c>
      <c r="M531" t="s">
        <v>518</v>
      </c>
      <c r="N531" s="13">
        <f t="shared" ref="N531:N532" si="3">4180000/1000000</f>
        <v>4.18</v>
      </c>
      <c r="O531" s="118">
        <v>4.38</v>
      </c>
    </row>
    <row r="532" spans="1:15" x14ac:dyDescent="0.25">
      <c r="A532" s="199">
        <v>44471</v>
      </c>
      <c r="B532" s="200" t="s">
        <v>319</v>
      </c>
      <c r="C532" s="200">
        <v>1</v>
      </c>
      <c r="D532" s="200"/>
      <c r="E532" s="200" t="s">
        <v>122</v>
      </c>
      <c r="F532" s="401"/>
      <c r="G532" s="225">
        <v>0.43</v>
      </c>
      <c r="I532" s="195">
        <v>44483</v>
      </c>
      <c r="J532" s="13" t="s">
        <v>510</v>
      </c>
      <c r="K532" s="13" t="s">
        <v>514</v>
      </c>
      <c r="L532">
        <f>433050000/1000000</f>
        <v>433.05</v>
      </c>
      <c r="M532" t="s">
        <v>519</v>
      </c>
      <c r="N532" s="13">
        <f t="shared" si="3"/>
        <v>4.18</v>
      </c>
      <c r="O532" s="118">
        <v>103.6</v>
      </c>
    </row>
    <row r="533" spans="1:15" x14ac:dyDescent="0.25">
      <c r="A533" s="206">
        <v>44471</v>
      </c>
      <c r="B533" s="207" t="s">
        <v>416</v>
      </c>
      <c r="C533" s="207">
        <v>1</v>
      </c>
      <c r="D533" s="207"/>
      <c r="E533" s="207" t="s">
        <v>122</v>
      </c>
      <c r="F533" s="402"/>
      <c r="G533" s="403">
        <v>1</v>
      </c>
      <c r="I533" s="195">
        <v>44498</v>
      </c>
      <c r="J533" s="13" t="s">
        <v>510</v>
      </c>
      <c r="K533" s="13" t="s">
        <v>514</v>
      </c>
      <c r="L533">
        <f>56550000/1000000</f>
        <v>56.55</v>
      </c>
      <c r="M533" t="s">
        <v>520</v>
      </c>
      <c r="N533">
        <f>4328000/1000000</f>
        <v>4.3280000000000003</v>
      </c>
      <c r="O533" s="118">
        <v>13.07</v>
      </c>
    </row>
    <row r="534" spans="1:15" x14ac:dyDescent="0.25">
      <c r="A534" s="210">
        <v>44472</v>
      </c>
      <c r="B534" s="211" t="s">
        <v>125</v>
      </c>
      <c r="C534" s="211">
        <v>1</v>
      </c>
      <c r="D534" s="39"/>
      <c r="E534" s="211" t="s">
        <v>417</v>
      </c>
      <c r="F534" s="404"/>
      <c r="G534" s="92">
        <v>1</v>
      </c>
      <c r="I534" s="195">
        <v>44498</v>
      </c>
      <c r="J534" s="13" t="s">
        <v>510</v>
      </c>
      <c r="K534" s="13" t="s">
        <v>514</v>
      </c>
      <c r="L534">
        <f>19200000/1000000</f>
        <v>19.2</v>
      </c>
      <c r="M534" t="s">
        <v>521</v>
      </c>
      <c r="N534" s="13">
        <f t="shared" ref="N534:N535" si="4">4328000/1000000</f>
        <v>4.3280000000000003</v>
      </c>
      <c r="O534" s="118">
        <v>4.4400000000000004</v>
      </c>
    </row>
    <row r="535" spans="1:15" x14ac:dyDescent="0.25">
      <c r="A535" s="197">
        <v>44472</v>
      </c>
      <c r="B535" s="212" t="s">
        <v>418</v>
      </c>
      <c r="C535" s="212">
        <v>1</v>
      </c>
      <c r="D535" s="43"/>
      <c r="E535" s="212" t="s">
        <v>417</v>
      </c>
      <c r="F535" s="405"/>
      <c r="G535" s="108">
        <v>1</v>
      </c>
      <c r="I535" s="195">
        <v>44498</v>
      </c>
      <c r="J535" s="13" t="s">
        <v>510</v>
      </c>
      <c r="K535" s="13" t="s">
        <v>514</v>
      </c>
      <c r="L535">
        <f>570090000/1000000</f>
        <v>570.09</v>
      </c>
      <c r="M535" t="s">
        <v>522</v>
      </c>
      <c r="N535" s="13">
        <f t="shared" si="4"/>
        <v>4.3280000000000003</v>
      </c>
      <c r="O535" s="118">
        <v>131.72</v>
      </c>
    </row>
    <row r="536" spans="1:15" x14ac:dyDescent="0.25">
      <c r="A536" s="197">
        <v>44472</v>
      </c>
      <c r="B536" s="212" t="s">
        <v>319</v>
      </c>
      <c r="C536" s="212">
        <v>1</v>
      </c>
      <c r="D536" s="43"/>
      <c r="E536" s="212" t="s">
        <v>122</v>
      </c>
      <c r="F536" s="405"/>
      <c r="G536" s="225">
        <v>0.43</v>
      </c>
      <c r="I536" s="195">
        <v>44484</v>
      </c>
      <c r="J536" t="s">
        <v>509</v>
      </c>
      <c r="K536" t="s">
        <v>524</v>
      </c>
      <c r="M536" t="s">
        <v>525</v>
      </c>
      <c r="N536" s="228"/>
      <c r="O536" s="118">
        <v>255</v>
      </c>
    </row>
    <row r="537" spans="1:15" x14ac:dyDescent="0.25">
      <c r="A537" s="197">
        <v>44472</v>
      </c>
      <c r="B537" s="212" t="s">
        <v>416</v>
      </c>
      <c r="C537" s="212">
        <v>1</v>
      </c>
      <c r="D537" s="43"/>
      <c r="E537" s="212" t="s">
        <v>122</v>
      </c>
      <c r="F537" s="405"/>
      <c r="G537" s="108">
        <v>1</v>
      </c>
      <c r="I537" s="195">
        <v>44499</v>
      </c>
      <c r="J537" t="s">
        <v>509</v>
      </c>
      <c r="K537" s="13" t="s">
        <v>524</v>
      </c>
      <c r="M537" s="13" t="s">
        <v>526</v>
      </c>
      <c r="N537" s="228"/>
      <c r="O537" s="118">
        <v>355</v>
      </c>
    </row>
    <row r="538" spans="1:15" x14ac:dyDescent="0.25">
      <c r="A538" s="213">
        <v>44472</v>
      </c>
      <c r="B538" s="214" t="s">
        <v>186</v>
      </c>
      <c r="C538" s="214">
        <v>1</v>
      </c>
      <c r="D538" s="47"/>
      <c r="E538" s="214" t="s">
        <v>130</v>
      </c>
      <c r="F538" s="406"/>
      <c r="G538" s="114">
        <v>0.71</v>
      </c>
      <c r="I538" s="195"/>
      <c r="M538" s="1" t="s">
        <v>501</v>
      </c>
      <c r="N538" s="185"/>
      <c r="O538" s="120">
        <f>SUBTOTAL(109,Tabla14[MONTO EN DIVISA])</f>
        <v>898.6</v>
      </c>
    </row>
    <row r="539" spans="1:15" x14ac:dyDescent="0.25">
      <c r="A539" s="215">
        <v>44473</v>
      </c>
      <c r="B539" s="216" t="s">
        <v>319</v>
      </c>
      <c r="C539" s="217">
        <v>1</v>
      </c>
      <c r="D539" s="39"/>
      <c r="E539" s="218" t="s">
        <v>122</v>
      </c>
      <c r="F539" s="407"/>
      <c r="G539" s="227">
        <v>0.43</v>
      </c>
    </row>
    <row r="540" spans="1:15" x14ac:dyDescent="0.25">
      <c r="A540" s="197">
        <v>44473</v>
      </c>
      <c r="B540" s="219" t="s">
        <v>416</v>
      </c>
      <c r="C540" s="219">
        <v>1</v>
      </c>
      <c r="D540" s="43"/>
      <c r="E540" s="219" t="s">
        <v>122</v>
      </c>
      <c r="F540" s="405"/>
      <c r="G540" s="108">
        <v>1</v>
      </c>
    </row>
    <row r="541" spans="1:15" ht="45.75" x14ac:dyDescent="0.65">
      <c r="A541" s="198">
        <v>44473</v>
      </c>
      <c r="B541" s="212" t="s">
        <v>186</v>
      </c>
      <c r="C541" s="212">
        <v>1</v>
      </c>
      <c r="D541" s="43"/>
      <c r="E541" s="212" t="s">
        <v>130</v>
      </c>
      <c r="F541" s="405"/>
      <c r="G541" s="108">
        <v>0.71</v>
      </c>
      <c r="K541" s="262" t="s">
        <v>548</v>
      </c>
    </row>
    <row r="542" spans="1:15" x14ac:dyDescent="0.25">
      <c r="A542" s="198">
        <v>44473</v>
      </c>
      <c r="B542" s="212" t="s">
        <v>195</v>
      </c>
      <c r="C542" s="212">
        <v>2</v>
      </c>
      <c r="D542" s="43"/>
      <c r="E542" s="212" t="s">
        <v>130</v>
      </c>
      <c r="F542" s="405"/>
      <c r="G542" s="108">
        <v>0.71</v>
      </c>
    </row>
    <row r="543" spans="1:15" x14ac:dyDescent="0.25">
      <c r="A543" s="213">
        <v>44473</v>
      </c>
      <c r="B543" s="214" t="s">
        <v>416</v>
      </c>
      <c r="C543" s="214">
        <v>1</v>
      </c>
      <c r="D543" s="47"/>
      <c r="E543" s="214" t="s">
        <v>130</v>
      </c>
      <c r="F543" s="406"/>
      <c r="G543" s="114">
        <v>1</v>
      </c>
      <c r="I543" s="258" t="s">
        <v>503</v>
      </c>
      <c r="J543" s="259" t="s">
        <v>504</v>
      </c>
      <c r="K543" s="259" t="s">
        <v>505</v>
      </c>
      <c r="L543" s="259" t="s">
        <v>506</v>
      </c>
      <c r="M543" s="259" t="s">
        <v>507</v>
      </c>
      <c r="N543" s="259" t="s">
        <v>6</v>
      </c>
      <c r="O543" s="260" t="s">
        <v>508</v>
      </c>
    </row>
    <row r="544" spans="1:15" x14ac:dyDescent="0.25">
      <c r="A544" s="210">
        <v>44475</v>
      </c>
      <c r="B544" s="211" t="s">
        <v>416</v>
      </c>
      <c r="C544" s="211">
        <v>1</v>
      </c>
      <c r="D544" s="39"/>
      <c r="E544" s="211" t="s">
        <v>417</v>
      </c>
      <c r="F544" s="404"/>
      <c r="G544" s="92">
        <v>1</v>
      </c>
      <c r="I544" s="195">
        <v>44482</v>
      </c>
      <c r="J544" t="s">
        <v>509</v>
      </c>
      <c r="K544" t="s">
        <v>513</v>
      </c>
      <c r="L544" s="261">
        <v>20</v>
      </c>
      <c r="M544" t="s">
        <v>129</v>
      </c>
      <c r="N544">
        <v>4.16</v>
      </c>
      <c r="O544" s="261">
        <v>20</v>
      </c>
    </row>
    <row r="545" spans="1:7" x14ac:dyDescent="0.25">
      <c r="A545" s="213">
        <v>44475</v>
      </c>
      <c r="B545" s="214" t="s">
        <v>195</v>
      </c>
      <c r="C545" s="214">
        <v>1</v>
      </c>
      <c r="D545" s="47"/>
      <c r="E545" s="214" t="s">
        <v>122</v>
      </c>
      <c r="F545" s="406"/>
      <c r="G545" s="114">
        <v>0.71</v>
      </c>
    </row>
    <row r="546" spans="1:7" x14ac:dyDescent="0.25">
      <c r="A546" s="210">
        <v>44477</v>
      </c>
      <c r="B546" s="211" t="s">
        <v>319</v>
      </c>
      <c r="C546" s="211">
        <v>1</v>
      </c>
      <c r="D546" s="39"/>
      <c r="E546" s="211" t="s">
        <v>122</v>
      </c>
      <c r="F546" s="404"/>
      <c r="G546" s="225">
        <v>0.43</v>
      </c>
    </row>
    <row r="547" spans="1:7" x14ac:dyDescent="0.25">
      <c r="A547" s="198">
        <v>44477</v>
      </c>
      <c r="B547" s="212" t="s">
        <v>416</v>
      </c>
      <c r="C547" s="212">
        <v>1</v>
      </c>
      <c r="D547" s="43"/>
      <c r="E547" s="212" t="s">
        <v>122</v>
      </c>
      <c r="F547" s="405"/>
      <c r="G547" s="108">
        <v>1</v>
      </c>
    </row>
    <row r="548" spans="1:7" x14ac:dyDescent="0.25">
      <c r="A548" s="213">
        <v>44477</v>
      </c>
      <c r="B548" s="214" t="s">
        <v>125</v>
      </c>
      <c r="C548" s="214">
        <v>1</v>
      </c>
      <c r="D548" s="47"/>
      <c r="E548" s="214" t="s">
        <v>306</v>
      </c>
      <c r="F548" s="406"/>
      <c r="G548" s="114">
        <v>1</v>
      </c>
    </row>
    <row r="549" spans="1:7" x14ac:dyDescent="0.25">
      <c r="A549" s="220">
        <v>44478</v>
      </c>
      <c r="B549" s="221" t="s">
        <v>319</v>
      </c>
      <c r="C549" s="221">
        <v>1</v>
      </c>
      <c r="D549" s="39"/>
      <c r="E549" s="221" t="s">
        <v>122</v>
      </c>
      <c r="F549" s="404"/>
      <c r="G549" s="225">
        <v>0.43</v>
      </c>
    </row>
    <row r="550" spans="1:7" x14ac:dyDescent="0.25">
      <c r="A550" s="198">
        <v>44478</v>
      </c>
      <c r="B550" s="212" t="s">
        <v>416</v>
      </c>
      <c r="C550" s="212">
        <v>1</v>
      </c>
      <c r="D550" s="43"/>
      <c r="E550" s="212" t="s">
        <v>122</v>
      </c>
      <c r="F550" s="405"/>
      <c r="G550" s="108">
        <v>1</v>
      </c>
    </row>
    <row r="551" spans="1:7" x14ac:dyDescent="0.25">
      <c r="A551" s="198">
        <v>44478</v>
      </c>
      <c r="B551" s="212" t="s">
        <v>219</v>
      </c>
      <c r="C551" s="212">
        <v>1</v>
      </c>
      <c r="D551" s="43"/>
      <c r="E551" s="212" t="s">
        <v>130</v>
      </c>
      <c r="F551" s="405"/>
      <c r="G551" s="108">
        <v>0.8</v>
      </c>
    </row>
    <row r="552" spans="1:7" x14ac:dyDescent="0.25">
      <c r="A552" s="213">
        <v>44478</v>
      </c>
      <c r="B552" s="214" t="s">
        <v>186</v>
      </c>
      <c r="C552" s="214">
        <v>1</v>
      </c>
      <c r="D552" s="47"/>
      <c r="E552" s="214" t="s">
        <v>130</v>
      </c>
      <c r="F552" s="406"/>
      <c r="G552" s="114">
        <v>0.71</v>
      </c>
    </row>
    <row r="553" spans="1:7" x14ac:dyDescent="0.25">
      <c r="A553" s="210">
        <v>44479</v>
      </c>
      <c r="B553" s="211" t="s">
        <v>319</v>
      </c>
      <c r="C553" s="211">
        <v>1</v>
      </c>
      <c r="D553" s="39"/>
      <c r="E553" s="211" t="s">
        <v>122</v>
      </c>
      <c r="F553" s="404"/>
      <c r="G553" s="225">
        <v>0.43</v>
      </c>
    </row>
    <row r="554" spans="1:7" x14ac:dyDescent="0.25">
      <c r="A554" s="197">
        <v>44479</v>
      </c>
      <c r="B554" s="212" t="s">
        <v>416</v>
      </c>
      <c r="C554" s="212">
        <v>1</v>
      </c>
      <c r="D554" s="43"/>
      <c r="E554" s="212" t="s">
        <v>122</v>
      </c>
      <c r="F554" s="405"/>
      <c r="G554" s="108">
        <v>1</v>
      </c>
    </row>
    <row r="555" spans="1:7" x14ac:dyDescent="0.25">
      <c r="A555" s="197">
        <v>44479</v>
      </c>
      <c r="B555" s="212" t="s">
        <v>215</v>
      </c>
      <c r="C555" s="212">
        <v>2</v>
      </c>
      <c r="D555" s="43"/>
      <c r="E555" s="212" t="s">
        <v>130</v>
      </c>
      <c r="F555" s="405"/>
      <c r="G555" s="108">
        <v>0.48</v>
      </c>
    </row>
    <row r="556" spans="1:7" x14ac:dyDescent="0.25">
      <c r="A556" s="197">
        <v>44479</v>
      </c>
      <c r="B556" s="212" t="s">
        <v>195</v>
      </c>
      <c r="C556" s="212">
        <v>1</v>
      </c>
      <c r="D556" s="43"/>
      <c r="E556" s="212" t="s">
        <v>130</v>
      </c>
      <c r="F556" s="405"/>
      <c r="G556" s="108">
        <v>0.71</v>
      </c>
    </row>
    <row r="557" spans="1:7" x14ac:dyDescent="0.25">
      <c r="A557" s="222">
        <v>44479</v>
      </c>
      <c r="B557" s="214" t="s">
        <v>124</v>
      </c>
      <c r="C557" s="214">
        <v>1</v>
      </c>
      <c r="D557" s="47"/>
      <c r="E557" s="214" t="s">
        <v>130</v>
      </c>
      <c r="F557" s="406"/>
      <c r="G557" s="114">
        <v>1</v>
      </c>
    </row>
    <row r="558" spans="1:7" x14ac:dyDescent="0.25">
      <c r="A558" s="210">
        <v>44480</v>
      </c>
      <c r="B558" s="211" t="s">
        <v>319</v>
      </c>
      <c r="C558" s="211">
        <v>1</v>
      </c>
      <c r="D558" s="39"/>
      <c r="E558" s="211" t="s">
        <v>306</v>
      </c>
      <c r="F558" s="404"/>
      <c r="G558" s="225">
        <v>0.43</v>
      </c>
    </row>
    <row r="559" spans="1:7" x14ac:dyDescent="0.25">
      <c r="A559" s="197">
        <v>44480</v>
      </c>
      <c r="B559" s="212" t="s">
        <v>125</v>
      </c>
      <c r="C559" s="212">
        <v>1</v>
      </c>
      <c r="D559" s="43"/>
      <c r="E559" s="212" t="s">
        <v>306</v>
      </c>
      <c r="F559" s="405"/>
      <c r="G559" s="108">
        <v>1</v>
      </c>
    </row>
    <row r="560" spans="1:7" x14ac:dyDescent="0.25">
      <c r="A560" s="197">
        <v>44480</v>
      </c>
      <c r="B560" s="212" t="s">
        <v>186</v>
      </c>
      <c r="C560" s="212">
        <v>3</v>
      </c>
      <c r="D560" s="43"/>
      <c r="E560" s="212" t="s">
        <v>130</v>
      </c>
      <c r="F560" s="405"/>
      <c r="G560" s="108">
        <v>0.71</v>
      </c>
    </row>
    <row r="561" spans="1:7" x14ac:dyDescent="0.25">
      <c r="A561" s="197">
        <v>44480</v>
      </c>
      <c r="B561" s="212" t="s">
        <v>132</v>
      </c>
      <c r="C561" s="212">
        <v>1</v>
      </c>
      <c r="D561" s="43"/>
      <c r="E561" s="212" t="s">
        <v>130</v>
      </c>
      <c r="F561" s="405"/>
      <c r="G561" s="108">
        <v>1.8</v>
      </c>
    </row>
    <row r="562" spans="1:7" x14ac:dyDescent="0.25">
      <c r="A562" s="197">
        <v>44480</v>
      </c>
      <c r="B562" s="212" t="s">
        <v>124</v>
      </c>
      <c r="C562" s="212">
        <v>2</v>
      </c>
      <c r="D562" s="43"/>
      <c r="E562" s="212" t="s">
        <v>130</v>
      </c>
      <c r="F562" s="405"/>
      <c r="G562" s="108">
        <v>1</v>
      </c>
    </row>
    <row r="563" spans="1:7" x14ac:dyDescent="0.25">
      <c r="A563" s="197">
        <v>44480</v>
      </c>
      <c r="B563" s="212" t="s">
        <v>419</v>
      </c>
      <c r="C563" s="212">
        <v>1</v>
      </c>
      <c r="D563" s="43"/>
      <c r="E563" s="212" t="s">
        <v>130</v>
      </c>
      <c r="F563" s="405"/>
      <c r="G563" s="108">
        <v>6.5</v>
      </c>
    </row>
    <row r="564" spans="1:7" x14ac:dyDescent="0.25">
      <c r="A564" s="222">
        <v>44480</v>
      </c>
      <c r="B564" s="214" t="s">
        <v>416</v>
      </c>
      <c r="C564" s="214">
        <v>2</v>
      </c>
      <c r="D564" s="47"/>
      <c r="E564" s="214" t="s">
        <v>130</v>
      </c>
      <c r="F564" s="406"/>
      <c r="G564" s="114">
        <v>1</v>
      </c>
    </row>
    <row r="565" spans="1:7" x14ac:dyDescent="0.25">
      <c r="A565" s="210">
        <v>44481</v>
      </c>
      <c r="B565" s="211" t="s">
        <v>124</v>
      </c>
      <c r="C565" s="211">
        <v>1</v>
      </c>
      <c r="D565" s="39"/>
      <c r="E565" s="211" t="s">
        <v>417</v>
      </c>
      <c r="F565" s="404"/>
      <c r="G565" s="92">
        <v>1</v>
      </c>
    </row>
    <row r="566" spans="1:7" x14ac:dyDescent="0.25">
      <c r="A566" s="197">
        <v>44481</v>
      </c>
      <c r="B566" s="212" t="s">
        <v>125</v>
      </c>
      <c r="C566" s="212">
        <v>2</v>
      </c>
      <c r="D566" s="43"/>
      <c r="E566" s="212" t="s">
        <v>417</v>
      </c>
      <c r="F566" s="405"/>
      <c r="G566" s="108">
        <v>1</v>
      </c>
    </row>
    <row r="567" spans="1:7" x14ac:dyDescent="0.25">
      <c r="A567" s="197">
        <v>44481</v>
      </c>
      <c r="B567" s="212" t="s">
        <v>416</v>
      </c>
      <c r="C567" s="212">
        <v>1</v>
      </c>
      <c r="D567" s="43"/>
      <c r="E567" s="212" t="s">
        <v>306</v>
      </c>
      <c r="F567" s="405"/>
      <c r="G567" s="108">
        <v>1</v>
      </c>
    </row>
    <row r="568" spans="1:7" x14ac:dyDescent="0.25">
      <c r="A568" s="197">
        <v>44481</v>
      </c>
      <c r="B568" s="212" t="s">
        <v>219</v>
      </c>
      <c r="C568" s="212">
        <v>1</v>
      </c>
      <c r="D568" s="43"/>
      <c r="E568" s="212" t="s">
        <v>130</v>
      </c>
      <c r="F568" s="405"/>
      <c r="G568" s="108">
        <v>0.8</v>
      </c>
    </row>
    <row r="569" spans="1:7" x14ac:dyDescent="0.25">
      <c r="A569" s="197">
        <v>44481</v>
      </c>
      <c r="B569" s="212" t="s">
        <v>194</v>
      </c>
      <c r="C569" s="212">
        <v>1</v>
      </c>
      <c r="D569" s="43"/>
      <c r="E569" s="212" t="s">
        <v>130</v>
      </c>
      <c r="F569" s="405"/>
      <c r="G569" s="108">
        <v>0.45</v>
      </c>
    </row>
    <row r="570" spans="1:7" x14ac:dyDescent="0.25">
      <c r="A570" s="197">
        <v>44481</v>
      </c>
      <c r="B570" s="212" t="s">
        <v>125</v>
      </c>
      <c r="C570" s="212">
        <v>2</v>
      </c>
      <c r="D570" s="43"/>
      <c r="E570" s="212" t="s">
        <v>130</v>
      </c>
      <c r="F570" s="405"/>
      <c r="G570" s="108">
        <v>1</v>
      </c>
    </row>
    <row r="571" spans="1:7" x14ac:dyDescent="0.25">
      <c r="A571" s="222">
        <v>44481</v>
      </c>
      <c r="B571" s="214" t="s">
        <v>416</v>
      </c>
      <c r="C571" s="214">
        <v>1</v>
      </c>
      <c r="D571" s="47"/>
      <c r="E571" s="214" t="s">
        <v>130</v>
      </c>
      <c r="F571" s="406"/>
      <c r="G571" s="114">
        <v>1</v>
      </c>
    </row>
    <row r="572" spans="1:7" x14ac:dyDescent="0.25">
      <c r="A572" s="210">
        <v>44482</v>
      </c>
      <c r="B572" s="211" t="s">
        <v>416</v>
      </c>
      <c r="C572" s="211">
        <v>1</v>
      </c>
      <c r="D572" s="39"/>
      <c r="E572" s="211" t="s">
        <v>417</v>
      </c>
      <c r="F572" s="404"/>
      <c r="G572" s="92">
        <v>1</v>
      </c>
    </row>
    <row r="573" spans="1:7" x14ac:dyDescent="0.25">
      <c r="A573" s="198">
        <v>44482</v>
      </c>
      <c r="B573" s="212" t="s">
        <v>416</v>
      </c>
      <c r="C573" s="212">
        <v>1</v>
      </c>
      <c r="D573" s="43"/>
      <c r="E573" s="212" t="s">
        <v>122</v>
      </c>
      <c r="F573" s="405"/>
      <c r="G573" s="108">
        <v>1</v>
      </c>
    </row>
    <row r="574" spans="1:7" x14ac:dyDescent="0.25">
      <c r="A574" s="198">
        <v>44482</v>
      </c>
      <c r="B574" s="212" t="s">
        <v>186</v>
      </c>
      <c r="C574" s="212">
        <v>3</v>
      </c>
      <c r="D574" s="43"/>
      <c r="E574" s="212" t="s">
        <v>130</v>
      </c>
      <c r="F574" s="405"/>
      <c r="G574" s="108">
        <v>0.71</v>
      </c>
    </row>
    <row r="575" spans="1:7" x14ac:dyDescent="0.25">
      <c r="A575" s="198">
        <v>44482</v>
      </c>
      <c r="B575" s="212" t="s">
        <v>420</v>
      </c>
      <c r="C575" s="212">
        <v>1</v>
      </c>
      <c r="D575" s="43"/>
      <c r="E575" s="212" t="s">
        <v>130</v>
      </c>
      <c r="F575" s="405"/>
      <c r="G575" s="108">
        <v>1.2</v>
      </c>
    </row>
    <row r="576" spans="1:7" x14ac:dyDescent="0.25">
      <c r="A576" s="213">
        <v>44482</v>
      </c>
      <c r="B576" s="214" t="s">
        <v>416</v>
      </c>
      <c r="C576" s="214">
        <v>1</v>
      </c>
      <c r="D576" s="47"/>
      <c r="E576" s="214" t="s">
        <v>130</v>
      </c>
      <c r="F576" s="406"/>
      <c r="G576" s="114">
        <v>1</v>
      </c>
    </row>
    <row r="577" spans="1:7" x14ac:dyDescent="0.25">
      <c r="A577" s="215">
        <v>44483</v>
      </c>
      <c r="B577" s="216" t="s">
        <v>186</v>
      </c>
      <c r="C577" s="216">
        <v>2</v>
      </c>
      <c r="D577" s="51"/>
      <c r="E577" s="216" t="s">
        <v>130</v>
      </c>
      <c r="F577" s="407"/>
      <c r="G577" s="93">
        <v>0.71</v>
      </c>
    </row>
    <row r="578" spans="1:7" x14ac:dyDescent="0.25">
      <c r="A578" s="210">
        <v>44484</v>
      </c>
      <c r="B578" s="211" t="s">
        <v>319</v>
      </c>
      <c r="C578" s="211">
        <v>1</v>
      </c>
      <c r="D578" s="39"/>
      <c r="E578" s="211" t="s">
        <v>122</v>
      </c>
      <c r="F578" s="404"/>
      <c r="G578" s="225">
        <v>0.43</v>
      </c>
    </row>
    <row r="579" spans="1:7" x14ac:dyDescent="0.25">
      <c r="A579" s="197">
        <v>44484</v>
      </c>
      <c r="B579" s="212" t="s">
        <v>416</v>
      </c>
      <c r="C579" s="212">
        <v>1</v>
      </c>
      <c r="D579" s="43"/>
      <c r="E579" s="212" t="s">
        <v>122</v>
      </c>
      <c r="F579" s="405"/>
      <c r="G579" s="108">
        <v>1</v>
      </c>
    </row>
    <row r="580" spans="1:7" x14ac:dyDescent="0.25">
      <c r="A580" s="197">
        <v>44484</v>
      </c>
      <c r="B580" s="212" t="s">
        <v>210</v>
      </c>
      <c r="C580" s="212">
        <v>1</v>
      </c>
      <c r="D580" s="43"/>
      <c r="E580" s="212" t="s">
        <v>306</v>
      </c>
      <c r="F580" s="405"/>
      <c r="G580" s="108">
        <v>0.45</v>
      </c>
    </row>
    <row r="581" spans="1:7" x14ac:dyDescent="0.25">
      <c r="A581" s="197">
        <v>44484</v>
      </c>
      <c r="B581" s="212" t="s">
        <v>124</v>
      </c>
      <c r="C581" s="212">
        <v>1</v>
      </c>
      <c r="D581" s="43"/>
      <c r="E581" s="212" t="s">
        <v>306</v>
      </c>
      <c r="F581" s="405"/>
      <c r="G581" s="108">
        <v>1</v>
      </c>
    </row>
    <row r="582" spans="1:7" x14ac:dyDescent="0.25">
      <c r="A582" s="222">
        <v>44484</v>
      </c>
      <c r="B582" s="214" t="s">
        <v>125</v>
      </c>
      <c r="C582" s="214">
        <v>1</v>
      </c>
      <c r="D582" s="47"/>
      <c r="E582" s="214" t="s">
        <v>306</v>
      </c>
      <c r="F582" s="406"/>
      <c r="G582" s="114">
        <v>1</v>
      </c>
    </row>
    <row r="583" spans="1:7" x14ac:dyDescent="0.25">
      <c r="A583" s="210">
        <v>44486</v>
      </c>
      <c r="B583" s="211" t="s">
        <v>125</v>
      </c>
      <c r="C583" s="211">
        <v>2</v>
      </c>
      <c r="D583" s="39"/>
      <c r="E583" s="211" t="s">
        <v>417</v>
      </c>
      <c r="F583" s="404"/>
      <c r="G583" s="92">
        <v>1</v>
      </c>
    </row>
    <row r="584" spans="1:7" x14ac:dyDescent="0.25">
      <c r="A584" s="197">
        <v>44486</v>
      </c>
      <c r="B584" s="212" t="s">
        <v>302</v>
      </c>
      <c r="C584" s="212">
        <v>1</v>
      </c>
      <c r="D584" s="43"/>
      <c r="E584" s="212" t="s">
        <v>417</v>
      </c>
      <c r="F584" s="405"/>
      <c r="G584" s="108">
        <v>2.9</v>
      </c>
    </row>
    <row r="585" spans="1:7" x14ac:dyDescent="0.25">
      <c r="A585" s="197">
        <v>44486</v>
      </c>
      <c r="B585" s="212" t="s">
        <v>319</v>
      </c>
      <c r="C585" s="212">
        <v>1</v>
      </c>
      <c r="D585" s="43"/>
      <c r="E585" s="212" t="s">
        <v>122</v>
      </c>
      <c r="F585" s="405"/>
      <c r="G585" s="225">
        <v>0.43</v>
      </c>
    </row>
    <row r="586" spans="1:7" x14ac:dyDescent="0.25">
      <c r="A586" s="222">
        <v>44486</v>
      </c>
      <c r="B586" s="214" t="s">
        <v>206</v>
      </c>
      <c r="C586" s="214">
        <v>1</v>
      </c>
      <c r="D586" s="47"/>
      <c r="E586" s="214" t="s">
        <v>122</v>
      </c>
      <c r="F586" s="406"/>
      <c r="G586" s="114">
        <v>4</v>
      </c>
    </row>
    <row r="587" spans="1:7" x14ac:dyDescent="0.25">
      <c r="A587" s="210">
        <v>44487</v>
      </c>
      <c r="B587" s="211" t="s">
        <v>319</v>
      </c>
      <c r="C587" s="211">
        <v>1</v>
      </c>
      <c r="D587" s="39"/>
      <c r="E587" s="211" t="s">
        <v>122</v>
      </c>
      <c r="F587" s="404"/>
      <c r="G587" s="225">
        <v>0.43</v>
      </c>
    </row>
    <row r="588" spans="1:7" x14ac:dyDescent="0.25">
      <c r="A588" s="197">
        <v>44487</v>
      </c>
      <c r="B588" s="212" t="s">
        <v>219</v>
      </c>
      <c r="C588" s="212">
        <v>1</v>
      </c>
      <c r="D588" s="43"/>
      <c r="E588" s="212" t="s">
        <v>306</v>
      </c>
      <c r="F588" s="405"/>
      <c r="G588" s="108">
        <v>0.8</v>
      </c>
    </row>
    <row r="589" spans="1:7" x14ac:dyDescent="0.25">
      <c r="A589" s="197">
        <v>44487</v>
      </c>
      <c r="B589" s="212" t="s">
        <v>124</v>
      </c>
      <c r="C589" s="212">
        <v>3</v>
      </c>
      <c r="D589" s="43"/>
      <c r="E589" s="212" t="s">
        <v>306</v>
      </c>
      <c r="F589" s="405"/>
      <c r="G589" s="108">
        <v>1</v>
      </c>
    </row>
    <row r="590" spans="1:7" x14ac:dyDescent="0.25">
      <c r="A590" s="197">
        <v>44487</v>
      </c>
      <c r="B590" s="212" t="s">
        <v>186</v>
      </c>
      <c r="C590" s="212">
        <v>2</v>
      </c>
      <c r="D590" s="43"/>
      <c r="E590" s="212" t="s">
        <v>130</v>
      </c>
      <c r="F590" s="405"/>
      <c r="G590" s="108">
        <v>0.71</v>
      </c>
    </row>
    <row r="591" spans="1:7" x14ac:dyDescent="0.25">
      <c r="A591" s="222">
        <v>44487</v>
      </c>
      <c r="B591" s="214" t="s">
        <v>137</v>
      </c>
      <c r="C591" s="214">
        <v>1</v>
      </c>
      <c r="D591" s="47"/>
      <c r="E591" s="214" t="s">
        <v>130</v>
      </c>
      <c r="F591" s="406"/>
      <c r="G591" s="114">
        <v>5.0999999999999996</v>
      </c>
    </row>
    <row r="592" spans="1:7" x14ac:dyDescent="0.25">
      <c r="A592" s="220">
        <v>44489</v>
      </c>
      <c r="B592" s="221" t="s">
        <v>124</v>
      </c>
      <c r="C592" s="221">
        <v>1</v>
      </c>
      <c r="D592" s="39"/>
      <c r="E592" s="221" t="s">
        <v>417</v>
      </c>
      <c r="F592" s="404"/>
      <c r="G592" s="92">
        <v>1</v>
      </c>
    </row>
    <row r="593" spans="1:7" x14ac:dyDescent="0.25">
      <c r="A593" s="223">
        <v>44489</v>
      </c>
      <c r="B593" s="212" t="s">
        <v>319</v>
      </c>
      <c r="C593" s="212">
        <v>1</v>
      </c>
      <c r="D593" s="43"/>
      <c r="E593" s="212" t="s">
        <v>122</v>
      </c>
      <c r="F593" s="405"/>
      <c r="G593" s="225">
        <v>0.43</v>
      </c>
    </row>
    <row r="594" spans="1:7" x14ac:dyDescent="0.25">
      <c r="A594" s="223">
        <v>44489</v>
      </c>
      <c r="B594" s="212" t="s">
        <v>124</v>
      </c>
      <c r="C594" s="212">
        <v>1</v>
      </c>
      <c r="D594" s="43"/>
      <c r="E594" s="212" t="s">
        <v>122</v>
      </c>
      <c r="F594" s="405"/>
      <c r="G594" s="108">
        <v>1</v>
      </c>
    </row>
    <row r="595" spans="1:7" x14ac:dyDescent="0.25">
      <c r="A595" s="222">
        <v>44489</v>
      </c>
      <c r="B595" s="214" t="s">
        <v>416</v>
      </c>
      <c r="C595" s="214">
        <v>1</v>
      </c>
      <c r="D595" s="47"/>
      <c r="E595" s="214" t="s">
        <v>122</v>
      </c>
      <c r="F595" s="406"/>
      <c r="G595" s="114">
        <v>1</v>
      </c>
    </row>
    <row r="596" spans="1:7" x14ac:dyDescent="0.25">
      <c r="A596" s="210">
        <v>44490</v>
      </c>
      <c r="B596" s="211" t="s">
        <v>319</v>
      </c>
      <c r="C596" s="211">
        <v>1</v>
      </c>
      <c r="D596" s="39"/>
      <c r="E596" s="211" t="s">
        <v>122</v>
      </c>
      <c r="F596" s="404"/>
      <c r="G596" s="225">
        <v>0.43</v>
      </c>
    </row>
    <row r="597" spans="1:7" x14ac:dyDescent="0.25">
      <c r="A597" s="197">
        <v>44490</v>
      </c>
      <c r="B597" s="212" t="s">
        <v>416</v>
      </c>
      <c r="C597" s="212">
        <v>1</v>
      </c>
      <c r="D597" s="43"/>
      <c r="E597" s="212" t="s">
        <v>122</v>
      </c>
      <c r="F597" s="405"/>
      <c r="G597" s="108">
        <v>1</v>
      </c>
    </row>
    <row r="598" spans="1:7" x14ac:dyDescent="0.25">
      <c r="A598" s="197">
        <v>44490</v>
      </c>
      <c r="B598" s="212" t="s">
        <v>125</v>
      </c>
      <c r="C598" s="212">
        <v>1</v>
      </c>
      <c r="D598" s="43"/>
      <c r="E598" s="212" t="s">
        <v>130</v>
      </c>
      <c r="F598" s="405"/>
      <c r="G598" s="108">
        <v>1</v>
      </c>
    </row>
    <row r="599" spans="1:7" x14ac:dyDescent="0.25">
      <c r="A599" s="222">
        <v>44490</v>
      </c>
      <c r="B599" s="214" t="s">
        <v>418</v>
      </c>
      <c r="C599" s="214">
        <v>1</v>
      </c>
      <c r="D599" s="47"/>
      <c r="E599" s="214" t="s">
        <v>130</v>
      </c>
      <c r="F599" s="406"/>
      <c r="G599" s="114">
        <v>1</v>
      </c>
    </row>
    <row r="600" spans="1:7" x14ac:dyDescent="0.25">
      <c r="A600" s="210">
        <v>44491</v>
      </c>
      <c r="B600" s="211" t="s">
        <v>125</v>
      </c>
      <c r="C600" s="211">
        <v>1</v>
      </c>
      <c r="D600" s="39"/>
      <c r="E600" s="211" t="s">
        <v>417</v>
      </c>
      <c r="F600" s="404"/>
      <c r="G600" s="92">
        <v>1</v>
      </c>
    </row>
    <row r="601" spans="1:7" x14ac:dyDescent="0.25">
      <c r="A601" s="197">
        <v>44491</v>
      </c>
      <c r="B601" s="212" t="s">
        <v>452</v>
      </c>
      <c r="C601" s="212">
        <v>1</v>
      </c>
      <c r="D601" s="43"/>
      <c r="E601" s="212" t="s">
        <v>417</v>
      </c>
      <c r="F601" s="405"/>
      <c r="G601" s="108">
        <v>5.67</v>
      </c>
    </row>
    <row r="602" spans="1:7" x14ac:dyDescent="0.25">
      <c r="A602" s="197">
        <v>44491</v>
      </c>
      <c r="B602" s="212" t="s">
        <v>319</v>
      </c>
      <c r="C602" s="212">
        <v>1</v>
      </c>
      <c r="D602" s="43"/>
      <c r="E602" s="212" t="s">
        <v>122</v>
      </c>
      <c r="F602" s="405"/>
      <c r="G602" s="225">
        <v>0.43</v>
      </c>
    </row>
    <row r="603" spans="1:7" x14ac:dyDescent="0.25">
      <c r="A603" s="197">
        <v>44491</v>
      </c>
      <c r="B603" s="212" t="s">
        <v>124</v>
      </c>
      <c r="C603" s="212">
        <v>1</v>
      </c>
      <c r="D603" s="43"/>
      <c r="E603" s="212" t="s">
        <v>122</v>
      </c>
      <c r="F603" s="405"/>
      <c r="G603" s="108">
        <v>1</v>
      </c>
    </row>
    <row r="604" spans="1:7" x14ac:dyDescent="0.25">
      <c r="A604" s="197">
        <v>44491</v>
      </c>
      <c r="B604" s="212" t="s">
        <v>125</v>
      </c>
      <c r="C604" s="212">
        <v>1</v>
      </c>
      <c r="D604" s="43"/>
      <c r="E604" s="212" t="s">
        <v>306</v>
      </c>
      <c r="F604" s="405"/>
      <c r="G604" s="108">
        <v>1</v>
      </c>
    </row>
    <row r="605" spans="1:7" x14ac:dyDescent="0.25">
      <c r="A605" s="197">
        <v>44491</v>
      </c>
      <c r="B605" s="212" t="s">
        <v>186</v>
      </c>
      <c r="C605" s="212">
        <v>6</v>
      </c>
      <c r="D605" s="43"/>
      <c r="E605" s="212" t="s">
        <v>130</v>
      </c>
      <c r="F605" s="405"/>
      <c r="G605" s="108">
        <v>0.71</v>
      </c>
    </row>
    <row r="606" spans="1:7" x14ac:dyDescent="0.25">
      <c r="A606" s="222">
        <v>44491</v>
      </c>
      <c r="B606" s="214" t="s">
        <v>416</v>
      </c>
      <c r="C606" s="214">
        <v>1</v>
      </c>
      <c r="D606" s="47"/>
      <c r="E606" s="214" t="s">
        <v>130</v>
      </c>
      <c r="F606" s="406"/>
      <c r="G606" s="114">
        <v>1</v>
      </c>
    </row>
    <row r="607" spans="1:7" x14ac:dyDescent="0.25">
      <c r="A607" s="210">
        <v>44492</v>
      </c>
      <c r="B607" s="211" t="s">
        <v>319</v>
      </c>
      <c r="C607" s="211">
        <v>1</v>
      </c>
      <c r="D607" s="39"/>
      <c r="E607" s="211" t="s">
        <v>122</v>
      </c>
      <c r="F607" s="404"/>
      <c r="G607" s="225">
        <v>0.43</v>
      </c>
    </row>
    <row r="608" spans="1:7" x14ac:dyDescent="0.25">
      <c r="A608" s="197">
        <v>44492</v>
      </c>
      <c r="B608" s="212" t="s">
        <v>124</v>
      </c>
      <c r="C608" s="212">
        <v>1</v>
      </c>
      <c r="D608" s="43"/>
      <c r="E608" s="212" t="s">
        <v>122</v>
      </c>
      <c r="F608" s="405"/>
      <c r="G608" s="108">
        <v>1</v>
      </c>
    </row>
    <row r="609" spans="1:7" x14ac:dyDescent="0.25">
      <c r="A609" s="197">
        <v>44492</v>
      </c>
      <c r="B609" s="212" t="s">
        <v>302</v>
      </c>
      <c r="C609" s="212">
        <v>1</v>
      </c>
      <c r="D609" s="43"/>
      <c r="E609" s="212" t="s">
        <v>122</v>
      </c>
      <c r="F609" s="405"/>
      <c r="G609" s="108">
        <v>2.9</v>
      </c>
    </row>
    <row r="610" spans="1:7" x14ac:dyDescent="0.25">
      <c r="A610" s="222">
        <v>44492</v>
      </c>
      <c r="B610" s="214" t="s">
        <v>210</v>
      </c>
      <c r="C610" s="214">
        <v>1</v>
      </c>
      <c r="D610" s="47"/>
      <c r="E610" s="214" t="s">
        <v>306</v>
      </c>
      <c r="F610" s="406"/>
      <c r="G610" s="114">
        <v>0.45</v>
      </c>
    </row>
    <row r="611" spans="1:7" x14ac:dyDescent="0.25">
      <c r="A611" s="215">
        <v>44493</v>
      </c>
      <c r="B611" s="216" t="s">
        <v>186</v>
      </c>
      <c r="C611" s="216">
        <v>3</v>
      </c>
      <c r="D611" s="51"/>
      <c r="E611" s="216" t="s">
        <v>130</v>
      </c>
      <c r="F611" s="407"/>
      <c r="G611" s="93">
        <v>0.71</v>
      </c>
    </row>
    <row r="612" spans="1:7" x14ac:dyDescent="0.25">
      <c r="A612" s="210">
        <v>44494</v>
      </c>
      <c r="B612" s="211" t="s">
        <v>125</v>
      </c>
      <c r="C612" s="211">
        <v>1</v>
      </c>
      <c r="D612" s="39"/>
      <c r="E612" s="211" t="s">
        <v>417</v>
      </c>
      <c r="F612" s="404"/>
      <c r="G612" s="92">
        <v>1</v>
      </c>
    </row>
    <row r="613" spans="1:7" x14ac:dyDescent="0.25">
      <c r="A613" s="197">
        <v>44494</v>
      </c>
      <c r="B613" s="212" t="s">
        <v>277</v>
      </c>
      <c r="C613" s="212">
        <v>1</v>
      </c>
      <c r="D613" s="43"/>
      <c r="E613" s="212" t="s">
        <v>122</v>
      </c>
      <c r="F613" s="405"/>
      <c r="G613" s="108">
        <v>0.8</v>
      </c>
    </row>
    <row r="614" spans="1:7" x14ac:dyDescent="0.25">
      <c r="A614" s="197">
        <v>44494</v>
      </c>
      <c r="B614" s="212" t="s">
        <v>186</v>
      </c>
      <c r="C614" s="212">
        <v>2</v>
      </c>
      <c r="D614" s="43"/>
      <c r="E614" s="212" t="s">
        <v>122</v>
      </c>
      <c r="F614" s="405"/>
      <c r="G614" s="108">
        <v>0.71</v>
      </c>
    </row>
    <row r="615" spans="1:7" x14ac:dyDescent="0.25">
      <c r="A615" s="197">
        <v>44494</v>
      </c>
      <c r="B615" s="212" t="s">
        <v>319</v>
      </c>
      <c r="C615" s="212">
        <v>1</v>
      </c>
      <c r="D615" s="43"/>
      <c r="E615" s="212" t="s">
        <v>122</v>
      </c>
      <c r="F615" s="405"/>
      <c r="G615" s="225">
        <v>0.43</v>
      </c>
    </row>
    <row r="616" spans="1:7" x14ac:dyDescent="0.25">
      <c r="A616" s="222">
        <v>44494</v>
      </c>
      <c r="B616" s="214" t="s">
        <v>416</v>
      </c>
      <c r="C616" s="214">
        <v>1</v>
      </c>
      <c r="D616" s="47"/>
      <c r="E616" s="214" t="s">
        <v>122</v>
      </c>
      <c r="F616" s="406"/>
      <c r="G616" s="114">
        <v>1</v>
      </c>
    </row>
    <row r="617" spans="1:7" x14ac:dyDescent="0.25">
      <c r="A617" s="215">
        <v>44495</v>
      </c>
      <c r="B617" s="216" t="s">
        <v>125</v>
      </c>
      <c r="C617" s="216">
        <v>1</v>
      </c>
      <c r="D617" s="51"/>
      <c r="E617" s="216" t="s">
        <v>417</v>
      </c>
      <c r="F617" s="407"/>
      <c r="G617" s="93">
        <v>1</v>
      </c>
    </row>
    <row r="618" spans="1:7" x14ac:dyDescent="0.25">
      <c r="A618" s="210">
        <v>44496</v>
      </c>
      <c r="B618" s="211" t="s">
        <v>319</v>
      </c>
      <c r="C618" s="211">
        <v>1</v>
      </c>
      <c r="D618" s="39"/>
      <c r="E618" s="211" t="s">
        <v>417</v>
      </c>
      <c r="F618" s="404"/>
      <c r="G618" s="225">
        <v>0.43</v>
      </c>
    </row>
    <row r="619" spans="1:7" x14ac:dyDescent="0.25">
      <c r="A619" s="197">
        <v>44496</v>
      </c>
      <c r="B619" s="212" t="s">
        <v>416</v>
      </c>
      <c r="C619" s="212">
        <v>1</v>
      </c>
      <c r="D619" s="43"/>
      <c r="E619" s="212" t="s">
        <v>417</v>
      </c>
      <c r="F619" s="405"/>
      <c r="G619" s="108">
        <v>1</v>
      </c>
    </row>
    <row r="620" spans="1:7" x14ac:dyDescent="0.25">
      <c r="A620" s="197">
        <v>44496</v>
      </c>
      <c r="B620" s="212" t="s">
        <v>319</v>
      </c>
      <c r="C620" s="212">
        <v>1</v>
      </c>
      <c r="D620" s="43"/>
      <c r="E620" s="212" t="s">
        <v>122</v>
      </c>
      <c r="F620" s="405"/>
      <c r="G620" s="225">
        <v>0.43</v>
      </c>
    </row>
    <row r="621" spans="1:7" x14ac:dyDescent="0.25">
      <c r="A621" s="197">
        <v>44496</v>
      </c>
      <c r="B621" s="212" t="s">
        <v>416</v>
      </c>
      <c r="C621" s="212">
        <v>1</v>
      </c>
      <c r="D621" s="43"/>
      <c r="E621" s="212" t="s">
        <v>122</v>
      </c>
      <c r="F621" s="405"/>
      <c r="G621" s="108">
        <v>1</v>
      </c>
    </row>
    <row r="622" spans="1:7" x14ac:dyDescent="0.25">
      <c r="A622" s="213">
        <v>44496</v>
      </c>
      <c r="B622" s="214" t="s">
        <v>125</v>
      </c>
      <c r="C622" s="214">
        <v>1</v>
      </c>
      <c r="D622" s="47"/>
      <c r="E622" s="214" t="s">
        <v>306</v>
      </c>
      <c r="F622" s="406"/>
      <c r="G622" s="114">
        <v>1</v>
      </c>
    </row>
    <row r="623" spans="1:7" x14ac:dyDescent="0.25">
      <c r="A623" s="210">
        <v>44497</v>
      </c>
      <c r="B623" s="211" t="s">
        <v>319</v>
      </c>
      <c r="C623" s="211">
        <v>1</v>
      </c>
      <c r="D623" s="39"/>
      <c r="E623" s="211" t="s">
        <v>122</v>
      </c>
      <c r="F623" s="404"/>
      <c r="G623" s="225">
        <v>0.43</v>
      </c>
    </row>
    <row r="624" spans="1:7" x14ac:dyDescent="0.25">
      <c r="A624" s="197">
        <v>44497</v>
      </c>
      <c r="B624" s="212" t="s">
        <v>416</v>
      </c>
      <c r="C624" s="212">
        <v>1</v>
      </c>
      <c r="D624" s="43"/>
      <c r="E624" s="212" t="s">
        <v>122</v>
      </c>
      <c r="F624" s="405"/>
      <c r="G624" s="108">
        <v>1</v>
      </c>
    </row>
    <row r="625" spans="1:7" x14ac:dyDescent="0.25">
      <c r="A625" s="197">
        <v>44497</v>
      </c>
      <c r="B625" s="212" t="s">
        <v>219</v>
      </c>
      <c r="C625" s="212">
        <v>2</v>
      </c>
      <c r="D625" s="43"/>
      <c r="E625" s="212" t="s">
        <v>130</v>
      </c>
      <c r="F625" s="405"/>
      <c r="G625" s="108">
        <v>0.8</v>
      </c>
    </row>
    <row r="626" spans="1:7" x14ac:dyDescent="0.25">
      <c r="A626" s="197">
        <v>44497</v>
      </c>
      <c r="B626" s="212" t="s">
        <v>186</v>
      </c>
      <c r="C626" s="212">
        <v>2</v>
      </c>
      <c r="D626" s="43"/>
      <c r="E626" s="212" t="s">
        <v>130</v>
      </c>
      <c r="F626" s="405"/>
      <c r="G626" s="108">
        <v>0.71</v>
      </c>
    </row>
    <row r="627" spans="1:7" x14ac:dyDescent="0.25">
      <c r="A627" s="222">
        <v>44497</v>
      </c>
      <c r="B627" s="214" t="s">
        <v>416</v>
      </c>
      <c r="C627" s="214">
        <v>1</v>
      </c>
      <c r="D627" s="47"/>
      <c r="E627" s="214" t="s">
        <v>130</v>
      </c>
      <c r="F627" s="406"/>
      <c r="G627" s="114">
        <v>1</v>
      </c>
    </row>
    <row r="628" spans="1:7" x14ac:dyDescent="0.25">
      <c r="A628" s="210">
        <v>44498</v>
      </c>
      <c r="B628" s="211" t="s">
        <v>132</v>
      </c>
      <c r="C628" s="211">
        <v>1</v>
      </c>
      <c r="D628" s="39"/>
      <c r="E628" s="211" t="s">
        <v>417</v>
      </c>
      <c r="F628" s="404"/>
      <c r="G628" s="92">
        <v>1.8</v>
      </c>
    </row>
    <row r="629" spans="1:7" x14ac:dyDescent="0.25">
      <c r="A629" s="197">
        <v>44498</v>
      </c>
      <c r="B629" s="212" t="s">
        <v>210</v>
      </c>
      <c r="C629" s="212">
        <v>1</v>
      </c>
      <c r="D629" s="43"/>
      <c r="E629" s="212" t="s">
        <v>417</v>
      </c>
      <c r="F629" s="405"/>
      <c r="G629" s="108">
        <v>0.45</v>
      </c>
    </row>
    <row r="630" spans="1:7" x14ac:dyDescent="0.25">
      <c r="A630" s="197">
        <v>44498</v>
      </c>
      <c r="B630" s="212" t="s">
        <v>188</v>
      </c>
      <c r="C630" s="212">
        <v>2</v>
      </c>
      <c r="D630" s="43"/>
      <c r="E630" s="212" t="s">
        <v>417</v>
      </c>
      <c r="F630" s="405"/>
      <c r="G630" s="108">
        <v>1</v>
      </c>
    </row>
    <row r="631" spans="1:7" x14ac:dyDescent="0.25">
      <c r="A631" s="197">
        <v>44498</v>
      </c>
      <c r="B631" s="212" t="s">
        <v>128</v>
      </c>
      <c r="C631" s="212">
        <v>1</v>
      </c>
      <c r="D631" s="43"/>
      <c r="E631" s="212" t="s">
        <v>417</v>
      </c>
      <c r="F631" s="405"/>
      <c r="G631" s="108">
        <v>5.16</v>
      </c>
    </row>
    <row r="632" spans="1:7" x14ac:dyDescent="0.25">
      <c r="A632" s="197">
        <v>44498</v>
      </c>
      <c r="B632" s="212" t="s">
        <v>495</v>
      </c>
      <c r="C632" s="212">
        <v>1</v>
      </c>
      <c r="D632" s="43"/>
      <c r="E632" s="212" t="s">
        <v>417</v>
      </c>
      <c r="F632" s="405"/>
      <c r="G632" s="108">
        <v>9</v>
      </c>
    </row>
    <row r="633" spans="1:7" x14ac:dyDescent="0.25">
      <c r="A633" s="197">
        <v>44498</v>
      </c>
      <c r="B633" s="212" t="s">
        <v>137</v>
      </c>
      <c r="C633" s="212">
        <v>1</v>
      </c>
      <c r="D633" s="43"/>
      <c r="E633" s="212" t="s">
        <v>417</v>
      </c>
      <c r="F633" s="405"/>
      <c r="G633" s="108">
        <v>5.0999999999999996</v>
      </c>
    </row>
    <row r="634" spans="1:7" x14ac:dyDescent="0.25">
      <c r="A634" s="197">
        <v>44498</v>
      </c>
      <c r="B634" s="212" t="s">
        <v>319</v>
      </c>
      <c r="C634" s="212">
        <v>1</v>
      </c>
      <c r="D634" s="43"/>
      <c r="E634" s="212" t="s">
        <v>122</v>
      </c>
      <c r="F634" s="405"/>
      <c r="G634" s="225">
        <v>0.43</v>
      </c>
    </row>
    <row r="635" spans="1:7" x14ac:dyDescent="0.25">
      <c r="A635" s="197">
        <v>44498</v>
      </c>
      <c r="B635" s="212" t="s">
        <v>416</v>
      </c>
      <c r="C635" s="212">
        <v>1</v>
      </c>
      <c r="D635" s="43"/>
      <c r="E635" s="212" t="s">
        <v>122</v>
      </c>
      <c r="F635" s="405"/>
      <c r="G635" s="108">
        <v>1</v>
      </c>
    </row>
    <row r="636" spans="1:7" x14ac:dyDescent="0.25">
      <c r="A636" s="222">
        <v>44498</v>
      </c>
      <c r="B636" s="214" t="s">
        <v>125</v>
      </c>
      <c r="C636" s="214">
        <v>1</v>
      </c>
      <c r="D636" s="47"/>
      <c r="E636" s="214" t="s">
        <v>130</v>
      </c>
      <c r="F636" s="406"/>
      <c r="G636" s="114">
        <v>1</v>
      </c>
    </row>
    <row r="637" spans="1:7" x14ac:dyDescent="0.25">
      <c r="A637" s="210">
        <v>44499</v>
      </c>
      <c r="B637" s="211" t="s">
        <v>125</v>
      </c>
      <c r="C637" s="211">
        <v>1</v>
      </c>
      <c r="D637" s="39"/>
      <c r="E637" s="211" t="s">
        <v>417</v>
      </c>
      <c r="F637" s="404"/>
      <c r="G637" s="92">
        <v>1</v>
      </c>
    </row>
    <row r="638" spans="1:7" x14ac:dyDescent="0.25">
      <c r="A638" s="197">
        <v>44499</v>
      </c>
      <c r="B638" s="212" t="s">
        <v>319</v>
      </c>
      <c r="C638" s="212">
        <v>1</v>
      </c>
      <c r="D638" s="43"/>
      <c r="E638" s="212" t="s">
        <v>122</v>
      </c>
      <c r="F638" s="405"/>
      <c r="G638" s="225">
        <v>0.43</v>
      </c>
    </row>
    <row r="639" spans="1:7" x14ac:dyDescent="0.25">
      <c r="A639" s="197">
        <v>44499</v>
      </c>
      <c r="B639" s="212" t="s">
        <v>124</v>
      </c>
      <c r="C639" s="212">
        <v>1</v>
      </c>
      <c r="D639" s="43"/>
      <c r="E639" s="212" t="s">
        <v>122</v>
      </c>
      <c r="F639" s="405"/>
      <c r="G639" s="108">
        <v>1</v>
      </c>
    </row>
    <row r="640" spans="1:7" x14ac:dyDescent="0.25">
      <c r="A640" s="197">
        <v>44499</v>
      </c>
      <c r="B640" s="212" t="s">
        <v>496</v>
      </c>
      <c r="C640" s="212">
        <v>1</v>
      </c>
      <c r="D640" s="43"/>
      <c r="E640" s="212" t="s">
        <v>306</v>
      </c>
      <c r="F640" s="405"/>
      <c r="G640" s="108">
        <v>1.9</v>
      </c>
    </row>
    <row r="641" spans="1:16" x14ac:dyDescent="0.25">
      <c r="A641" s="197">
        <v>44499</v>
      </c>
      <c r="B641" s="212" t="s">
        <v>277</v>
      </c>
      <c r="C641" s="212">
        <v>4</v>
      </c>
      <c r="D641" s="43"/>
      <c r="E641" s="212" t="s">
        <v>130</v>
      </c>
      <c r="F641" s="405"/>
      <c r="G641" s="108">
        <v>0.8</v>
      </c>
    </row>
    <row r="642" spans="1:16" x14ac:dyDescent="0.25">
      <c r="A642" s="222">
        <v>44499</v>
      </c>
      <c r="B642" s="214" t="s">
        <v>186</v>
      </c>
      <c r="C642" s="214">
        <v>5</v>
      </c>
      <c r="D642" s="47"/>
      <c r="E642" s="214" t="s">
        <v>130</v>
      </c>
      <c r="F642" s="406"/>
      <c r="G642" s="114">
        <v>0.71</v>
      </c>
    </row>
    <row r="643" spans="1:16" x14ac:dyDescent="0.25">
      <c r="A643" s="215"/>
      <c r="B643" s="216"/>
      <c r="C643" s="216"/>
      <c r="D643" s="51"/>
      <c r="E643" s="230" t="s">
        <v>501</v>
      </c>
      <c r="F643" s="93" t="s">
        <v>501</v>
      </c>
      <c r="G643" s="408">
        <f>SUBTOTAL(109,G528:G642)</f>
        <v>134.79000000000008</v>
      </c>
    </row>
    <row r="644" spans="1:16" x14ac:dyDescent="0.25">
      <c r="A644" s="197"/>
      <c r="B644" s="189"/>
      <c r="C644" s="189"/>
      <c r="E644" s="189"/>
    </row>
    <row r="645" spans="1:16" s="13" customFormat="1" x14ac:dyDescent="0.25">
      <c r="A645" s="197"/>
      <c r="B645" s="189"/>
      <c r="C645" s="189"/>
      <c r="D645" s="15"/>
      <c r="E645" s="189"/>
      <c r="F645" s="87"/>
      <c r="G645" s="26"/>
    </row>
    <row r="646" spans="1:16" ht="36" x14ac:dyDescent="0.55000000000000004">
      <c r="A646" s="314"/>
      <c r="B646" s="315"/>
      <c r="C646" s="315" t="s">
        <v>642</v>
      </c>
      <c r="D646" s="317"/>
      <c r="E646" s="316"/>
      <c r="J646" s="13"/>
      <c r="K646" s="196" t="s">
        <v>523</v>
      </c>
      <c r="L646" s="196"/>
      <c r="M646" s="13"/>
      <c r="N646" s="175">
        <v>44470</v>
      </c>
      <c r="O646" s="13"/>
    </row>
    <row r="647" spans="1:16" x14ac:dyDescent="0.25">
      <c r="A647" s="155" t="s">
        <v>181</v>
      </c>
      <c r="B647" s="156" t="s">
        <v>180</v>
      </c>
      <c r="C647" s="156" t="s">
        <v>121</v>
      </c>
      <c r="D647" s="156" t="s">
        <v>187</v>
      </c>
      <c r="E647" s="156" t="s">
        <v>12</v>
      </c>
      <c r="F647" s="156" t="s">
        <v>6</v>
      </c>
      <c r="G647" s="157" t="s">
        <v>237</v>
      </c>
      <c r="J647" s="13"/>
      <c r="K647" s="13"/>
      <c r="L647" s="13"/>
      <c r="M647" s="13"/>
      <c r="N647" s="13"/>
      <c r="O647" s="13"/>
    </row>
    <row r="648" spans="1:16" x14ac:dyDescent="0.25">
      <c r="A648" s="210">
        <v>44501</v>
      </c>
      <c r="B648" s="231" t="s">
        <v>537</v>
      </c>
      <c r="C648" s="234">
        <v>1</v>
      </c>
      <c r="D648" s="162"/>
      <c r="E648" s="241" t="s">
        <v>122</v>
      </c>
      <c r="F648" s="409"/>
      <c r="G648" s="125">
        <v>0.43</v>
      </c>
      <c r="I648" s="13" t="s">
        <v>503</v>
      </c>
      <c r="J648" s="13" t="s">
        <v>504</v>
      </c>
      <c r="K648" s="13" t="s">
        <v>505</v>
      </c>
      <c r="L648" s="13" t="s">
        <v>506</v>
      </c>
      <c r="M648" s="13" t="s">
        <v>507</v>
      </c>
      <c r="N648" s="13" t="s">
        <v>6</v>
      </c>
      <c r="O648" s="13" t="s">
        <v>508</v>
      </c>
    </row>
    <row r="649" spans="1:16" x14ac:dyDescent="0.25">
      <c r="A649" s="198">
        <v>44501</v>
      </c>
      <c r="B649" s="134" t="s">
        <v>191</v>
      </c>
      <c r="C649" s="134">
        <v>1</v>
      </c>
      <c r="D649" s="158"/>
      <c r="E649" s="242" t="s">
        <v>122</v>
      </c>
      <c r="F649" s="124"/>
      <c r="G649" s="126">
        <v>1</v>
      </c>
      <c r="I649" s="195">
        <v>44501</v>
      </c>
      <c r="J649" t="s">
        <v>509</v>
      </c>
      <c r="K649" t="s">
        <v>511</v>
      </c>
      <c r="M649" t="s">
        <v>646</v>
      </c>
      <c r="N649" s="71">
        <v>4.38</v>
      </c>
      <c r="O649" s="118">
        <v>39</v>
      </c>
      <c r="P649" s="228"/>
    </row>
    <row r="650" spans="1:16" x14ac:dyDescent="0.25">
      <c r="A650" s="198">
        <v>44501</v>
      </c>
      <c r="B650" s="134" t="s">
        <v>538</v>
      </c>
      <c r="C650" s="134">
        <v>1</v>
      </c>
      <c r="D650" s="158"/>
      <c r="E650" s="242" t="s">
        <v>306</v>
      </c>
      <c r="F650" s="124"/>
      <c r="G650" s="126">
        <v>1.95</v>
      </c>
      <c r="I650" s="195">
        <v>44503</v>
      </c>
      <c r="J650" s="13" t="s">
        <v>509</v>
      </c>
      <c r="K650" t="s">
        <v>511</v>
      </c>
      <c r="M650" t="s">
        <v>647</v>
      </c>
      <c r="N650" s="71">
        <v>4.41</v>
      </c>
      <c r="O650" s="118">
        <v>85</v>
      </c>
    </row>
    <row r="651" spans="1:16" x14ac:dyDescent="0.25">
      <c r="A651" s="198">
        <v>44501</v>
      </c>
      <c r="B651" s="134" t="s">
        <v>124</v>
      </c>
      <c r="C651" s="134">
        <v>3</v>
      </c>
      <c r="D651" s="158"/>
      <c r="E651" s="242" t="s">
        <v>306</v>
      </c>
      <c r="F651" s="124"/>
      <c r="G651" s="126">
        <v>3</v>
      </c>
      <c r="I651" s="195">
        <v>44504</v>
      </c>
      <c r="J651" s="13" t="s">
        <v>509</v>
      </c>
      <c r="K651" t="s">
        <v>528</v>
      </c>
      <c r="M651" t="s">
        <v>648</v>
      </c>
      <c r="N651" s="71">
        <v>4.4400000000000004</v>
      </c>
      <c r="O651" s="118">
        <v>83</v>
      </c>
    </row>
    <row r="652" spans="1:16" x14ac:dyDescent="0.25">
      <c r="A652" s="198">
        <v>44501</v>
      </c>
      <c r="B652" s="134" t="s">
        <v>191</v>
      </c>
      <c r="C652" s="134">
        <v>1</v>
      </c>
      <c r="D652" s="158"/>
      <c r="E652" s="242" t="s">
        <v>306</v>
      </c>
      <c r="F652" s="124"/>
      <c r="G652" s="126">
        <v>1</v>
      </c>
      <c r="I652" s="195">
        <v>44505</v>
      </c>
      <c r="J652" t="s">
        <v>510</v>
      </c>
      <c r="K652" t="s">
        <v>645</v>
      </c>
      <c r="L652" s="325">
        <f>58890000/1000</f>
        <v>58890</v>
      </c>
      <c r="M652" t="s">
        <v>649</v>
      </c>
      <c r="N652" s="71">
        <v>4.42</v>
      </c>
      <c r="O652" s="118">
        <v>13.32</v>
      </c>
    </row>
    <row r="653" spans="1:16" x14ac:dyDescent="0.25">
      <c r="A653" s="198">
        <v>44501</v>
      </c>
      <c r="B653" s="134" t="s">
        <v>186</v>
      </c>
      <c r="C653" s="134">
        <v>1</v>
      </c>
      <c r="D653" s="158"/>
      <c r="E653" s="242" t="s">
        <v>130</v>
      </c>
      <c r="F653" s="124"/>
      <c r="G653" s="126">
        <v>0.8</v>
      </c>
      <c r="I653" s="195">
        <v>44511</v>
      </c>
      <c r="J653" s="13" t="s">
        <v>510</v>
      </c>
      <c r="K653" s="13" t="s">
        <v>528</v>
      </c>
      <c r="L653" s="325">
        <f>97150000/1000</f>
        <v>97150</v>
      </c>
      <c r="M653" s="13" t="s">
        <v>650</v>
      </c>
      <c r="N653" s="71">
        <v>4.4800000000000004</v>
      </c>
      <c r="O653" s="118">
        <v>21.69</v>
      </c>
    </row>
    <row r="654" spans="1:16" x14ac:dyDescent="0.25">
      <c r="A654" s="213">
        <v>44501</v>
      </c>
      <c r="B654" s="232" t="s">
        <v>191</v>
      </c>
      <c r="C654" s="232">
        <v>1</v>
      </c>
      <c r="D654" s="159"/>
      <c r="E654" s="243" t="s">
        <v>130</v>
      </c>
      <c r="F654" s="410"/>
      <c r="G654" s="126">
        <v>1</v>
      </c>
      <c r="I654" s="195">
        <v>44515</v>
      </c>
      <c r="J654" s="13" t="s">
        <v>510</v>
      </c>
      <c r="K654" s="13" t="s">
        <v>528</v>
      </c>
      <c r="L654" s="325">
        <f>48370000/1000</f>
        <v>48370</v>
      </c>
      <c r="M654" s="13" t="s">
        <v>651</v>
      </c>
      <c r="N654" s="71">
        <v>4.4800000000000004</v>
      </c>
      <c r="O654" s="118">
        <v>10.8</v>
      </c>
    </row>
    <row r="655" spans="1:16" x14ac:dyDescent="0.25">
      <c r="A655" s="199">
        <v>44502</v>
      </c>
      <c r="B655" s="231" t="s">
        <v>191</v>
      </c>
      <c r="C655" s="231">
        <v>1</v>
      </c>
      <c r="D655" s="162"/>
      <c r="E655" s="241" t="s">
        <v>129</v>
      </c>
      <c r="F655" s="409"/>
      <c r="G655" s="126">
        <v>1</v>
      </c>
      <c r="I655" s="195">
        <v>44515</v>
      </c>
      <c r="J655" s="13" t="s">
        <v>510</v>
      </c>
      <c r="K655" s="13" t="s">
        <v>528</v>
      </c>
      <c r="L655" s="325">
        <f>17300000/1000</f>
        <v>17300</v>
      </c>
      <c r="M655" s="13" t="s">
        <v>652</v>
      </c>
      <c r="N655" s="71">
        <v>4.4800000000000004</v>
      </c>
      <c r="O655" s="118">
        <v>3.86</v>
      </c>
    </row>
    <row r="656" spans="1:16" x14ac:dyDescent="0.25">
      <c r="A656" s="235">
        <v>44502</v>
      </c>
      <c r="B656" s="232" t="s">
        <v>191</v>
      </c>
      <c r="C656" s="232">
        <v>1</v>
      </c>
      <c r="D656" s="159"/>
      <c r="E656" s="243" t="s">
        <v>122</v>
      </c>
      <c r="F656" s="410"/>
      <c r="G656" s="126">
        <v>1</v>
      </c>
      <c r="I656" s="195">
        <v>44515</v>
      </c>
      <c r="J656" s="13" t="s">
        <v>510</v>
      </c>
      <c r="K656" s="13" t="s">
        <v>528</v>
      </c>
      <c r="L656" s="325">
        <f>530040000/1000</f>
        <v>530040</v>
      </c>
      <c r="M656" s="13" t="s">
        <v>653</v>
      </c>
      <c r="N656" s="71">
        <v>4.4800000000000004</v>
      </c>
      <c r="O656" s="118">
        <v>118.31</v>
      </c>
    </row>
    <row r="657" spans="1:15" x14ac:dyDescent="0.25">
      <c r="A657" s="199">
        <v>44503</v>
      </c>
      <c r="B657" s="231" t="s">
        <v>210</v>
      </c>
      <c r="C657" s="231">
        <v>2</v>
      </c>
      <c r="D657" s="162"/>
      <c r="E657" s="241" t="s">
        <v>539</v>
      </c>
      <c r="F657" s="409"/>
      <c r="G657" s="125">
        <f>0.45*2</f>
        <v>0.9</v>
      </c>
      <c r="I657" s="268">
        <v>44515</v>
      </c>
      <c r="J657" s="269" t="s">
        <v>510</v>
      </c>
      <c r="K657" s="269" t="s">
        <v>528</v>
      </c>
      <c r="L657" s="272">
        <v>311.5</v>
      </c>
      <c r="M657" s="269" t="s">
        <v>641</v>
      </c>
      <c r="N657" s="273">
        <v>4.45</v>
      </c>
      <c r="O657" s="270">
        <v>70</v>
      </c>
    </row>
    <row r="658" spans="1:15" x14ac:dyDescent="0.25">
      <c r="A658" s="233">
        <v>44503</v>
      </c>
      <c r="B658" s="134" t="s">
        <v>206</v>
      </c>
      <c r="C658" s="134">
        <v>1</v>
      </c>
      <c r="D658" s="158"/>
      <c r="E658" s="242" t="s">
        <v>539</v>
      </c>
      <c r="F658" s="124"/>
      <c r="G658" s="126">
        <v>4</v>
      </c>
      <c r="I658" s="268">
        <v>44515</v>
      </c>
      <c r="J658" s="269" t="s">
        <v>509</v>
      </c>
      <c r="K658" s="269" t="s">
        <v>524</v>
      </c>
      <c r="L658" s="272"/>
      <c r="M658" s="269" t="s">
        <v>641</v>
      </c>
      <c r="N658" s="273">
        <v>4.45</v>
      </c>
      <c r="O658" s="270">
        <v>320</v>
      </c>
    </row>
    <row r="659" spans="1:15" x14ac:dyDescent="0.25">
      <c r="A659" s="233">
        <v>44503</v>
      </c>
      <c r="B659" s="134" t="s">
        <v>124</v>
      </c>
      <c r="C659" s="134">
        <v>1</v>
      </c>
      <c r="D659" s="158"/>
      <c r="E659" s="242" t="s">
        <v>129</v>
      </c>
      <c r="F659" s="124"/>
      <c r="G659" s="126">
        <v>1</v>
      </c>
      <c r="I659" s="195">
        <v>44519</v>
      </c>
      <c r="J659" s="13" t="s">
        <v>509</v>
      </c>
      <c r="K659" s="13" t="s">
        <v>645</v>
      </c>
      <c r="L659" s="271"/>
      <c r="M659" s="13" t="s">
        <v>650</v>
      </c>
      <c r="N659" s="71">
        <v>4.59</v>
      </c>
      <c r="O659" s="118">
        <v>350</v>
      </c>
    </row>
    <row r="660" spans="1:15" x14ac:dyDescent="0.25">
      <c r="A660" s="233">
        <v>44503</v>
      </c>
      <c r="B660" s="134" t="s">
        <v>206</v>
      </c>
      <c r="C660" s="134">
        <v>1</v>
      </c>
      <c r="D660" s="158"/>
      <c r="E660" s="242" t="s">
        <v>129</v>
      </c>
      <c r="F660" s="124"/>
      <c r="G660" s="126">
        <v>4</v>
      </c>
      <c r="I660" s="195">
        <v>44519</v>
      </c>
      <c r="J660" s="13" t="s">
        <v>510</v>
      </c>
      <c r="K660" s="13" t="s">
        <v>645</v>
      </c>
      <c r="L660" s="325">
        <f>313600000/1000</f>
        <v>313600</v>
      </c>
      <c r="M660" s="13" t="s">
        <v>654</v>
      </c>
      <c r="N660" s="71">
        <v>4.59</v>
      </c>
      <c r="O660" s="118">
        <v>68.319999999999993</v>
      </c>
    </row>
    <row r="661" spans="1:15" x14ac:dyDescent="0.25">
      <c r="A661" s="233">
        <v>44503</v>
      </c>
      <c r="B661" s="143" t="s">
        <v>132</v>
      </c>
      <c r="C661" s="143">
        <v>2</v>
      </c>
      <c r="D661" s="158"/>
      <c r="E661" s="244" t="s">
        <v>130</v>
      </c>
      <c r="F661" s="124"/>
      <c r="G661" s="126">
        <f>1.8*2</f>
        <v>3.6</v>
      </c>
      <c r="I661" s="195">
        <v>44530</v>
      </c>
      <c r="J661" s="13" t="s">
        <v>510</v>
      </c>
      <c r="K661" s="13" t="s">
        <v>528</v>
      </c>
      <c r="L661" s="325">
        <f>45260000/1000</f>
        <v>45260</v>
      </c>
      <c r="M661" s="13" t="s">
        <v>655</v>
      </c>
      <c r="N661" s="71">
        <v>4.62</v>
      </c>
      <c r="O661" s="118">
        <v>9.8000000000000007</v>
      </c>
    </row>
    <row r="662" spans="1:15" x14ac:dyDescent="0.25">
      <c r="A662" s="236">
        <v>44503</v>
      </c>
      <c r="B662" s="232" t="s">
        <v>124</v>
      </c>
      <c r="C662" s="232">
        <v>3</v>
      </c>
      <c r="D662" s="159"/>
      <c r="E662" s="243" t="s">
        <v>130</v>
      </c>
      <c r="F662" s="410"/>
      <c r="G662" s="126">
        <v>3</v>
      </c>
      <c r="I662" s="195">
        <v>44530</v>
      </c>
      <c r="J662" s="13" t="s">
        <v>510</v>
      </c>
      <c r="K662" s="13" t="s">
        <v>528</v>
      </c>
      <c r="L662" s="325">
        <f>16500000/1000</f>
        <v>16500</v>
      </c>
      <c r="M662" s="13" t="s">
        <v>656</v>
      </c>
      <c r="N662" s="71">
        <v>4.62</v>
      </c>
      <c r="O662" s="118">
        <v>3.57</v>
      </c>
    </row>
    <row r="663" spans="1:15" x14ac:dyDescent="0.25">
      <c r="A663" s="199">
        <v>44504</v>
      </c>
      <c r="B663" s="231" t="s">
        <v>537</v>
      </c>
      <c r="C663" s="231">
        <v>2</v>
      </c>
      <c r="D663" s="162"/>
      <c r="E663" s="241" t="s">
        <v>122</v>
      </c>
      <c r="F663" s="409"/>
      <c r="G663" s="125">
        <f>0.43*2</f>
        <v>0.86</v>
      </c>
      <c r="I663" s="195">
        <v>44530</v>
      </c>
      <c r="J663" s="13" t="s">
        <v>510</v>
      </c>
      <c r="K663" s="13" t="s">
        <v>528</v>
      </c>
      <c r="L663" s="325">
        <f>463160000/1000</f>
        <v>463160</v>
      </c>
      <c r="M663" s="13" t="s">
        <v>657</v>
      </c>
      <c r="N663" s="71">
        <v>4.62</v>
      </c>
      <c r="O663" s="118">
        <v>100.25</v>
      </c>
    </row>
    <row r="664" spans="1:15" x14ac:dyDescent="0.25">
      <c r="A664" s="233">
        <v>44504</v>
      </c>
      <c r="B664" s="134" t="s">
        <v>191</v>
      </c>
      <c r="C664" s="134">
        <v>3</v>
      </c>
      <c r="D664" s="158"/>
      <c r="E664" s="242" t="s">
        <v>122</v>
      </c>
      <c r="F664" s="124"/>
      <c r="G664" s="126">
        <v>3</v>
      </c>
      <c r="I664" s="268">
        <v>44530</v>
      </c>
      <c r="J664" s="269" t="s">
        <v>510</v>
      </c>
      <c r="K664" s="269" t="s">
        <v>528</v>
      </c>
      <c r="L664" s="272">
        <v>229</v>
      </c>
      <c r="M664" s="269" t="s">
        <v>640</v>
      </c>
      <c r="N664" s="274">
        <v>4.62</v>
      </c>
      <c r="O664" s="270">
        <v>50</v>
      </c>
    </row>
    <row r="665" spans="1:15" x14ac:dyDescent="0.25">
      <c r="A665" s="233">
        <v>44504</v>
      </c>
      <c r="B665" s="134" t="s">
        <v>219</v>
      </c>
      <c r="C665" s="134">
        <v>7</v>
      </c>
      <c r="D665" s="158"/>
      <c r="E665" s="242" t="s">
        <v>130</v>
      </c>
      <c r="F665" s="124"/>
      <c r="G665" s="126">
        <f>0.8*7</f>
        <v>5.6000000000000005</v>
      </c>
      <c r="I665" s="268">
        <v>44530</v>
      </c>
      <c r="J665" s="269" t="s">
        <v>509</v>
      </c>
      <c r="K665" s="269" t="s">
        <v>524</v>
      </c>
      <c r="L665" s="269"/>
      <c r="M665" s="269" t="s">
        <v>640</v>
      </c>
      <c r="N665" s="274">
        <v>4.62</v>
      </c>
      <c r="O665" s="270">
        <v>340</v>
      </c>
    </row>
    <row r="666" spans="1:15" x14ac:dyDescent="0.25">
      <c r="A666" s="233">
        <v>44504</v>
      </c>
      <c r="B666" s="134" t="s">
        <v>132</v>
      </c>
      <c r="C666" s="134">
        <v>1</v>
      </c>
      <c r="D666" s="158"/>
      <c r="E666" s="242" t="s">
        <v>130</v>
      </c>
      <c r="F666" s="124"/>
      <c r="G666" s="126">
        <v>1.8</v>
      </c>
      <c r="I666" s="195">
        <v>44524</v>
      </c>
      <c r="J666" s="13" t="s">
        <v>509</v>
      </c>
      <c r="K666" s="13" t="s">
        <v>511</v>
      </c>
      <c r="L666" s="13"/>
      <c r="M666" s="13" t="s">
        <v>658</v>
      </c>
      <c r="N666" s="71"/>
      <c r="O666" s="118">
        <v>150</v>
      </c>
    </row>
    <row r="667" spans="1:15" x14ac:dyDescent="0.25">
      <c r="A667" s="233">
        <v>44504</v>
      </c>
      <c r="B667" s="134" t="s">
        <v>124</v>
      </c>
      <c r="C667" s="134">
        <v>2</v>
      </c>
      <c r="D667" s="158"/>
      <c r="E667" s="242" t="s">
        <v>130</v>
      </c>
      <c r="F667" s="124"/>
      <c r="G667" s="126">
        <v>2</v>
      </c>
      <c r="I667" s="195"/>
      <c r="J667" s="13"/>
      <c r="K667" s="13"/>
      <c r="L667" s="13"/>
      <c r="M667" s="1" t="s">
        <v>501</v>
      </c>
      <c r="N667" s="185"/>
      <c r="O667" s="120">
        <f>SUBTOTAL(109,Tabla1421[MONTO EN DIVISA])</f>
        <v>1836.9199999999998</v>
      </c>
    </row>
    <row r="668" spans="1:15" x14ac:dyDescent="0.25">
      <c r="A668" s="236">
        <v>44504</v>
      </c>
      <c r="B668" s="232" t="s">
        <v>125</v>
      </c>
      <c r="C668" s="232">
        <v>1</v>
      </c>
      <c r="D668" s="159"/>
      <c r="E668" s="243" t="s">
        <v>130</v>
      </c>
      <c r="F668" s="410"/>
      <c r="G668" s="127">
        <v>1</v>
      </c>
      <c r="I668" s="195"/>
      <c r="J668" s="13"/>
      <c r="K668" s="13"/>
      <c r="L668" s="13"/>
      <c r="M668" s="13"/>
      <c r="N668" s="71"/>
      <c r="O668" s="118"/>
    </row>
    <row r="669" spans="1:15" x14ac:dyDescent="0.25">
      <c r="A669" s="247">
        <v>44505</v>
      </c>
      <c r="B669" s="248" t="s">
        <v>186</v>
      </c>
      <c r="C669" s="248">
        <v>4</v>
      </c>
      <c r="D669" s="162"/>
      <c r="E669" s="251" t="s">
        <v>130</v>
      </c>
      <c r="F669" s="409"/>
      <c r="G669" s="125">
        <f>0.8*4</f>
        <v>3.2</v>
      </c>
      <c r="I669" s="195"/>
      <c r="J669" s="13"/>
      <c r="K669" s="13"/>
      <c r="L669" s="13"/>
      <c r="M669" s="13"/>
      <c r="N669" s="71"/>
      <c r="O669" s="118"/>
    </row>
    <row r="670" spans="1:15" x14ac:dyDescent="0.25">
      <c r="A670" s="249">
        <v>44505</v>
      </c>
      <c r="B670" s="250" t="s">
        <v>195</v>
      </c>
      <c r="C670" s="250">
        <v>2</v>
      </c>
      <c r="D670" s="159"/>
      <c r="E670" s="252" t="s">
        <v>130</v>
      </c>
      <c r="F670" s="410"/>
      <c r="G670" s="127">
        <f>0.68*2</f>
        <v>1.36</v>
      </c>
      <c r="I670" s="195"/>
      <c r="J670" s="13"/>
      <c r="K670" s="13"/>
      <c r="L670" s="13"/>
      <c r="M670" s="13"/>
      <c r="N670" s="71"/>
      <c r="O670" s="118"/>
    </row>
    <row r="671" spans="1:15" x14ac:dyDescent="0.25">
      <c r="A671" s="253">
        <v>44506</v>
      </c>
      <c r="B671" s="254" t="s">
        <v>125</v>
      </c>
      <c r="C671" s="254">
        <v>1</v>
      </c>
      <c r="D671" s="162"/>
      <c r="E671" s="256" t="s">
        <v>129</v>
      </c>
      <c r="F671" s="409"/>
      <c r="G671" s="127">
        <v>1</v>
      </c>
      <c r="I671" s="195"/>
      <c r="J671" s="13"/>
      <c r="K671" s="13"/>
      <c r="L671" s="13"/>
      <c r="M671" s="13"/>
      <c r="N671" s="71"/>
      <c r="O671" s="118"/>
    </row>
    <row r="672" spans="1:15" x14ac:dyDescent="0.25">
      <c r="A672" s="245">
        <v>44506</v>
      </c>
      <c r="B672" s="238" t="s">
        <v>537</v>
      </c>
      <c r="C672" s="238">
        <v>1</v>
      </c>
      <c r="D672" s="158"/>
      <c r="E672" s="257" t="s">
        <v>122</v>
      </c>
      <c r="F672" s="124"/>
      <c r="G672" s="125">
        <v>0.43</v>
      </c>
      <c r="I672" s="195"/>
      <c r="J672" s="13"/>
      <c r="K672" s="13"/>
      <c r="L672" s="13"/>
      <c r="M672" s="13"/>
      <c r="N672" s="71"/>
      <c r="O672" s="118"/>
    </row>
    <row r="673" spans="1:18" x14ac:dyDescent="0.25">
      <c r="A673" s="245">
        <v>44506</v>
      </c>
      <c r="B673" s="238" t="s">
        <v>124</v>
      </c>
      <c r="C673" s="238">
        <v>1</v>
      </c>
      <c r="D673" s="158"/>
      <c r="E673" s="257" t="s">
        <v>122</v>
      </c>
      <c r="F673" s="124"/>
      <c r="G673" s="126">
        <v>1</v>
      </c>
      <c r="I673" s="195"/>
      <c r="J673" s="13"/>
      <c r="K673" s="13"/>
      <c r="L673" s="13"/>
      <c r="M673" s="13"/>
      <c r="N673" s="71"/>
      <c r="O673" s="118"/>
    </row>
    <row r="674" spans="1:18" x14ac:dyDescent="0.25">
      <c r="A674" s="245">
        <v>44506</v>
      </c>
      <c r="B674" s="238" t="s">
        <v>191</v>
      </c>
      <c r="C674" s="238">
        <v>1</v>
      </c>
      <c r="D674" s="158"/>
      <c r="E674" s="257" t="s">
        <v>122</v>
      </c>
      <c r="F674" s="124"/>
      <c r="G674" s="126">
        <v>1</v>
      </c>
      <c r="I674" s="195"/>
      <c r="J674" s="13"/>
      <c r="K674" s="13"/>
      <c r="L674" s="13"/>
      <c r="M674" s="13"/>
      <c r="N674" s="71"/>
      <c r="O674" s="118"/>
    </row>
    <row r="675" spans="1:18" x14ac:dyDescent="0.25">
      <c r="A675" s="255">
        <v>44506</v>
      </c>
      <c r="B675" s="250" t="s">
        <v>186</v>
      </c>
      <c r="C675" s="250">
        <v>5</v>
      </c>
      <c r="D675" s="159"/>
      <c r="E675" s="252" t="s">
        <v>130</v>
      </c>
      <c r="F675" s="410"/>
      <c r="G675" s="127">
        <f>0.8*5</f>
        <v>4</v>
      </c>
    </row>
    <row r="676" spans="1:18" x14ac:dyDescent="0.25">
      <c r="A676" s="253">
        <v>44507</v>
      </c>
      <c r="B676" s="254" t="s">
        <v>124</v>
      </c>
      <c r="C676" s="254">
        <v>1</v>
      </c>
      <c r="D676" s="162"/>
      <c r="E676" s="256" t="s">
        <v>129</v>
      </c>
      <c r="F676" s="409"/>
      <c r="G676" s="126">
        <v>1</v>
      </c>
    </row>
    <row r="677" spans="1:18" x14ac:dyDescent="0.25">
      <c r="A677" s="245">
        <v>44507</v>
      </c>
      <c r="B677" s="238" t="s">
        <v>193</v>
      </c>
      <c r="C677" s="238">
        <v>0</v>
      </c>
      <c r="D677" s="158"/>
      <c r="E677" s="257" t="s">
        <v>129</v>
      </c>
      <c r="F677" s="124"/>
      <c r="G677" s="126">
        <v>3</v>
      </c>
    </row>
    <row r="678" spans="1:18" x14ac:dyDescent="0.25">
      <c r="A678" s="245">
        <v>44507</v>
      </c>
      <c r="B678" s="238" t="s">
        <v>186</v>
      </c>
      <c r="C678" s="238">
        <v>2</v>
      </c>
      <c r="D678" s="158"/>
      <c r="E678" s="257" t="s">
        <v>130</v>
      </c>
      <c r="F678" s="124"/>
      <c r="G678" s="126">
        <f>0.8*2</f>
        <v>1.6</v>
      </c>
    </row>
    <row r="679" spans="1:18" x14ac:dyDescent="0.25">
      <c r="A679" s="255">
        <v>44507</v>
      </c>
      <c r="B679" s="250" t="s">
        <v>125</v>
      </c>
      <c r="C679" s="250">
        <v>1</v>
      </c>
      <c r="D679" s="159"/>
      <c r="E679" s="252" t="s">
        <v>130</v>
      </c>
      <c r="F679" s="410"/>
      <c r="G679" s="127">
        <v>1</v>
      </c>
    </row>
    <row r="680" spans="1:18" x14ac:dyDescent="0.25">
      <c r="A680" s="253">
        <v>44508</v>
      </c>
      <c r="B680" s="254" t="s">
        <v>537</v>
      </c>
      <c r="C680" s="254">
        <v>1</v>
      </c>
      <c r="D680" s="162"/>
      <c r="E680" s="256" t="s">
        <v>122</v>
      </c>
      <c r="F680" s="409"/>
      <c r="G680" s="125">
        <v>0.43</v>
      </c>
      <c r="L680" s="268">
        <v>44515</v>
      </c>
      <c r="M680" s="269" t="s">
        <v>510</v>
      </c>
      <c r="N680" s="269" t="s">
        <v>528</v>
      </c>
      <c r="O680" s="272">
        <v>311.5</v>
      </c>
      <c r="P680" s="269" t="s">
        <v>641</v>
      </c>
      <c r="Q680" s="273">
        <v>4.45</v>
      </c>
      <c r="R680" s="270">
        <v>70</v>
      </c>
    </row>
    <row r="681" spans="1:18" x14ac:dyDescent="0.25">
      <c r="A681" s="245">
        <v>44508</v>
      </c>
      <c r="B681" s="238" t="s">
        <v>124</v>
      </c>
      <c r="C681" s="238">
        <v>1</v>
      </c>
      <c r="D681" s="158"/>
      <c r="E681" s="257" t="s">
        <v>122</v>
      </c>
      <c r="F681" s="124"/>
      <c r="G681" s="126">
        <v>1</v>
      </c>
      <c r="L681" s="268">
        <v>44515</v>
      </c>
      <c r="M681" s="269" t="s">
        <v>509</v>
      </c>
      <c r="N681" s="269" t="s">
        <v>524</v>
      </c>
      <c r="O681" s="269"/>
      <c r="P681" s="269" t="s">
        <v>641</v>
      </c>
      <c r="Q681" s="273">
        <v>4.45</v>
      </c>
      <c r="R681" s="270">
        <v>320</v>
      </c>
    </row>
    <row r="682" spans="1:18" x14ac:dyDescent="0.25">
      <c r="A682" s="245">
        <v>44508</v>
      </c>
      <c r="B682" s="238" t="s">
        <v>193</v>
      </c>
      <c r="C682" s="238">
        <v>1</v>
      </c>
      <c r="D682" s="158"/>
      <c r="E682" s="257" t="s">
        <v>122</v>
      </c>
      <c r="F682" s="124"/>
      <c r="G682" s="126">
        <v>3</v>
      </c>
    </row>
    <row r="683" spans="1:18" x14ac:dyDescent="0.25">
      <c r="A683" s="237">
        <v>44508</v>
      </c>
      <c r="B683" s="238" t="s">
        <v>219</v>
      </c>
      <c r="C683" s="238">
        <v>6</v>
      </c>
      <c r="D683" s="158"/>
      <c r="E683" s="257" t="s">
        <v>130</v>
      </c>
      <c r="F683" s="124"/>
      <c r="G683" s="126">
        <f>0.8*6</f>
        <v>4.8000000000000007</v>
      </c>
    </row>
    <row r="684" spans="1:18" x14ac:dyDescent="0.25">
      <c r="A684" s="237">
        <v>44508</v>
      </c>
      <c r="B684" s="238" t="s">
        <v>125</v>
      </c>
      <c r="C684" s="238">
        <v>2</v>
      </c>
      <c r="D684" s="158"/>
      <c r="E684" s="257" t="s">
        <v>130</v>
      </c>
      <c r="F684" s="124"/>
      <c r="G684" s="127">
        <v>2</v>
      </c>
    </row>
    <row r="685" spans="1:18" x14ac:dyDescent="0.25">
      <c r="A685" s="249">
        <v>44508</v>
      </c>
      <c r="B685" s="250" t="s">
        <v>549</v>
      </c>
      <c r="C685" s="250">
        <v>1</v>
      </c>
      <c r="D685" s="159"/>
      <c r="E685" s="252" t="s">
        <v>130</v>
      </c>
      <c r="F685" s="410"/>
      <c r="G685" s="127">
        <v>2.9</v>
      </c>
    </row>
    <row r="686" spans="1:18" x14ac:dyDescent="0.25">
      <c r="A686" s="264">
        <v>44509</v>
      </c>
      <c r="B686" s="265" t="s">
        <v>125</v>
      </c>
      <c r="C686" s="265">
        <v>1</v>
      </c>
      <c r="D686" s="172"/>
      <c r="E686" s="318" t="s">
        <v>129</v>
      </c>
      <c r="F686" s="411"/>
      <c r="G686" s="127">
        <v>1</v>
      </c>
    </row>
    <row r="687" spans="1:18" x14ac:dyDescent="0.25">
      <c r="A687" s="253">
        <v>44510</v>
      </c>
      <c r="B687" s="254" t="s">
        <v>219</v>
      </c>
      <c r="C687" s="254">
        <v>6</v>
      </c>
      <c r="D687" s="162"/>
      <c r="E687" s="256" t="s">
        <v>130</v>
      </c>
      <c r="F687" s="409"/>
      <c r="G687" s="125">
        <f>0.8*6</f>
        <v>4.8000000000000007</v>
      </c>
    </row>
    <row r="688" spans="1:18" x14ac:dyDescent="0.25">
      <c r="A688" s="245">
        <v>44510</v>
      </c>
      <c r="B688" s="238" t="s">
        <v>124</v>
      </c>
      <c r="C688" s="238">
        <v>0</v>
      </c>
      <c r="D688" s="158"/>
      <c r="E688" s="257" t="s">
        <v>130</v>
      </c>
      <c r="F688" s="124"/>
      <c r="G688" s="126">
        <v>1</v>
      </c>
    </row>
    <row r="689" spans="1:7" x14ac:dyDescent="0.25">
      <c r="A689" s="255">
        <v>44510</v>
      </c>
      <c r="B689" s="250" t="s">
        <v>191</v>
      </c>
      <c r="C689" s="250">
        <v>1</v>
      </c>
      <c r="D689" s="159"/>
      <c r="E689" s="252" t="s">
        <v>130</v>
      </c>
      <c r="F689" s="410"/>
      <c r="G689" s="126">
        <v>1</v>
      </c>
    </row>
    <row r="690" spans="1:7" x14ac:dyDescent="0.25">
      <c r="A690" s="253">
        <v>44511</v>
      </c>
      <c r="B690" s="254" t="s">
        <v>537</v>
      </c>
      <c r="C690" s="254">
        <v>1</v>
      </c>
      <c r="D690" s="162"/>
      <c r="E690" s="256" t="s">
        <v>122</v>
      </c>
      <c r="F690" s="409"/>
      <c r="G690" s="125">
        <v>0.43</v>
      </c>
    </row>
    <row r="691" spans="1:7" x14ac:dyDescent="0.25">
      <c r="A691" s="237">
        <v>44511</v>
      </c>
      <c r="B691" s="238" t="s">
        <v>191</v>
      </c>
      <c r="C691" s="238">
        <v>1</v>
      </c>
      <c r="D691" s="158"/>
      <c r="E691" s="257" t="s">
        <v>122</v>
      </c>
      <c r="F691" s="124"/>
      <c r="G691" s="126">
        <v>1</v>
      </c>
    </row>
    <row r="692" spans="1:7" x14ac:dyDescent="0.25">
      <c r="A692" s="237">
        <v>44511</v>
      </c>
      <c r="B692" s="238" t="s">
        <v>550</v>
      </c>
      <c r="C692" s="238">
        <v>1</v>
      </c>
      <c r="D692" s="158"/>
      <c r="E692" s="257" t="s">
        <v>551</v>
      </c>
      <c r="F692" s="124"/>
      <c r="G692" s="126">
        <v>0.4</v>
      </c>
    </row>
    <row r="693" spans="1:7" x14ac:dyDescent="0.25">
      <c r="A693" s="237">
        <v>44511</v>
      </c>
      <c r="B693" s="238" t="s">
        <v>124</v>
      </c>
      <c r="C693" s="238">
        <v>1</v>
      </c>
      <c r="D693" s="158"/>
      <c r="E693" s="257" t="s">
        <v>551</v>
      </c>
      <c r="F693" s="124"/>
      <c r="G693" s="126">
        <v>1</v>
      </c>
    </row>
    <row r="694" spans="1:7" x14ac:dyDescent="0.25">
      <c r="A694" s="249">
        <v>44511</v>
      </c>
      <c r="B694" s="250" t="s">
        <v>124</v>
      </c>
      <c r="C694" s="250">
        <v>3</v>
      </c>
      <c r="D694" s="159"/>
      <c r="E694" s="252" t="s">
        <v>130</v>
      </c>
      <c r="F694" s="410"/>
      <c r="G694" s="126">
        <v>3</v>
      </c>
    </row>
    <row r="695" spans="1:7" x14ac:dyDescent="0.25">
      <c r="A695" s="253">
        <v>44512</v>
      </c>
      <c r="B695" s="254" t="s">
        <v>277</v>
      </c>
      <c r="C695" s="254">
        <v>1</v>
      </c>
      <c r="D695" s="162"/>
      <c r="E695" s="256" t="s">
        <v>130</v>
      </c>
      <c r="F695" s="409"/>
      <c r="G695" s="125">
        <v>0.8</v>
      </c>
    </row>
    <row r="696" spans="1:7" x14ac:dyDescent="0.25">
      <c r="A696" s="249">
        <v>44512</v>
      </c>
      <c r="B696" s="250" t="s">
        <v>186</v>
      </c>
      <c r="C696" s="250">
        <v>6</v>
      </c>
      <c r="D696" s="159"/>
      <c r="E696" s="252" t="s">
        <v>130</v>
      </c>
      <c r="F696" s="410"/>
      <c r="G696" s="127">
        <f>0.8*6</f>
        <v>4.8000000000000007</v>
      </c>
    </row>
    <row r="697" spans="1:7" x14ac:dyDescent="0.25">
      <c r="A697" s="253">
        <v>44513</v>
      </c>
      <c r="B697" s="254" t="s">
        <v>552</v>
      </c>
      <c r="C697" s="254">
        <v>1</v>
      </c>
      <c r="D697" s="162"/>
      <c r="E697" s="256" t="s">
        <v>539</v>
      </c>
      <c r="F697" s="409"/>
      <c r="G697" s="125">
        <v>2.17</v>
      </c>
    </row>
    <row r="698" spans="1:7" x14ac:dyDescent="0.25">
      <c r="A698" s="237">
        <v>44513</v>
      </c>
      <c r="B698" s="238" t="s">
        <v>134</v>
      </c>
      <c r="C698" s="238">
        <v>2</v>
      </c>
      <c r="D698" s="158"/>
      <c r="E698" s="257" t="s">
        <v>539</v>
      </c>
      <c r="F698" s="124"/>
      <c r="G698" s="126">
        <f>0.56*2</f>
        <v>1.1200000000000001</v>
      </c>
    </row>
    <row r="699" spans="1:7" x14ac:dyDescent="0.25">
      <c r="A699" s="237">
        <v>44513</v>
      </c>
      <c r="B699" s="238" t="s">
        <v>125</v>
      </c>
      <c r="C699" s="238">
        <v>1</v>
      </c>
      <c r="D699" s="158"/>
      <c r="E699" s="257" t="s">
        <v>306</v>
      </c>
      <c r="F699" s="124"/>
      <c r="G699" s="127">
        <v>1</v>
      </c>
    </row>
    <row r="700" spans="1:7" x14ac:dyDescent="0.25">
      <c r="A700" s="239">
        <v>44513</v>
      </c>
      <c r="B700" s="240" t="s">
        <v>210</v>
      </c>
      <c r="C700" s="240">
        <v>1</v>
      </c>
      <c r="D700" s="158"/>
      <c r="E700" s="319" t="s">
        <v>551</v>
      </c>
      <c r="F700" s="124"/>
      <c r="G700" s="126">
        <v>0.45</v>
      </c>
    </row>
    <row r="701" spans="1:7" x14ac:dyDescent="0.25">
      <c r="A701" s="239">
        <v>44513</v>
      </c>
      <c r="B701" s="238" t="s">
        <v>186</v>
      </c>
      <c r="C701" s="238">
        <v>2</v>
      </c>
      <c r="D701" s="158"/>
      <c r="E701" s="257" t="s">
        <v>130</v>
      </c>
      <c r="F701" s="124"/>
      <c r="G701" s="126">
        <f>0.8*2</f>
        <v>1.6</v>
      </c>
    </row>
    <row r="702" spans="1:7" x14ac:dyDescent="0.25">
      <c r="A702" s="249">
        <v>44513</v>
      </c>
      <c r="B702" s="250" t="s">
        <v>125</v>
      </c>
      <c r="C702" s="250">
        <v>1</v>
      </c>
      <c r="D702" s="159"/>
      <c r="E702" s="252" t="s">
        <v>130</v>
      </c>
      <c r="F702" s="410"/>
      <c r="G702" s="127">
        <v>1</v>
      </c>
    </row>
    <row r="703" spans="1:7" x14ac:dyDescent="0.25">
      <c r="A703" s="264">
        <v>44514</v>
      </c>
      <c r="B703" s="265" t="s">
        <v>302</v>
      </c>
      <c r="C703" s="265">
        <v>2</v>
      </c>
      <c r="D703" s="172"/>
      <c r="E703" s="318" t="s">
        <v>129</v>
      </c>
      <c r="F703" s="411"/>
      <c r="G703" s="128">
        <f>2.9*2</f>
        <v>5.8</v>
      </c>
    </row>
    <row r="704" spans="1:7" x14ac:dyDescent="0.25">
      <c r="A704" s="253">
        <v>44515</v>
      </c>
      <c r="B704" s="254" t="s">
        <v>212</v>
      </c>
      <c r="C704" s="254">
        <v>1</v>
      </c>
      <c r="D704" s="162"/>
      <c r="E704" s="256" t="s">
        <v>122</v>
      </c>
      <c r="F704" s="409"/>
      <c r="G704" s="125">
        <v>0.77</v>
      </c>
    </row>
    <row r="705" spans="1:7" x14ac:dyDescent="0.25">
      <c r="A705" s="237">
        <v>44515</v>
      </c>
      <c r="B705" s="238" t="s">
        <v>186</v>
      </c>
      <c r="C705" s="238">
        <v>2</v>
      </c>
      <c r="D705" s="158"/>
      <c r="E705" s="257" t="s">
        <v>130</v>
      </c>
      <c r="F705" s="124"/>
      <c r="G705" s="126">
        <f>0.8*2</f>
        <v>1.6</v>
      </c>
    </row>
    <row r="706" spans="1:7" x14ac:dyDescent="0.25">
      <c r="A706" s="249">
        <v>44515</v>
      </c>
      <c r="B706" s="250" t="s">
        <v>191</v>
      </c>
      <c r="C706" s="250">
        <v>1</v>
      </c>
      <c r="D706" s="159"/>
      <c r="E706" s="252" t="s">
        <v>130</v>
      </c>
      <c r="F706" s="410"/>
      <c r="G706" s="126">
        <v>1</v>
      </c>
    </row>
    <row r="707" spans="1:7" x14ac:dyDescent="0.25">
      <c r="A707" s="264">
        <v>44516</v>
      </c>
      <c r="B707" s="265" t="s">
        <v>125</v>
      </c>
      <c r="C707" s="265">
        <v>1</v>
      </c>
      <c r="D707" s="172"/>
      <c r="E707" s="318" t="s">
        <v>306</v>
      </c>
      <c r="F707" s="411"/>
      <c r="G707" s="127">
        <v>1</v>
      </c>
    </row>
    <row r="708" spans="1:7" x14ac:dyDescent="0.25">
      <c r="A708" s="253">
        <v>44518</v>
      </c>
      <c r="B708" s="254" t="s">
        <v>537</v>
      </c>
      <c r="C708" s="254">
        <v>1</v>
      </c>
      <c r="D708" s="162"/>
      <c r="E708" s="256" t="s">
        <v>122</v>
      </c>
      <c r="F708" s="409"/>
      <c r="G708" s="125">
        <v>0.43</v>
      </c>
    </row>
    <row r="709" spans="1:7" x14ac:dyDescent="0.25">
      <c r="A709" s="245">
        <v>44518</v>
      </c>
      <c r="B709" s="238" t="s">
        <v>212</v>
      </c>
      <c r="C709" s="238">
        <v>1</v>
      </c>
      <c r="D709" s="158"/>
      <c r="E709" s="257" t="s">
        <v>122</v>
      </c>
      <c r="F709" s="124"/>
      <c r="G709" s="125">
        <v>0.77</v>
      </c>
    </row>
    <row r="710" spans="1:7" x14ac:dyDescent="0.25">
      <c r="A710" s="245">
        <v>44518</v>
      </c>
      <c r="B710" s="238" t="s">
        <v>191</v>
      </c>
      <c r="C710" s="238">
        <v>2</v>
      </c>
      <c r="D710" s="158"/>
      <c r="E710" s="257" t="s">
        <v>122</v>
      </c>
      <c r="F710" s="124"/>
      <c r="G710" s="126">
        <v>2</v>
      </c>
    </row>
    <row r="711" spans="1:7" x14ac:dyDescent="0.25">
      <c r="A711" s="245">
        <v>44518</v>
      </c>
      <c r="B711" s="238" t="s">
        <v>124</v>
      </c>
      <c r="C711" s="238">
        <v>2</v>
      </c>
      <c r="D711" s="158"/>
      <c r="E711" s="257" t="s">
        <v>130</v>
      </c>
      <c r="F711" s="124"/>
      <c r="G711" s="126">
        <v>2</v>
      </c>
    </row>
    <row r="712" spans="1:7" x14ac:dyDescent="0.25">
      <c r="A712" s="255">
        <v>44518</v>
      </c>
      <c r="B712" s="250" t="s">
        <v>191</v>
      </c>
      <c r="C712" s="250">
        <v>1</v>
      </c>
      <c r="D712" s="159"/>
      <c r="E712" s="252" t="s">
        <v>130</v>
      </c>
      <c r="F712" s="410"/>
      <c r="G712" s="126">
        <v>1</v>
      </c>
    </row>
    <row r="713" spans="1:7" x14ac:dyDescent="0.25">
      <c r="A713" s="253">
        <v>44519</v>
      </c>
      <c r="B713" s="254" t="s">
        <v>537</v>
      </c>
      <c r="C713" s="254">
        <v>1</v>
      </c>
      <c r="D713" s="162"/>
      <c r="E713" s="256" t="s">
        <v>122</v>
      </c>
      <c r="F713" s="409"/>
      <c r="G713" s="125">
        <v>0.43</v>
      </c>
    </row>
    <row r="714" spans="1:7" x14ac:dyDescent="0.25">
      <c r="A714" s="245">
        <v>44519</v>
      </c>
      <c r="B714" s="238" t="s">
        <v>191</v>
      </c>
      <c r="C714" s="238">
        <v>1</v>
      </c>
      <c r="D714" s="158"/>
      <c r="E714" s="257" t="s">
        <v>122</v>
      </c>
      <c r="F714" s="124"/>
      <c r="G714" s="126">
        <v>1</v>
      </c>
    </row>
    <row r="715" spans="1:7" x14ac:dyDescent="0.25">
      <c r="A715" s="245">
        <v>44519</v>
      </c>
      <c r="B715" s="238" t="s">
        <v>219</v>
      </c>
      <c r="C715" s="238">
        <v>2</v>
      </c>
      <c r="D715" s="158"/>
      <c r="E715" s="257" t="s">
        <v>130</v>
      </c>
      <c r="F715" s="124"/>
      <c r="G715" s="126">
        <f>0.8*2</f>
        <v>1.6</v>
      </c>
    </row>
    <row r="716" spans="1:7" x14ac:dyDescent="0.25">
      <c r="A716" s="255">
        <v>44519</v>
      </c>
      <c r="B716" s="250" t="s">
        <v>124</v>
      </c>
      <c r="C716" s="250">
        <v>0</v>
      </c>
      <c r="D716" s="159"/>
      <c r="E716" s="252" t="s">
        <v>130</v>
      </c>
      <c r="F716" s="410"/>
      <c r="G716" s="126">
        <v>1</v>
      </c>
    </row>
    <row r="717" spans="1:7" x14ac:dyDescent="0.25">
      <c r="A717" s="253">
        <v>44520</v>
      </c>
      <c r="B717" s="254" t="s">
        <v>210</v>
      </c>
      <c r="C717" s="254">
        <v>1</v>
      </c>
      <c r="D717" s="162"/>
      <c r="E717" s="256" t="s">
        <v>306</v>
      </c>
      <c r="F717" s="409"/>
      <c r="G717" s="125">
        <v>0.45</v>
      </c>
    </row>
    <row r="718" spans="1:7" x14ac:dyDescent="0.25">
      <c r="A718" s="255">
        <v>44520</v>
      </c>
      <c r="B718" s="250" t="s">
        <v>133</v>
      </c>
      <c r="C718" s="250">
        <v>2</v>
      </c>
      <c r="D718" s="159"/>
      <c r="E718" s="252" t="s">
        <v>306</v>
      </c>
      <c r="F718" s="410"/>
      <c r="G718" s="127">
        <f>2.9*2</f>
        <v>5.8</v>
      </c>
    </row>
    <row r="719" spans="1:7" x14ac:dyDescent="0.25">
      <c r="A719" s="264">
        <v>44521</v>
      </c>
      <c r="B719" s="265" t="s">
        <v>537</v>
      </c>
      <c r="C719" s="265">
        <v>1</v>
      </c>
      <c r="D719" s="172"/>
      <c r="E719" s="318" t="s">
        <v>122</v>
      </c>
      <c r="F719" s="411"/>
      <c r="G719" s="125">
        <v>0.43</v>
      </c>
    </row>
    <row r="720" spans="1:7" x14ac:dyDescent="0.25">
      <c r="A720" s="253">
        <v>44522</v>
      </c>
      <c r="B720" s="254" t="s">
        <v>125</v>
      </c>
      <c r="C720" s="254">
        <v>1</v>
      </c>
      <c r="D720" s="162"/>
      <c r="E720" s="256" t="s">
        <v>129</v>
      </c>
      <c r="F720" s="409"/>
      <c r="G720" s="127">
        <v>1</v>
      </c>
    </row>
    <row r="721" spans="1:7" x14ac:dyDescent="0.25">
      <c r="A721" s="245">
        <v>44522</v>
      </c>
      <c r="B721" s="238" t="s">
        <v>212</v>
      </c>
      <c r="C721" s="238">
        <v>1</v>
      </c>
      <c r="D721" s="158"/>
      <c r="E721" s="257" t="s">
        <v>122</v>
      </c>
      <c r="F721" s="124"/>
      <c r="G721" s="125">
        <v>0.77</v>
      </c>
    </row>
    <row r="722" spans="1:7" x14ac:dyDescent="0.25">
      <c r="A722" s="245">
        <v>44522</v>
      </c>
      <c r="B722" s="238" t="s">
        <v>191</v>
      </c>
      <c r="C722" s="238">
        <v>1</v>
      </c>
      <c r="D722" s="158"/>
      <c r="E722" s="257" t="s">
        <v>122</v>
      </c>
      <c r="F722" s="124"/>
      <c r="G722" s="126">
        <v>1</v>
      </c>
    </row>
    <row r="723" spans="1:7" x14ac:dyDescent="0.25">
      <c r="A723" s="245">
        <v>44522</v>
      </c>
      <c r="B723" s="238" t="s">
        <v>414</v>
      </c>
      <c r="C723" s="238">
        <v>2</v>
      </c>
      <c r="D723" s="158"/>
      <c r="E723" s="257" t="s">
        <v>130</v>
      </c>
      <c r="F723" s="124"/>
      <c r="G723" s="126">
        <f>0.4*2</f>
        <v>0.8</v>
      </c>
    </row>
    <row r="724" spans="1:7" x14ac:dyDescent="0.25">
      <c r="A724" s="245">
        <v>44522</v>
      </c>
      <c r="B724" s="238" t="s">
        <v>186</v>
      </c>
      <c r="C724" s="238">
        <v>2</v>
      </c>
      <c r="D724" s="158"/>
      <c r="E724" s="257" t="s">
        <v>130</v>
      </c>
      <c r="F724" s="124"/>
      <c r="G724" s="126">
        <f>0.8*2</f>
        <v>1.6</v>
      </c>
    </row>
    <row r="725" spans="1:7" x14ac:dyDescent="0.25">
      <c r="A725" s="255">
        <v>44522</v>
      </c>
      <c r="B725" s="250" t="s">
        <v>195</v>
      </c>
      <c r="C725" s="250">
        <v>1</v>
      </c>
      <c r="D725" s="159"/>
      <c r="E725" s="252" t="s">
        <v>130</v>
      </c>
      <c r="F725" s="410"/>
      <c r="G725" s="127">
        <v>0.68</v>
      </c>
    </row>
    <row r="726" spans="1:7" x14ac:dyDescent="0.25">
      <c r="A726" s="264">
        <v>44523</v>
      </c>
      <c r="B726" s="265" t="s">
        <v>125</v>
      </c>
      <c r="C726" s="265">
        <v>1</v>
      </c>
      <c r="D726" s="172"/>
      <c r="E726" s="318" t="s">
        <v>130</v>
      </c>
      <c r="F726" s="411"/>
      <c r="G726" s="127">
        <v>1</v>
      </c>
    </row>
    <row r="727" spans="1:7" x14ac:dyDescent="0.25">
      <c r="A727" s="253">
        <v>44524</v>
      </c>
      <c r="B727" s="254" t="s">
        <v>124</v>
      </c>
      <c r="C727" s="254">
        <v>1</v>
      </c>
      <c r="D727" s="162"/>
      <c r="E727" s="256" t="s">
        <v>129</v>
      </c>
      <c r="F727" s="409"/>
      <c r="G727" s="126">
        <v>1</v>
      </c>
    </row>
    <row r="728" spans="1:7" x14ac:dyDescent="0.25">
      <c r="A728" s="255">
        <v>44524</v>
      </c>
      <c r="B728" s="250" t="s">
        <v>418</v>
      </c>
      <c r="C728" s="250">
        <v>1</v>
      </c>
      <c r="D728" s="159"/>
      <c r="E728" s="252" t="s">
        <v>306</v>
      </c>
      <c r="F728" s="410"/>
      <c r="G728" s="127">
        <v>1</v>
      </c>
    </row>
    <row r="729" spans="1:7" x14ac:dyDescent="0.25">
      <c r="A729" s="253">
        <v>44525</v>
      </c>
      <c r="B729" s="254" t="s">
        <v>537</v>
      </c>
      <c r="C729" s="254">
        <v>2</v>
      </c>
      <c r="D729" s="162"/>
      <c r="E729" s="256" t="s">
        <v>122</v>
      </c>
      <c r="F729" s="409"/>
      <c r="G729" s="125">
        <f>0.43*2</f>
        <v>0.86</v>
      </c>
    </row>
    <row r="730" spans="1:7" x14ac:dyDescent="0.25">
      <c r="A730" s="245">
        <v>44525</v>
      </c>
      <c r="B730" s="238" t="s">
        <v>124</v>
      </c>
      <c r="C730" s="238">
        <v>1</v>
      </c>
      <c r="D730" s="158"/>
      <c r="E730" s="320" t="s">
        <v>122</v>
      </c>
      <c r="F730" s="124"/>
      <c r="G730" s="126">
        <v>1</v>
      </c>
    </row>
    <row r="731" spans="1:7" x14ac:dyDescent="0.25">
      <c r="A731" s="245">
        <v>44525</v>
      </c>
      <c r="B731" s="238" t="s">
        <v>206</v>
      </c>
      <c r="C731" s="238">
        <v>1</v>
      </c>
      <c r="D731" s="158"/>
      <c r="E731" s="320" t="s">
        <v>122</v>
      </c>
      <c r="F731" s="124"/>
      <c r="G731" s="126">
        <v>4</v>
      </c>
    </row>
    <row r="732" spans="1:7" x14ac:dyDescent="0.25">
      <c r="A732" s="245">
        <v>44525</v>
      </c>
      <c r="B732" s="238" t="s">
        <v>186</v>
      </c>
      <c r="C732" s="238">
        <v>1</v>
      </c>
      <c r="D732" s="158"/>
      <c r="E732" s="257" t="s">
        <v>130</v>
      </c>
      <c r="F732" s="124"/>
      <c r="G732" s="126">
        <v>0.8</v>
      </c>
    </row>
    <row r="733" spans="1:7" x14ac:dyDescent="0.25">
      <c r="A733" s="245">
        <v>44525</v>
      </c>
      <c r="B733" s="238" t="s">
        <v>215</v>
      </c>
      <c r="C733" s="238">
        <v>1</v>
      </c>
      <c r="D733" s="158"/>
      <c r="E733" s="257" t="s">
        <v>130</v>
      </c>
      <c r="F733" s="124"/>
      <c r="G733" s="126">
        <v>0.48</v>
      </c>
    </row>
    <row r="734" spans="1:7" x14ac:dyDescent="0.25">
      <c r="A734" s="255">
        <v>44525</v>
      </c>
      <c r="B734" s="250" t="s">
        <v>301</v>
      </c>
      <c r="C734" s="250">
        <v>1</v>
      </c>
      <c r="D734" s="159"/>
      <c r="E734" s="252" t="s">
        <v>130</v>
      </c>
      <c r="F734" s="410"/>
      <c r="G734" s="127">
        <v>0.48</v>
      </c>
    </row>
    <row r="735" spans="1:7" x14ac:dyDescent="0.25">
      <c r="A735" s="253">
        <v>44526</v>
      </c>
      <c r="B735" s="254" t="s">
        <v>132</v>
      </c>
      <c r="C735" s="254">
        <v>1</v>
      </c>
      <c r="D735" s="162"/>
      <c r="E735" s="256" t="s">
        <v>306</v>
      </c>
      <c r="F735" s="409"/>
      <c r="G735" s="125">
        <v>1.8</v>
      </c>
    </row>
    <row r="736" spans="1:7" x14ac:dyDescent="0.25">
      <c r="A736" s="245">
        <v>44526</v>
      </c>
      <c r="B736" s="238" t="s">
        <v>212</v>
      </c>
      <c r="C736" s="238">
        <v>2</v>
      </c>
      <c r="D736" s="158"/>
      <c r="E736" s="320" t="s">
        <v>306</v>
      </c>
      <c r="F736" s="124"/>
      <c r="G736" s="125">
        <f>0.77*2</f>
        <v>1.54</v>
      </c>
    </row>
    <row r="737" spans="1:7" x14ac:dyDescent="0.25">
      <c r="A737" s="245">
        <v>44526</v>
      </c>
      <c r="B737" s="238" t="s">
        <v>553</v>
      </c>
      <c r="C737" s="238">
        <v>1</v>
      </c>
      <c r="D737" s="158"/>
      <c r="E737" s="320" t="s">
        <v>306</v>
      </c>
      <c r="F737" s="124"/>
      <c r="G737" s="125">
        <v>0.8</v>
      </c>
    </row>
    <row r="738" spans="1:7" x14ac:dyDescent="0.25">
      <c r="A738" s="245">
        <v>44526</v>
      </c>
      <c r="B738" s="238" t="s">
        <v>124</v>
      </c>
      <c r="C738" s="238">
        <v>8</v>
      </c>
      <c r="D738" s="158"/>
      <c r="E738" s="320" t="s">
        <v>306</v>
      </c>
      <c r="F738" s="124"/>
      <c r="G738" s="126">
        <v>8</v>
      </c>
    </row>
    <row r="739" spans="1:7" x14ac:dyDescent="0.25">
      <c r="A739" s="245">
        <v>44526</v>
      </c>
      <c r="B739" s="238" t="s">
        <v>186</v>
      </c>
      <c r="C739" s="238">
        <v>2</v>
      </c>
      <c r="D739" s="158"/>
      <c r="E739" s="257" t="s">
        <v>130</v>
      </c>
      <c r="F739" s="124"/>
      <c r="G739" s="126">
        <f>0.8*2</f>
        <v>1.6</v>
      </c>
    </row>
    <row r="740" spans="1:7" x14ac:dyDescent="0.25">
      <c r="A740" s="245">
        <v>44526</v>
      </c>
      <c r="B740" s="238" t="s">
        <v>212</v>
      </c>
      <c r="C740" s="238">
        <v>2</v>
      </c>
      <c r="D740" s="158"/>
      <c r="E740" s="257" t="s">
        <v>130</v>
      </c>
      <c r="F740" s="124"/>
      <c r="G740" s="126">
        <f>0.77*2</f>
        <v>1.54</v>
      </c>
    </row>
    <row r="741" spans="1:7" x14ac:dyDescent="0.25">
      <c r="A741" s="255">
        <v>44526</v>
      </c>
      <c r="B741" s="250" t="s">
        <v>124</v>
      </c>
      <c r="C741" s="250">
        <v>3</v>
      </c>
      <c r="D741" s="159"/>
      <c r="E741" s="252" t="s">
        <v>130</v>
      </c>
      <c r="F741" s="410"/>
      <c r="G741" s="126">
        <v>3</v>
      </c>
    </row>
    <row r="742" spans="1:7" x14ac:dyDescent="0.25">
      <c r="A742" s="264">
        <v>44527</v>
      </c>
      <c r="B742" s="265" t="s">
        <v>131</v>
      </c>
      <c r="C742" s="265">
        <v>1</v>
      </c>
      <c r="D742" s="172"/>
      <c r="E742" s="318" t="s">
        <v>306</v>
      </c>
      <c r="F742" s="411"/>
      <c r="G742" s="128">
        <v>1.55</v>
      </c>
    </row>
    <row r="743" spans="1:7" x14ac:dyDescent="0.25">
      <c r="A743" s="253">
        <v>44528</v>
      </c>
      <c r="B743" s="254" t="s">
        <v>302</v>
      </c>
      <c r="C743" s="254">
        <v>1</v>
      </c>
      <c r="D743" s="162"/>
      <c r="E743" s="256" t="s">
        <v>129</v>
      </c>
      <c r="F743" s="409"/>
      <c r="G743" s="125">
        <v>2.9</v>
      </c>
    </row>
    <row r="744" spans="1:7" x14ac:dyDescent="0.25">
      <c r="A744" s="245">
        <v>44528</v>
      </c>
      <c r="B744" s="238" t="s">
        <v>191</v>
      </c>
      <c r="C744" s="238">
        <v>1</v>
      </c>
      <c r="D744" s="158"/>
      <c r="E744" s="257" t="s">
        <v>129</v>
      </c>
      <c r="F744" s="124"/>
      <c r="G744" s="126">
        <v>1</v>
      </c>
    </row>
    <row r="745" spans="1:7" x14ac:dyDescent="0.25">
      <c r="A745" s="255">
        <v>44528</v>
      </c>
      <c r="B745" s="250" t="s">
        <v>191</v>
      </c>
      <c r="C745" s="250">
        <v>1</v>
      </c>
      <c r="D745" s="159"/>
      <c r="E745" s="252" t="s">
        <v>130</v>
      </c>
      <c r="F745" s="410"/>
      <c r="G745" s="126">
        <v>1</v>
      </c>
    </row>
    <row r="746" spans="1:7" x14ac:dyDescent="0.25">
      <c r="A746" s="253">
        <v>44529</v>
      </c>
      <c r="B746" s="254" t="s">
        <v>219</v>
      </c>
      <c r="C746" s="254">
        <v>1</v>
      </c>
      <c r="D746" s="162"/>
      <c r="E746" s="256" t="s">
        <v>122</v>
      </c>
      <c r="F746" s="409"/>
      <c r="G746" s="125">
        <v>0.8</v>
      </c>
    </row>
    <row r="747" spans="1:7" x14ac:dyDescent="0.25">
      <c r="A747" s="245">
        <v>44529</v>
      </c>
      <c r="B747" s="238" t="s">
        <v>537</v>
      </c>
      <c r="C747" s="238">
        <v>1</v>
      </c>
      <c r="D747" s="158"/>
      <c r="E747" s="257" t="s">
        <v>122</v>
      </c>
      <c r="F747" s="124"/>
      <c r="G747" s="125">
        <v>0.43</v>
      </c>
    </row>
    <row r="748" spans="1:7" x14ac:dyDescent="0.25">
      <c r="A748" s="267">
        <v>44529</v>
      </c>
      <c r="B748" s="240" t="s">
        <v>191</v>
      </c>
      <c r="C748" s="240">
        <v>1</v>
      </c>
      <c r="D748" s="158"/>
      <c r="E748" s="319" t="s">
        <v>122</v>
      </c>
      <c r="F748" s="124"/>
      <c r="G748" s="126">
        <v>1</v>
      </c>
    </row>
    <row r="749" spans="1:7" x14ac:dyDescent="0.25">
      <c r="A749" s="253">
        <v>44530</v>
      </c>
      <c r="B749" s="254" t="s">
        <v>125</v>
      </c>
      <c r="C749" s="254">
        <v>1</v>
      </c>
      <c r="D749" s="162"/>
      <c r="E749" s="256" t="s">
        <v>129</v>
      </c>
      <c r="F749" s="409"/>
      <c r="G749" s="125">
        <v>1</v>
      </c>
    </row>
    <row r="750" spans="1:7" x14ac:dyDescent="0.25">
      <c r="A750" s="237">
        <v>44530</v>
      </c>
      <c r="B750" s="238" t="s">
        <v>212</v>
      </c>
      <c r="C750" s="238">
        <v>1</v>
      </c>
      <c r="D750" s="158"/>
      <c r="E750" s="257" t="s">
        <v>122</v>
      </c>
      <c r="F750" s="124"/>
      <c r="G750" s="126">
        <v>0.77</v>
      </c>
    </row>
    <row r="751" spans="1:7" x14ac:dyDescent="0.25">
      <c r="A751" s="237">
        <v>44530</v>
      </c>
      <c r="B751" s="238" t="s">
        <v>191</v>
      </c>
      <c r="C751" s="238">
        <v>1</v>
      </c>
      <c r="D751" s="158"/>
      <c r="E751" s="257" t="s">
        <v>122</v>
      </c>
      <c r="F751" s="124"/>
      <c r="G751" s="126">
        <v>1</v>
      </c>
    </row>
    <row r="752" spans="1:7" x14ac:dyDescent="0.25">
      <c r="A752" s="249">
        <v>44530</v>
      </c>
      <c r="B752" s="250" t="s">
        <v>124</v>
      </c>
      <c r="C752" s="250">
        <v>3</v>
      </c>
      <c r="D752" s="159"/>
      <c r="E752" s="252" t="s">
        <v>130</v>
      </c>
      <c r="F752" s="410"/>
      <c r="G752" s="127">
        <v>3</v>
      </c>
    </row>
    <row r="753" spans="1:15" x14ac:dyDescent="0.25">
      <c r="A753" s="239"/>
      <c r="B753" s="240"/>
      <c r="C753" s="240"/>
      <c r="D753" s="158"/>
      <c r="E753" s="252" t="s">
        <v>501</v>
      </c>
      <c r="F753" s="124"/>
      <c r="G753" s="93">
        <f>SUBTOTAL(109,G648:G752)</f>
        <v>177.51000000000008</v>
      </c>
    </row>
    <row r="754" spans="1:15" x14ac:dyDescent="0.25">
      <c r="A754" s="237"/>
      <c r="B754" s="238"/>
      <c r="C754" s="238"/>
      <c r="D754" s="158"/>
      <c r="E754" s="246"/>
      <c r="F754" s="124"/>
      <c r="G754" s="43"/>
    </row>
    <row r="755" spans="1:15" s="13" customFormat="1" ht="45.75" x14ac:dyDescent="0.65">
      <c r="A755" s="237"/>
      <c r="B755" s="363"/>
      <c r="C755" s="364" t="s">
        <v>664</v>
      </c>
      <c r="D755" s="158"/>
      <c r="E755" s="246"/>
      <c r="F755" s="124"/>
      <c r="G755" s="43"/>
      <c r="K755" s="196" t="s">
        <v>523</v>
      </c>
    </row>
    <row r="756" spans="1:15" x14ac:dyDescent="0.25">
      <c r="A756" s="237"/>
      <c r="B756" s="238"/>
      <c r="C756" s="238"/>
      <c r="D756" s="158"/>
      <c r="E756" s="238"/>
      <c r="F756" s="124"/>
      <c r="G756" s="43"/>
    </row>
    <row r="757" spans="1:15" x14ac:dyDescent="0.25">
      <c r="A757" s="176" t="s">
        <v>181</v>
      </c>
      <c r="B757" s="177" t="s">
        <v>180</v>
      </c>
      <c r="C757" s="177" t="s">
        <v>121</v>
      </c>
      <c r="D757" s="177" t="s">
        <v>187</v>
      </c>
      <c r="E757" s="177" t="s">
        <v>12</v>
      </c>
      <c r="F757" s="177" t="s">
        <v>6</v>
      </c>
      <c r="G757" s="178" t="s">
        <v>237</v>
      </c>
      <c r="I757" s="259" t="s">
        <v>503</v>
      </c>
      <c r="J757" s="259" t="s">
        <v>504</v>
      </c>
      <c r="K757" s="259" t="s">
        <v>505</v>
      </c>
      <c r="L757" s="259" t="s">
        <v>506</v>
      </c>
      <c r="M757" s="259" t="s">
        <v>507</v>
      </c>
      <c r="N757" s="259" t="s">
        <v>6</v>
      </c>
      <c r="O757" s="259" t="s">
        <v>508</v>
      </c>
    </row>
    <row r="758" spans="1:15" x14ac:dyDescent="0.25">
      <c r="A758" s="148">
        <v>44531</v>
      </c>
      <c r="B758" s="149" t="s">
        <v>124</v>
      </c>
      <c r="C758" s="149">
        <v>1</v>
      </c>
      <c r="D758" s="149"/>
      <c r="E758" s="326" t="s">
        <v>129</v>
      </c>
      <c r="F758" s="412"/>
      <c r="G758" s="152">
        <v>1.2</v>
      </c>
      <c r="I758" s="365">
        <v>44536</v>
      </c>
      <c r="J758" s="366" t="s">
        <v>509</v>
      </c>
      <c r="K758" s="366" t="s">
        <v>511</v>
      </c>
      <c r="L758" s="368">
        <v>11</v>
      </c>
      <c r="M758" s="366" t="s">
        <v>665</v>
      </c>
      <c r="N758" s="367">
        <v>4.6500000000000004</v>
      </c>
      <c r="O758" s="368">
        <v>11</v>
      </c>
    </row>
    <row r="759" spans="1:15" x14ac:dyDescent="0.25">
      <c r="A759" s="329">
        <v>44531</v>
      </c>
      <c r="B759" s="232" t="s">
        <v>125</v>
      </c>
      <c r="C759" s="232">
        <v>3</v>
      </c>
      <c r="D759" s="232"/>
      <c r="E759" s="243" t="s">
        <v>129</v>
      </c>
      <c r="F759" s="413"/>
      <c r="G759" s="394">
        <v>1</v>
      </c>
      <c r="I759" s="365">
        <v>44540</v>
      </c>
      <c r="J759" s="366" t="s">
        <v>509</v>
      </c>
      <c r="K759" s="366" t="s">
        <v>511</v>
      </c>
      <c r="L759" s="368">
        <v>45</v>
      </c>
      <c r="M759" s="366" t="s">
        <v>666</v>
      </c>
      <c r="N759" s="367">
        <v>4.6399999999999997</v>
      </c>
      <c r="O759" s="368">
        <v>45</v>
      </c>
    </row>
    <row r="760" spans="1:15" x14ac:dyDescent="0.25">
      <c r="A760" s="336">
        <v>44532</v>
      </c>
      <c r="B760" s="337" t="s">
        <v>186</v>
      </c>
      <c r="C760" s="337">
        <v>3</v>
      </c>
      <c r="D760" s="337"/>
      <c r="E760" s="338" t="s">
        <v>299</v>
      </c>
      <c r="F760" s="414"/>
      <c r="G760" s="415">
        <f>0.8*3</f>
        <v>2.4000000000000004</v>
      </c>
      <c r="I760" s="365">
        <v>44544</v>
      </c>
      <c r="J760" s="366" t="s">
        <v>509</v>
      </c>
      <c r="K760" s="375" t="s">
        <v>511</v>
      </c>
      <c r="L760" s="368">
        <v>240</v>
      </c>
      <c r="M760" s="366" t="s">
        <v>781</v>
      </c>
      <c r="N760" s="367">
        <v>4.6399999999999997</v>
      </c>
      <c r="O760" s="368">
        <v>240</v>
      </c>
    </row>
    <row r="761" spans="1:15" x14ac:dyDescent="0.25">
      <c r="A761" s="334">
        <v>44532</v>
      </c>
      <c r="B761" s="238" t="s">
        <v>124</v>
      </c>
      <c r="C761" s="238">
        <v>1</v>
      </c>
      <c r="D761" s="158"/>
      <c r="E761" s="335" t="s">
        <v>299</v>
      </c>
      <c r="F761" s="124"/>
      <c r="G761" s="126">
        <v>1.2</v>
      </c>
      <c r="I761" s="369">
        <v>44545</v>
      </c>
      <c r="J761" s="370" t="s">
        <v>510</v>
      </c>
      <c r="K761" s="375" t="s">
        <v>528</v>
      </c>
      <c r="L761" s="371">
        <f>57590/1000</f>
        <v>57.59</v>
      </c>
      <c r="M761" s="370" t="s">
        <v>782</v>
      </c>
      <c r="N761" s="372">
        <v>4.6399999999999997</v>
      </c>
      <c r="O761" s="373">
        <v>12.41</v>
      </c>
    </row>
    <row r="762" spans="1:15" x14ac:dyDescent="0.25">
      <c r="A762" s="334">
        <v>44532</v>
      </c>
      <c r="B762" s="238" t="s">
        <v>191</v>
      </c>
      <c r="C762" s="238">
        <v>1</v>
      </c>
      <c r="D762" s="158"/>
      <c r="E762" s="335" t="s">
        <v>299</v>
      </c>
      <c r="F762" s="124"/>
      <c r="G762" s="126">
        <v>1.2</v>
      </c>
      <c r="I762" s="374">
        <v>44545</v>
      </c>
      <c r="J762" s="375" t="s">
        <v>510</v>
      </c>
      <c r="K762" s="375" t="s">
        <v>528</v>
      </c>
      <c r="L762" s="376">
        <f>21100/1000</f>
        <v>21.1</v>
      </c>
      <c r="M762" s="375" t="s">
        <v>783</v>
      </c>
      <c r="N762" s="372">
        <v>4.6399999999999997</v>
      </c>
      <c r="O762" s="378">
        <f>Tabla21[[#This Row],[MONTO (ENTREGA)]]/Tabla21[[#This Row],[TASA]]</f>
        <v>4.5474137931034493</v>
      </c>
    </row>
    <row r="763" spans="1:15" x14ac:dyDescent="0.25">
      <c r="A763" s="237">
        <v>44532</v>
      </c>
      <c r="B763" s="238" t="s">
        <v>659</v>
      </c>
      <c r="C763" s="238">
        <v>1</v>
      </c>
      <c r="D763" s="158"/>
      <c r="E763" s="335" t="s">
        <v>299</v>
      </c>
      <c r="F763" s="124"/>
      <c r="G763" s="126">
        <v>5.87</v>
      </c>
      <c r="I763" s="374">
        <v>44545</v>
      </c>
      <c r="J763" s="375" t="s">
        <v>510</v>
      </c>
      <c r="K763" s="375" t="s">
        <v>528</v>
      </c>
      <c r="L763" s="376">
        <f>598550/1000</f>
        <v>598.54999999999995</v>
      </c>
      <c r="M763" s="375" t="s">
        <v>784</v>
      </c>
      <c r="N763" s="372">
        <v>4.6399999999999997</v>
      </c>
      <c r="O763" s="378">
        <f>Tabla21[[#This Row],[MONTO (ENTREGA)]]/Tabla21[[#This Row],[TASA]]</f>
        <v>128.99784482758619</v>
      </c>
    </row>
    <row r="764" spans="1:15" x14ac:dyDescent="0.25">
      <c r="A764" s="237">
        <v>44532</v>
      </c>
      <c r="B764" s="238" t="s">
        <v>219</v>
      </c>
      <c r="C764" s="238">
        <v>5</v>
      </c>
      <c r="D764" s="158"/>
      <c r="E764" s="257" t="s">
        <v>130</v>
      </c>
      <c r="F764" s="124"/>
      <c r="G764" s="126">
        <f>0.8*5</f>
        <v>4</v>
      </c>
      <c r="I764" s="374">
        <v>44545</v>
      </c>
      <c r="J764" s="375" t="s">
        <v>509</v>
      </c>
      <c r="K764" s="375" t="s">
        <v>528</v>
      </c>
      <c r="L764" s="378">
        <v>410</v>
      </c>
      <c r="M764" s="375" t="s">
        <v>785</v>
      </c>
      <c r="N764" s="372">
        <v>4.6399999999999997</v>
      </c>
      <c r="O764" s="378">
        <v>410</v>
      </c>
    </row>
    <row r="765" spans="1:15" x14ac:dyDescent="0.25">
      <c r="A765" s="249">
        <v>44532</v>
      </c>
      <c r="B765" s="250" t="s">
        <v>212</v>
      </c>
      <c r="C765" s="250">
        <v>3</v>
      </c>
      <c r="D765" s="159"/>
      <c r="E765" s="252" t="s">
        <v>130</v>
      </c>
      <c r="F765" s="410"/>
      <c r="G765" s="127">
        <f>0.77*3</f>
        <v>2.31</v>
      </c>
      <c r="I765" s="374">
        <v>44545</v>
      </c>
      <c r="J765" s="375" t="s">
        <v>510</v>
      </c>
      <c r="K765" s="375" t="s">
        <v>528</v>
      </c>
      <c r="L765" s="376">
        <f>370400/1000</f>
        <v>370.4</v>
      </c>
      <c r="M765" s="375" t="s">
        <v>786</v>
      </c>
      <c r="N765" s="372">
        <v>4.6399999999999997</v>
      </c>
      <c r="O765" s="378">
        <f>Tabla21[[#This Row],[MONTO (ENTREGA)]]/Tabla21[[#This Row],[TASA]]</f>
        <v>79.827586206896555</v>
      </c>
    </row>
    <row r="766" spans="1:15" x14ac:dyDescent="0.25">
      <c r="A766" s="253">
        <v>44533</v>
      </c>
      <c r="B766" s="254" t="s">
        <v>186</v>
      </c>
      <c r="C766" s="254">
        <v>1</v>
      </c>
      <c r="D766" s="162"/>
      <c r="E766" s="256" t="s">
        <v>122</v>
      </c>
      <c r="F766" s="409"/>
      <c r="G766" s="125">
        <v>0.8</v>
      </c>
      <c r="I766" s="374">
        <v>44559</v>
      </c>
      <c r="J766" s="375" t="s">
        <v>510</v>
      </c>
      <c r="K766" s="375" t="s">
        <v>528</v>
      </c>
      <c r="L766" s="376">
        <f>62280/1000</f>
        <v>62.28</v>
      </c>
      <c r="M766" s="375" t="s">
        <v>787</v>
      </c>
      <c r="N766" s="377">
        <v>4.58</v>
      </c>
      <c r="O766" s="378">
        <f>Tabla21[[#This Row],[MONTO (ENTREGA)]]/Tabla21[[#This Row],[TASA]]</f>
        <v>13.598253275109171</v>
      </c>
    </row>
    <row r="767" spans="1:15" x14ac:dyDescent="0.25">
      <c r="A767" s="245">
        <v>44533</v>
      </c>
      <c r="B767" s="238" t="s">
        <v>212</v>
      </c>
      <c r="C767" s="238">
        <v>1</v>
      </c>
      <c r="D767" s="158"/>
      <c r="E767" s="320" t="s">
        <v>122</v>
      </c>
      <c r="F767" s="124"/>
      <c r="G767" s="126">
        <v>0.77</v>
      </c>
      <c r="I767" s="374">
        <v>44559</v>
      </c>
      <c r="J767" s="375" t="s">
        <v>510</v>
      </c>
      <c r="K767" s="375" t="s">
        <v>528</v>
      </c>
      <c r="L767" s="376">
        <f>21200/1000</f>
        <v>21.2</v>
      </c>
      <c r="M767" s="375" t="s">
        <v>788</v>
      </c>
      <c r="N767" s="377">
        <v>4.58</v>
      </c>
      <c r="O767" s="378">
        <f>Tabla21[[#This Row],[MONTO (ENTREGA)]]/Tabla21[[#This Row],[TASA]]</f>
        <v>4.6288209606986896</v>
      </c>
    </row>
    <row r="768" spans="1:15" x14ac:dyDescent="0.25">
      <c r="A768" s="245">
        <v>44533</v>
      </c>
      <c r="B768" s="238" t="s">
        <v>660</v>
      </c>
      <c r="C768" s="238">
        <v>1</v>
      </c>
      <c r="D768" s="158"/>
      <c r="E768" s="320" t="s">
        <v>122</v>
      </c>
      <c r="F768" s="124"/>
      <c r="G768" s="126">
        <v>0.82</v>
      </c>
      <c r="I768" s="374">
        <v>44559</v>
      </c>
      <c r="J768" s="375" t="s">
        <v>510</v>
      </c>
      <c r="K768" s="375" t="s">
        <v>528</v>
      </c>
      <c r="L768" s="376">
        <f>532580/1000</f>
        <v>532.58000000000004</v>
      </c>
      <c r="M768" s="375" t="s">
        <v>789</v>
      </c>
      <c r="N768" s="377">
        <v>4.58</v>
      </c>
      <c r="O768" s="378">
        <f>Tabla21[[#This Row],[MONTO (ENTREGA)]]/Tabla21[[#This Row],[TASA]]</f>
        <v>116.28384279475983</v>
      </c>
    </row>
    <row r="769" spans="1:17" x14ac:dyDescent="0.25">
      <c r="A769" s="245">
        <v>44533</v>
      </c>
      <c r="B769" s="238" t="s">
        <v>191</v>
      </c>
      <c r="C769" s="238">
        <v>2</v>
      </c>
      <c r="D769" s="158"/>
      <c r="E769" s="320" t="s">
        <v>122</v>
      </c>
      <c r="F769" s="124"/>
      <c r="G769" s="126">
        <v>2.4</v>
      </c>
      <c r="I769" s="374">
        <v>44559</v>
      </c>
      <c r="J769" s="375" t="s">
        <v>509</v>
      </c>
      <c r="K769" s="375" t="s">
        <v>780</v>
      </c>
      <c r="L769" s="378">
        <v>410</v>
      </c>
      <c r="M769" s="375" t="s">
        <v>790</v>
      </c>
      <c r="N769" s="377">
        <v>4.58</v>
      </c>
      <c r="O769" s="378">
        <v>410</v>
      </c>
    </row>
    <row r="770" spans="1:17" x14ac:dyDescent="0.25">
      <c r="A770" s="245">
        <v>44533</v>
      </c>
      <c r="B770" s="240" t="s">
        <v>538</v>
      </c>
      <c r="C770" s="240">
        <v>1</v>
      </c>
      <c r="D770" s="158"/>
      <c r="E770" s="319" t="s">
        <v>130</v>
      </c>
      <c r="F770" s="124"/>
      <c r="G770" s="126">
        <v>1.95</v>
      </c>
      <c r="I770" s="374">
        <v>44559</v>
      </c>
      <c r="J770" s="375" t="s">
        <v>510</v>
      </c>
      <c r="K770" s="375" t="s">
        <v>528</v>
      </c>
      <c r="L770" s="376">
        <f>90000/1000</f>
        <v>90</v>
      </c>
      <c r="M770" s="375" t="s">
        <v>791</v>
      </c>
      <c r="N770" s="377">
        <v>4.58</v>
      </c>
      <c r="O770" s="378">
        <f>Tabla21[[#This Row],[MONTO (ENTREGA)]]/Tabla21[[#This Row],[TASA]]</f>
        <v>19.650655021834062</v>
      </c>
    </row>
    <row r="771" spans="1:17" x14ac:dyDescent="0.25">
      <c r="A771" s="245">
        <v>44533</v>
      </c>
      <c r="B771" s="238" t="s">
        <v>124</v>
      </c>
      <c r="C771" s="238">
        <v>1</v>
      </c>
      <c r="D771" s="158"/>
      <c r="E771" s="257" t="s">
        <v>130</v>
      </c>
      <c r="F771" s="124"/>
      <c r="G771" s="126">
        <v>1.2</v>
      </c>
      <c r="I771" s="379">
        <v>44561</v>
      </c>
      <c r="J771" s="380" t="s">
        <v>509</v>
      </c>
      <c r="K771" s="380" t="s">
        <v>528</v>
      </c>
      <c r="L771" s="383">
        <v>25</v>
      </c>
      <c r="M771" s="380" t="s">
        <v>792</v>
      </c>
      <c r="N771" s="382">
        <v>4.5999999999999996</v>
      </c>
      <c r="O771" s="383">
        <v>25</v>
      </c>
    </row>
    <row r="772" spans="1:17" x14ac:dyDescent="0.25">
      <c r="A772" s="255">
        <v>44533</v>
      </c>
      <c r="B772" s="250" t="s">
        <v>661</v>
      </c>
      <c r="C772" s="250">
        <v>1</v>
      </c>
      <c r="D772" s="159"/>
      <c r="E772" s="252" t="s">
        <v>130</v>
      </c>
      <c r="F772" s="410"/>
      <c r="G772" s="410">
        <v>1.45</v>
      </c>
      <c r="H772" s="13"/>
      <c r="I772" s="379"/>
      <c r="J772" s="380"/>
      <c r="K772" s="380"/>
      <c r="L772" s="381"/>
      <c r="M772" s="380"/>
      <c r="N772" s="382" t="s">
        <v>501</v>
      </c>
      <c r="O772" s="383">
        <f>SUM(O758:O771)</f>
        <v>1520.944416879988</v>
      </c>
      <c r="P772" s="13"/>
      <c r="Q772" s="64"/>
    </row>
    <row r="773" spans="1:17" x14ac:dyDescent="0.25">
      <c r="A773" s="253">
        <v>44534</v>
      </c>
      <c r="B773" s="254" t="s">
        <v>124</v>
      </c>
      <c r="C773" s="254">
        <v>1</v>
      </c>
      <c r="D773" s="162"/>
      <c r="E773" s="256" t="s">
        <v>129</v>
      </c>
      <c r="F773" s="409"/>
      <c r="G773" s="409">
        <v>1.2</v>
      </c>
      <c r="H773" s="13"/>
      <c r="J773" s="13"/>
      <c r="K773" s="13"/>
      <c r="L773" s="13"/>
      <c r="M773" s="13"/>
      <c r="N773" s="13"/>
      <c r="O773" s="13"/>
      <c r="P773" s="13"/>
      <c r="Q773" s="64"/>
    </row>
    <row r="774" spans="1:17" x14ac:dyDescent="0.25">
      <c r="A774" s="245">
        <v>44534</v>
      </c>
      <c r="B774" s="238" t="s">
        <v>125</v>
      </c>
      <c r="C774" s="238">
        <v>2</v>
      </c>
      <c r="D774" s="158"/>
      <c r="E774" s="320" t="s">
        <v>129</v>
      </c>
      <c r="F774" s="124"/>
      <c r="G774" s="124">
        <v>2</v>
      </c>
      <c r="H774" s="13"/>
      <c r="J774" s="13"/>
      <c r="K774" s="13"/>
      <c r="L774" s="13"/>
      <c r="M774" s="13"/>
      <c r="N774" s="13"/>
      <c r="O774" s="13"/>
      <c r="P774" s="13"/>
      <c r="Q774" s="64"/>
    </row>
    <row r="775" spans="1:17" ht="15" customHeight="1" x14ac:dyDescent="0.25">
      <c r="A775" s="245">
        <v>44534</v>
      </c>
      <c r="B775" s="238" t="s">
        <v>219</v>
      </c>
      <c r="C775" s="238">
        <v>2</v>
      </c>
      <c r="D775" s="158"/>
      <c r="E775" s="257" t="s">
        <v>130</v>
      </c>
      <c r="F775" s="124"/>
      <c r="G775" s="124">
        <f>0.8*2</f>
        <v>1.6</v>
      </c>
      <c r="H775" s="13"/>
      <c r="J775" s="13"/>
      <c r="K775" s="393" t="s">
        <v>548</v>
      </c>
      <c r="L775" s="13"/>
      <c r="M775" s="13"/>
      <c r="N775" s="13"/>
      <c r="O775" s="13"/>
      <c r="P775" s="13"/>
      <c r="Q775" s="64"/>
    </row>
    <row r="776" spans="1:17" x14ac:dyDescent="0.25">
      <c r="A776" s="245">
        <v>44534</v>
      </c>
      <c r="B776" s="238" t="s">
        <v>194</v>
      </c>
      <c r="C776" s="238">
        <v>1</v>
      </c>
      <c r="D776" s="158"/>
      <c r="E776" s="257" t="s">
        <v>130</v>
      </c>
      <c r="F776" s="124"/>
      <c r="G776" s="124">
        <v>0.4</v>
      </c>
      <c r="H776" s="13"/>
      <c r="J776" s="13"/>
      <c r="K776" s="13"/>
      <c r="L776" s="13"/>
      <c r="M776" s="13"/>
      <c r="N776" s="13"/>
      <c r="O776" s="13"/>
      <c r="P776" s="13"/>
      <c r="Q776" s="64"/>
    </row>
    <row r="777" spans="1:17" x14ac:dyDescent="0.25">
      <c r="A777" s="245">
        <v>44534</v>
      </c>
      <c r="B777" s="238" t="s">
        <v>124</v>
      </c>
      <c r="C777" s="238">
        <v>1</v>
      </c>
      <c r="D777" s="158"/>
      <c r="E777" s="257" t="s">
        <v>130</v>
      </c>
      <c r="F777" s="124"/>
      <c r="G777" s="124">
        <v>1.2</v>
      </c>
      <c r="H777" s="13"/>
      <c r="I777" s="258" t="s">
        <v>503</v>
      </c>
      <c r="J777" s="259" t="s">
        <v>504</v>
      </c>
      <c r="K777" s="259" t="s">
        <v>505</v>
      </c>
      <c r="L777" s="259" t="s">
        <v>506</v>
      </c>
      <c r="M777" s="259" t="s">
        <v>507</v>
      </c>
      <c r="N777" s="259" t="s">
        <v>6</v>
      </c>
      <c r="O777" s="260" t="s">
        <v>508</v>
      </c>
      <c r="P777" s="13"/>
      <c r="Q777" s="64"/>
    </row>
    <row r="778" spans="1:17" x14ac:dyDescent="0.25">
      <c r="A778" s="245">
        <v>44534</v>
      </c>
      <c r="B778" s="240" t="s">
        <v>131</v>
      </c>
      <c r="C778" s="240">
        <v>1</v>
      </c>
      <c r="D778" s="158"/>
      <c r="E778" s="257" t="s">
        <v>130</v>
      </c>
      <c r="F778" s="124"/>
      <c r="G778" s="124">
        <v>1.55</v>
      </c>
      <c r="H778" s="13"/>
      <c r="I778" s="195">
        <v>44551</v>
      </c>
      <c r="J778" s="13" t="s">
        <v>509</v>
      </c>
      <c r="K778" s="13" t="s">
        <v>513</v>
      </c>
      <c r="L778" s="261">
        <v>120</v>
      </c>
      <c r="M778" s="13" t="s">
        <v>122</v>
      </c>
      <c r="N778" s="13">
        <v>4.58</v>
      </c>
      <c r="O778" s="261">
        <v>120</v>
      </c>
      <c r="P778" s="13"/>
      <c r="Q778" s="64"/>
    </row>
    <row r="779" spans="1:17" x14ac:dyDescent="0.25">
      <c r="A779" s="255">
        <v>44534</v>
      </c>
      <c r="B779" s="159" t="s">
        <v>662</v>
      </c>
      <c r="C779" s="159">
        <v>1</v>
      </c>
      <c r="D779" s="159"/>
      <c r="E779" s="252" t="s">
        <v>130</v>
      </c>
      <c r="F779" s="410"/>
      <c r="G779" s="410">
        <v>3</v>
      </c>
      <c r="H779" s="13"/>
      <c r="J779" s="13"/>
      <c r="K779" s="13"/>
      <c r="L779" s="13"/>
      <c r="M779" s="13"/>
      <c r="N779" s="13"/>
      <c r="O779" s="13"/>
      <c r="P779" s="13"/>
      <c r="Q779" s="64"/>
    </row>
    <row r="780" spans="1:17" x14ac:dyDescent="0.25">
      <c r="A780" s="161">
        <v>44535</v>
      </c>
      <c r="B780" s="162" t="s">
        <v>125</v>
      </c>
      <c r="C780" s="162">
        <v>1</v>
      </c>
      <c r="D780" s="162"/>
      <c r="E780" s="361" t="s">
        <v>129</v>
      </c>
      <c r="F780" s="409"/>
      <c r="G780" s="409">
        <v>1</v>
      </c>
      <c r="H780" s="13"/>
      <c r="J780" s="13"/>
      <c r="K780" s="13"/>
      <c r="L780" s="13"/>
      <c r="M780" s="13"/>
      <c r="N780" s="13"/>
      <c r="O780" s="13"/>
      <c r="P780" s="13"/>
      <c r="Q780" s="64"/>
    </row>
    <row r="781" spans="1:17" x14ac:dyDescent="0.25">
      <c r="A781" s="163">
        <v>44535</v>
      </c>
      <c r="B781" s="159" t="s">
        <v>219</v>
      </c>
      <c r="C781" s="159">
        <v>4</v>
      </c>
      <c r="D781" s="159"/>
      <c r="E781" s="362" t="s">
        <v>130</v>
      </c>
      <c r="F781" s="410"/>
      <c r="G781" s="410">
        <f>0.8*4</f>
        <v>3.2</v>
      </c>
      <c r="H781" s="13"/>
      <c r="J781" s="13"/>
      <c r="K781" s="13"/>
      <c r="L781" s="13"/>
      <c r="M781" s="13"/>
      <c r="N781" s="13"/>
      <c r="O781" s="13"/>
      <c r="P781" s="13"/>
      <c r="Q781" s="64"/>
    </row>
    <row r="782" spans="1:17" x14ac:dyDescent="0.25">
      <c r="A782" s="161">
        <v>44536</v>
      </c>
      <c r="B782" s="162" t="s">
        <v>125</v>
      </c>
      <c r="C782" s="162">
        <v>1</v>
      </c>
      <c r="D782" s="162"/>
      <c r="E782" s="162" t="s">
        <v>129</v>
      </c>
      <c r="F782" s="409"/>
      <c r="G782" s="125">
        <v>1</v>
      </c>
      <c r="H782" s="13"/>
      <c r="J782" s="13"/>
      <c r="K782" s="13"/>
      <c r="L782" s="13"/>
      <c r="M782" s="13"/>
      <c r="N782" s="13"/>
      <c r="O782" s="13"/>
      <c r="P782" s="13"/>
    </row>
    <row r="783" spans="1:17" x14ac:dyDescent="0.25">
      <c r="A783" s="164">
        <v>44536</v>
      </c>
      <c r="B783" s="158" t="s">
        <v>227</v>
      </c>
      <c r="C783" s="158">
        <v>1</v>
      </c>
      <c r="D783" s="158"/>
      <c r="E783" s="158" t="s">
        <v>129</v>
      </c>
      <c r="F783" s="124"/>
      <c r="G783" s="126">
        <v>1</v>
      </c>
    </row>
    <row r="784" spans="1:17" x14ac:dyDescent="0.25">
      <c r="A784" s="164">
        <v>44536</v>
      </c>
      <c r="B784" s="158" t="s">
        <v>319</v>
      </c>
      <c r="C784" s="158">
        <v>1</v>
      </c>
      <c r="D784" s="158"/>
      <c r="E784" s="158" t="s">
        <v>122</v>
      </c>
      <c r="F784" s="124"/>
      <c r="G784" s="93">
        <v>0.43</v>
      </c>
    </row>
    <row r="785" spans="1:7" x14ac:dyDescent="0.25">
      <c r="A785" s="164">
        <v>44536</v>
      </c>
      <c r="B785" s="158" t="s">
        <v>206</v>
      </c>
      <c r="C785" s="158">
        <v>1</v>
      </c>
      <c r="D785" s="158"/>
      <c r="E785" s="158" t="s">
        <v>122</v>
      </c>
      <c r="F785" s="124"/>
      <c r="G785" s="126">
        <v>4</v>
      </c>
    </row>
    <row r="786" spans="1:7" x14ac:dyDescent="0.25">
      <c r="A786" s="163">
        <v>44536</v>
      </c>
      <c r="B786" s="159" t="s">
        <v>219</v>
      </c>
      <c r="C786" s="159">
        <v>3</v>
      </c>
      <c r="D786" s="159"/>
      <c r="E786" s="159" t="s">
        <v>130</v>
      </c>
      <c r="F786" s="410"/>
      <c r="G786" s="127">
        <f>0.8*3</f>
        <v>2.4000000000000004</v>
      </c>
    </row>
    <row r="787" spans="1:7" x14ac:dyDescent="0.25">
      <c r="A787" s="161">
        <v>44537</v>
      </c>
      <c r="B787" s="162" t="s">
        <v>125</v>
      </c>
      <c r="C787" s="162">
        <v>2</v>
      </c>
      <c r="D787" s="162"/>
      <c r="E787" s="162" t="s">
        <v>129</v>
      </c>
      <c r="F787" s="409"/>
      <c r="G787" s="125">
        <v>2</v>
      </c>
    </row>
    <row r="788" spans="1:7" x14ac:dyDescent="0.25">
      <c r="A788" s="163">
        <v>44537</v>
      </c>
      <c r="B788" s="159" t="s">
        <v>124</v>
      </c>
      <c r="C788" s="159">
        <v>5</v>
      </c>
      <c r="D788" s="159"/>
      <c r="E788" s="159" t="s">
        <v>130</v>
      </c>
      <c r="F788" s="410"/>
      <c r="G788" s="127">
        <f>1.2*5</f>
        <v>6</v>
      </c>
    </row>
    <row r="789" spans="1:7" x14ac:dyDescent="0.25">
      <c r="A789" s="161">
        <v>44538</v>
      </c>
      <c r="B789" s="162" t="s">
        <v>663</v>
      </c>
      <c r="C789" s="162">
        <v>0</v>
      </c>
      <c r="D789" s="162"/>
      <c r="E789" s="162" t="s">
        <v>129</v>
      </c>
      <c r="F789" s="409"/>
      <c r="G789" s="125"/>
    </row>
    <row r="790" spans="1:7" x14ac:dyDescent="0.25">
      <c r="A790" s="164">
        <v>44538</v>
      </c>
      <c r="B790" s="158" t="s">
        <v>125</v>
      </c>
      <c r="C790" s="158">
        <v>1</v>
      </c>
      <c r="D790" s="158"/>
      <c r="E790" s="158" t="s">
        <v>129</v>
      </c>
      <c r="F790" s="124"/>
      <c r="G790" s="126">
        <v>1</v>
      </c>
    </row>
    <row r="791" spans="1:7" x14ac:dyDescent="0.25">
      <c r="A791" s="164">
        <v>44538</v>
      </c>
      <c r="B791" s="158" t="s">
        <v>128</v>
      </c>
      <c r="C791" s="158">
        <v>1</v>
      </c>
      <c r="D791" s="158"/>
      <c r="E791" s="158" t="s">
        <v>129</v>
      </c>
      <c r="F791" s="124"/>
      <c r="G791" s="126">
        <v>5.16</v>
      </c>
    </row>
    <row r="792" spans="1:7" x14ac:dyDescent="0.25">
      <c r="A792" s="163">
        <v>44538</v>
      </c>
      <c r="B792" s="159" t="s">
        <v>191</v>
      </c>
      <c r="C792" s="159">
        <v>1</v>
      </c>
      <c r="D792" s="159"/>
      <c r="E792" s="159" t="s">
        <v>129</v>
      </c>
      <c r="F792" s="410"/>
      <c r="G792" s="127">
        <v>1.2</v>
      </c>
    </row>
    <row r="793" spans="1:7" x14ac:dyDescent="0.25">
      <c r="A793" s="161">
        <v>44539</v>
      </c>
      <c r="B793" s="162" t="s">
        <v>128</v>
      </c>
      <c r="C793" s="162">
        <v>1</v>
      </c>
      <c r="D793" s="162"/>
      <c r="E793" s="162" t="s">
        <v>122</v>
      </c>
      <c r="F793" s="409"/>
      <c r="G793" s="125">
        <v>5.16</v>
      </c>
    </row>
    <row r="794" spans="1:7" x14ac:dyDescent="0.25">
      <c r="A794" s="163">
        <v>44539</v>
      </c>
      <c r="B794" s="159" t="s">
        <v>125</v>
      </c>
      <c r="C794" s="159">
        <v>1</v>
      </c>
      <c r="D794" s="159"/>
      <c r="E794" s="159" t="s">
        <v>306</v>
      </c>
      <c r="F794" s="410"/>
      <c r="G794" s="126">
        <v>1</v>
      </c>
    </row>
    <row r="795" spans="1:7" x14ac:dyDescent="0.25">
      <c r="A795" s="161">
        <v>44540</v>
      </c>
      <c r="B795" s="162" t="s">
        <v>319</v>
      </c>
      <c r="C795" s="162">
        <v>1</v>
      </c>
      <c r="D795" s="162"/>
      <c r="E795" s="162" t="s">
        <v>122</v>
      </c>
      <c r="F795" s="409"/>
      <c r="G795" s="93">
        <v>0.43</v>
      </c>
    </row>
    <row r="796" spans="1:7" x14ac:dyDescent="0.25">
      <c r="A796" s="164">
        <v>44540</v>
      </c>
      <c r="B796" s="158" t="s">
        <v>212</v>
      </c>
      <c r="C796" s="158">
        <v>1</v>
      </c>
      <c r="D796" s="158"/>
      <c r="E796" s="158" t="s">
        <v>122</v>
      </c>
      <c r="F796" s="124"/>
      <c r="G796" s="126">
        <v>0.77</v>
      </c>
    </row>
    <row r="797" spans="1:7" x14ac:dyDescent="0.25">
      <c r="A797" s="164">
        <v>44540</v>
      </c>
      <c r="B797" s="158" t="s">
        <v>191</v>
      </c>
      <c r="C797" s="158">
        <v>1</v>
      </c>
      <c r="D797" s="158"/>
      <c r="E797" s="158" t="s">
        <v>122</v>
      </c>
      <c r="F797" s="124"/>
      <c r="G797" s="126">
        <v>1.2</v>
      </c>
    </row>
    <row r="798" spans="1:7" x14ac:dyDescent="0.25">
      <c r="A798" s="164">
        <v>44540</v>
      </c>
      <c r="B798" s="158" t="s">
        <v>191</v>
      </c>
      <c r="C798" s="158">
        <v>4</v>
      </c>
      <c r="D798" s="158"/>
      <c r="E798" s="158" t="s">
        <v>306</v>
      </c>
      <c r="F798" s="124"/>
      <c r="G798" s="126">
        <f>1.2*4</f>
        <v>4.8</v>
      </c>
    </row>
    <row r="799" spans="1:7" x14ac:dyDescent="0.25">
      <c r="A799" s="164">
        <v>44540</v>
      </c>
      <c r="B799" s="158" t="s">
        <v>219</v>
      </c>
      <c r="C799" s="158">
        <v>2</v>
      </c>
      <c r="D799" s="158"/>
      <c r="E799" s="158" t="s">
        <v>130</v>
      </c>
      <c r="F799" s="124"/>
      <c r="G799" s="126">
        <f>0.8*2</f>
        <v>1.6</v>
      </c>
    </row>
    <row r="800" spans="1:7" x14ac:dyDescent="0.25">
      <c r="A800" s="164">
        <v>44540</v>
      </c>
      <c r="B800" s="158" t="s">
        <v>186</v>
      </c>
      <c r="C800" s="158">
        <v>7</v>
      </c>
      <c r="D800" s="158"/>
      <c r="E800" s="158" t="s">
        <v>130</v>
      </c>
      <c r="F800" s="124"/>
      <c r="G800" s="126">
        <f>0.8*7</f>
        <v>5.6000000000000005</v>
      </c>
    </row>
    <row r="801" spans="1:7" x14ac:dyDescent="0.25">
      <c r="A801" s="164">
        <v>44540</v>
      </c>
      <c r="B801" s="158" t="s">
        <v>667</v>
      </c>
      <c r="C801" s="158">
        <v>1</v>
      </c>
      <c r="D801" s="158"/>
      <c r="E801" s="158" t="s">
        <v>130</v>
      </c>
      <c r="F801" s="124"/>
      <c r="G801" s="126">
        <v>25</v>
      </c>
    </row>
    <row r="802" spans="1:7" x14ac:dyDescent="0.25">
      <c r="A802" s="164">
        <v>44540</v>
      </c>
      <c r="B802" s="158" t="s">
        <v>668</v>
      </c>
      <c r="C802" s="158">
        <v>2</v>
      </c>
      <c r="D802" s="158"/>
      <c r="E802" s="158" t="s">
        <v>130</v>
      </c>
      <c r="F802" s="124"/>
      <c r="G802" s="126">
        <f>2.3*2</f>
        <v>4.5999999999999996</v>
      </c>
    </row>
    <row r="803" spans="1:7" x14ac:dyDescent="0.25">
      <c r="A803" s="164">
        <v>44540</v>
      </c>
      <c r="B803" s="158" t="s">
        <v>212</v>
      </c>
      <c r="C803" s="158">
        <v>5</v>
      </c>
      <c r="D803" s="158"/>
      <c r="E803" s="158" t="s">
        <v>130</v>
      </c>
      <c r="F803" s="124"/>
      <c r="G803" s="126">
        <f>0.77*5</f>
        <v>3.85</v>
      </c>
    </row>
    <row r="804" spans="1:7" x14ac:dyDescent="0.25">
      <c r="A804" s="163">
        <v>44540</v>
      </c>
      <c r="B804" s="159" t="s">
        <v>124</v>
      </c>
      <c r="C804" s="159">
        <v>23</v>
      </c>
      <c r="D804" s="159"/>
      <c r="E804" s="159" t="s">
        <v>130</v>
      </c>
      <c r="F804" s="410"/>
      <c r="G804" s="126">
        <f>1.2*23</f>
        <v>27.599999999999998</v>
      </c>
    </row>
    <row r="805" spans="1:7" x14ac:dyDescent="0.25">
      <c r="A805" s="161">
        <v>44541</v>
      </c>
      <c r="B805" s="162" t="s">
        <v>319</v>
      </c>
      <c r="C805" s="162">
        <v>1</v>
      </c>
      <c r="D805" s="162"/>
      <c r="E805" s="162" t="s">
        <v>122</v>
      </c>
      <c r="F805" s="409"/>
      <c r="G805" s="93">
        <v>0.43</v>
      </c>
    </row>
    <row r="806" spans="1:7" x14ac:dyDescent="0.25">
      <c r="A806" s="164">
        <v>44541</v>
      </c>
      <c r="B806" s="158" t="s">
        <v>206</v>
      </c>
      <c r="C806" s="158">
        <v>1</v>
      </c>
      <c r="D806" s="158"/>
      <c r="E806" s="158" t="s">
        <v>122</v>
      </c>
      <c r="F806" s="124"/>
      <c r="G806" s="126">
        <v>4</v>
      </c>
    </row>
    <row r="807" spans="1:7" x14ac:dyDescent="0.25">
      <c r="A807" s="164">
        <v>44541</v>
      </c>
      <c r="B807" s="158" t="s">
        <v>669</v>
      </c>
      <c r="C807" s="158">
        <v>20</v>
      </c>
      <c r="D807" s="158"/>
      <c r="E807" s="158" t="s">
        <v>306</v>
      </c>
      <c r="F807" s="124"/>
      <c r="G807" s="126">
        <f>0.4*20</f>
        <v>8</v>
      </c>
    </row>
    <row r="808" spans="1:7" x14ac:dyDescent="0.25">
      <c r="A808" s="164">
        <v>44541</v>
      </c>
      <c r="B808" s="158" t="s">
        <v>212</v>
      </c>
      <c r="C808" s="158">
        <v>1</v>
      </c>
      <c r="D808" s="158"/>
      <c r="E808" s="158" t="s">
        <v>306</v>
      </c>
      <c r="F808" s="124"/>
      <c r="G808" s="126">
        <v>0.77</v>
      </c>
    </row>
    <row r="809" spans="1:7" x14ac:dyDescent="0.25">
      <c r="A809" s="164">
        <v>44541</v>
      </c>
      <c r="B809" s="158" t="s">
        <v>205</v>
      </c>
      <c r="C809" s="158">
        <v>1</v>
      </c>
      <c r="D809" s="158"/>
      <c r="E809" s="158" t="s">
        <v>306</v>
      </c>
      <c r="F809" s="124"/>
      <c r="G809" s="126">
        <v>1.71</v>
      </c>
    </row>
    <row r="810" spans="1:7" x14ac:dyDescent="0.25">
      <c r="A810" s="164">
        <v>44541</v>
      </c>
      <c r="B810" s="158" t="s">
        <v>124</v>
      </c>
      <c r="C810" s="158">
        <v>2</v>
      </c>
      <c r="D810" s="158"/>
      <c r="E810" s="158" t="s">
        <v>306</v>
      </c>
      <c r="F810" s="124"/>
      <c r="G810" s="126">
        <f>1.2*2</f>
        <v>2.4</v>
      </c>
    </row>
    <row r="811" spans="1:7" x14ac:dyDescent="0.25">
      <c r="A811" s="164">
        <v>44541</v>
      </c>
      <c r="B811" s="158" t="s">
        <v>662</v>
      </c>
      <c r="C811" s="158">
        <v>1</v>
      </c>
      <c r="D811" s="158"/>
      <c r="E811" s="158" t="s">
        <v>306</v>
      </c>
      <c r="F811" s="124"/>
      <c r="G811" s="126">
        <v>3</v>
      </c>
    </row>
    <row r="812" spans="1:7" x14ac:dyDescent="0.25">
      <c r="A812" s="163">
        <v>44541</v>
      </c>
      <c r="B812" s="159" t="s">
        <v>133</v>
      </c>
      <c r="C812" s="159">
        <v>2</v>
      </c>
      <c r="D812" s="159"/>
      <c r="E812" s="159" t="s">
        <v>130</v>
      </c>
      <c r="F812" s="410"/>
      <c r="G812" s="127">
        <f>2.9*2</f>
        <v>5.8</v>
      </c>
    </row>
    <row r="813" spans="1:7" x14ac:dyDescent="0.25">
      <c r="A813" s="161">
        <v>44542</v>
      </c>
      <c r="B813" s="162" t="s">
        <v>212</v>
      </c>
      <c r="C813" s="162">
        <v>1</v>
      </c>
      <c r="D813" s="162"/>
      <c r="E813" s="162" t="s">
        <v>122</v>
      </c>
      <c r="F813" s="409"/>
      <c r="G813" s="125">
        <v>0.77</v>
      </c>
    </row>
    <row r="814" spans="1:7" x14ac:dyDescent="0.25">
      <c r="A814" s="164">
        <v>44542</v>
      </c>
      <c r="B814" s="158" t="s">
        <v>191</v>
      </c>
      <c r="C814" s="158">
        <v>1</v>
      </c>
      <c r="D814" s="158"/>
      <c r="E814" s="158" t="s">
        <v>122</v>
      </c>
      <c r="F814" s="124"/>
      <c r="G814" s="126">
        <v>1.2</v>
      </c>
    </row>
    <row r="815" spans="1:7" x14ac:dyDescent="0.25">
      <c r="A815" s="163">
        <v>44542</v>
      </c>
      <c r="B815" s="159" t="s">
        <v>186</v>
      </c>
      <c r="C815" s="159">
        <v>3</v>
      </c>
      <c r="D815" s="159"/>
      <c r="E815" s="159" t="s">
        <v>130</v>
      </c>
      <c r="F815" s="410"/>
      <c r="G815" s="126">
        <f>0.8*3</f>
        <v>2.4000000000000004</v>
      </c>
    </row>
    <row r="816" spans="1:7" x14ac:dyDescent="0.25">
      <c r="A816" s="161">
        <v>44543</v>
      </c>
      <c r="B816" s="162" t="s">
        <v>319</v>
      </c>
      <c r="C816" s="162">
        <v>1</v>
      </c>
      <c r="D816" s="162"/>
      <c r="E816" s="162" t="s">
        <v>122</v>
      </c>
      <c r="F816" s="409"/>
      <c r="G816" s="93">
        <v>0.43</v>
      </c>
    </row>
    <row r="817" spans="1:7" x14ac:dyDescent="0.25">
      <c r="A817" s="164">
        <v>44543</v>
      </c>
      <c r="B817" s="158" t="s">
        <v>191</v>
      </c>
      <c r="C817" s="158">
        <v>1</v>
      </c>
      <c r="D817" s="158"/>
      <c r="E817" s="158" t="s">
        <v>122</v>
      </c>
      <c r="F817" s="124"/>
      <c r="G817" s="126">
        <v>1.2</v>
      </c>
    </row>
    <row r="818" spans="1:7" x14ac:dyDescent="0.25">
      <c r="A818" s="164">
        <v>44543</v>
      </c>
      <c r="B818" s="158" t="s">
        <v>191</v>
      </c>
      <c r="C818" s="158">
        <v>1</v>
      </c>
      <c r="D818" s="158"/>
      <c r="E818" s="158" t="s">
        <v>306</v>
      </c>
      <c r="F818" s="124"/>
      <c r="G818" s="126">
        <v>1.2</v>
      </c>
    </row>
    <row r="819" spans="1:7" x14ac:dyDescent="0.25">
      <c r="A819" s="164">
        <v>44543</v>
      </c>
      <c r="B819" s="158" t="s">
        <v>414</v>
      </c>
      <c r="C819" s="158">
        <v>4</v>
      </c>
      <c r="D819" s="158"/>
      <c r="E819" s="158" t="s">
        <v>670</v>
      </c>
      <c r="F819" s="124"/>
      <c r="G819" s="126">
        <f>0.4*4</f>
        <v>1.6</v>
      </c>
    </row>
    <row r="820" spans="1:7" x14ac:dyDescent="0.25">
      <c r="A820" s="164">
        <v>44543</v>
      </c>
      <c r="B820" s="158" t="s">
        <v>219</v>
      </c>
      <c r="C820" s="158">
        <v>3</v>
      </c>
      <c r="D820" s="158"/>
      <c r="E820" s="158" t="s">
        <v>130</v>
      </c>
      <c r="F820" s="124"/>
      <c r="G820" s="126">
        <f>0.8*3</f>
        <v>2.4000000000000004</v>
      </c>
    </row>
    <row r="821" spans="1:7" x14ac:dyDescent="0.25">
      <c r="A821" s="163">
        <v>44543</v>
      </c>
      <c r="B821" s="159" t="s">
        <v>191</v>
      </c>
      <c r="C821" s="159">
        <v>2</v>
      </c>
      <c r="D821" s="159"/>
      <c r="E821" s="159" t="s">
        <v>130</v>
      </c>
      <c r="F821" s="410"/>
      <c r="G821" s="127">
        <v>2.4</v>
      </c>
    </row>
    <row r="822" spans="1:7" x14ac:dyDescent="0.25">
      <c r="A822" s="161">
        <v>44544</v>
      </c>
      <c r="B822" s="162" t="s">
        <v>219</v>
      </c>
      <c r="C822" s="162">
        <v>2</v>
      </c>
      <c r="D822" s="162"/>
      <c r="E822" s="162" t="s">
        <v>130</v>
      </c>
      <c r="F822" s="409"/>
      <c r="G822" s="125">
        <v>1.6</v>
      </c>
    </row>
    <row r="823" spans="1:7" x14ac:dyDescent="0.25">
      <c r="A823" s="164">
        <v>44544</v>
      </c>
      <c r="B823" s="158" t="s">
        <v>186</v>
      </c>
      <c r="C823" s="158">
        <v>2</v>
      </c>
      <c r="D823" s="158"/>
      <c r="E823" s="158" t="s">
        <v>130</v>
      </c>
      <c r="F823" s="124"/>
      <c r="G823" s="126">
        <f>0.8*2</f>
        <v>1.6</v>
      </c>
    </row>
    <row r="824" spans="1:7" x14ac:dyDescent="0.25">
      <c r="A824" s="164">
        <v>44544</v>
      </c>
      <c r="B824" s="158" t="s">
        <v>212</v>
      </c>
      <c r="C824" s="158">
        <v>1</v>
      </c>
      <c r="D824" s="158"/>
      <c r="E824" s="158" t="s">
        <v>130</v>
      </c>
      <c r="F824" s="124"/>
      <c r="G824" s="126">
        <v>0.77</v>
      </c>
    </row>
    <row r="825" spans="1:7" x14ac:dyDescent="0.25">
      <c r="A825" s="163">
        <v>44544</v>
      </c>
      <c r="B825" s="159" t="s">
        <v>131</v>
      </c>
      <c r="C825" s="159">
        <v>1</v>
      </c>
      <c r="D825" s="159"/>
      <c r="E825" s="159" t="s">
        <v>130</v>
      </c>
      <c r="F825" s="410"/>
      <c r="G825" s="127">
        <v>1.55</v>
      </c>
    </row>
    <row r="826" spans="1:7" x14ac:dyDescent="0.25">
      <c r="A826" s="161">
        <v>44545</v>
      </c>
      <c r="B826" s="162" t="s">
        <v>277</v>
      </c>
      <c r="C826" s="162">
        <v>2</v>
      </c>
      <c r="D826" s="162"/>
      <c r="E826" s="162" t="s">
        <v>306</v>
      </c>
      <c r="F826" s="409"/>
      <c r="G826" s="125">
        <f>0.8*2</f>
        <v>1.6</v>
      </c>
    </row>
    <row r="827" spans="1:7" x14ac:dyDescent="0.25">
      <c r="A827" s="164">
        <v>44545</v>
      </c>
      <c r="B827" s="158" t="s">
        <v>219</v>
      </c>
      <c r="C827" s="158">
        <v>3</v>
      </c>
      <c r="D827" s="158"/>
      <c r="E827" s="158" t="s">
        <v>306</v>
      </c>
      <c r="F827" s="124"/>
      <c r="G827" s="126">
        <v>2.4</v>
      </c>
    </row>
    <row r="828" spans="1:7" x14ac:dyDescent="0.25">
      <c r="A828" s="164">
        <v>44545</v>
      </c>
      <c r="B828" s="158" t="s">
        <v>669</v>
      </c>
      <c r="C828" s="158">
        <v>5</v>
      </c>
      <c r="D828" s="158"/>
      <c r="E828" s="158" t="s">
        <v>670</v>
      </c>
      <c r="F828" s="124"/>
      <c r="G828" s="126">
        <f>0.4*5</f>
        <v>2</v>
      </c>
    </row>
    <row r="829" spans="1:7" x14ac:dyDescent="0.25">
      <c r="A829" s="164">
        <v>44545</v>
      </c>
      <c r="B829" s="158" t="s">
        <v>219</v>
      </c>
      <c r="C829" s="158">
        <v>7</v>
      </c>
      <c r="D829" s="158"/>
      <c r="E829" s="158" t="s">
        <v>130</v>
      </c>
      <c r="F829" s="124"/>
      <c r="G829" s="126">
        <f>0.8*7</f>
        <v>5.6000000000000005</v>
      </c>
    </row>
    <row r="830" spans="1:7" x14ac:dyDescent="0.25">
      <c r="A830" s="163">
        <v>44545</v>
      </c>
      <c r="B830" s="159" t="s">
        <v>125</v>
      </c>
      <c r="C830" s="159">
        <v>2</v>
      </c>
      <c r="D830" s="159"/>
      <c r="E830" s="159" t="s">
        <v>130</v>
      </c>
      <c r="F830" s="410"/>
      <c r="G830" s="126">
        <v>2</v>
      </c>
    </row>
    <row r="831" spans="1:7" x14ac:dyDescent="0.25">
      <c r="A831" s="161">
        <v>44546</v>
      </c>
      <c r="B831" s="162" t="s">
        <v>319</v>
      </c>
      <c r="C831" s="162">
        <v>1</v>
      </c>
      <c r="D831" s="162"/>
      <c r="E831" s="162" t="s">
        <v>122</v>
      </c>
      <c r="F831" s="409"/>
      <c r="G831" s="93">
        <v>0.43</v>
      </c>
    </row>
    <row r="832" spans="1:7" x14ac:dyDescent="0.25">
      <c r="A832" s="164">
        <v>44546</v>
      </c>
      <c r="B832" s="158" t="s">
        <v>212</v>
      </c>
      <c r="C832" s="158">
        <v>1</v>
      </c>
      <c r="D832" s="158"/>
      <c r="E832" s="158" t="s">
        <v>122</v>
      </c>
      <c r="F832" s="124"/>
      <c r="G832" s="126">
        <v>0.77</v>
      </c>
    </row>
    <row r="833" spans="1:7" x14ac:dyDescent="0.25">
      <c r="A833" s="164">
        <v>44546</v>
      </c>
      <c r="B833" s="158" t="s">
        <v>191</v>
      </c>
      <c r="C833" s="158">
        <v>2</v>
      </c>
      <c r="D833" s="158"/>
      <c r="E833" s="158" t="s">
        <v>122</v>
      </c>
      <c r="F833" s="124"/>
      <c r="G833" s="126">
        <v>2.4</v>
      </c>
    </row>
    <row r="834" spans="1:7" x14ac:dyDescent="0.25">
      <c r="A834" s="164">
        <v>44546</v>
      </c>
      <c r="B834" s="158" t="s">
        <v>210</v>
      </c>
      <c r="C834" s="158">
        <v>2</v>
      </c>
      <c r="D834" s="158"/>
      <c r="E834" s="158" t="s">
        <v>306</v>
      </c>
      <c r="F834" s="124"/>
      <c r="G834" s="126">
        <f>0.45*2</f>
        <v>0.9</v>
      </c>
    </row>
    <row r="835" spans="1:7" x14ac:dyDescent="0.25">
      <c r="A835" s="164">
        <v>44546</v>
      </c>
      <c r="B835" s="158" t="s">
        <v>671</v>
      </c>
      <c r="C835" s="158">
        <v>0</v>
      </c>
      <c r="D835" s="158"/>
      <c r="E835" s="158" t="s">
        <v>306</v>
      </c>
      <c r="F835" s="124"/>
      <c r="G835" s="126">
        <v>2.82</v>
      </c>
    </row>
    <row r="836" spans="1:7" x14ac:dyDescent="0.25">
      <c r="A836" s="164">
        <v>44546</v>
      </c>
      <c r="B836" s="158" t="s">
        <v>186</v>
      </c>
      <c r="C836" s="158">
        <v>4</v>
      </c>
      <c r="D836" s="158"/>
      <c r="E836" s="158" t="s">
        <v>130</v>
      </c>
      <c r="F836" s="124"/>
      <c r="G836" s="126">
        <f>0.8*4</f>
        <v>3.2</v>
      </c>
    </row>
    <row r="837" spans="1:7" x14ac:dyDescent="0.25">
      <c r="A837" s="163">
        <v>44546</v>
      </c>
      <c r="B837" s="159" t="s">
        <v>672</v>
      </c>
      <c r="C837" s="159">
        <v>1</v>
      </c>
      <c r="D837" s="159"/>
      <c r="E837" s="159" t="s">
        <v>130</v>
      </c>
      <c r="F837" s="410"/>
      <c r="G837" s="126">
        <v>1</v>
      </c>
    </row>
    <row r="838" spans="1:7" x14ac:dyDescent="0.25">
      <c r="A838" s="161">
        <v>44547</v>
      </c>
      <c r="B838" s="162" t="s">
        <v>319</v>
      </c>
      <c r="C838" s="162">
        <v>1</v>
      </c>
      <c r="D838" s="162"/>
      <c r="E838" s="162" t="s">
        <v>122</v>
      </c>
      <c r="F838" s="409"/>
      <c r="G838" s="93">
        <v>0.43</v>
      </c>
    </row>
    <row r="839" spans="1:7" x14ac:dyDescent="0.25">
      <c r="A839" s="163">
        <v>44547</v>
      </c>
      <c r="B839" s="159" t="s">
        <v>219</v>
      </c>
      <c r="C839" s="159">
        <v>1</v>
      </c>
      <c r="D839" s="159"/>
      <c r="E839" s="159" t="s">
        <v>306</v>
      </c>
      <c r="F839" s="410"/>
      <c r="G839" s="127">
        <v>0.8</v>
      </c>
    </row>
    <row r="840" spans="1:7" x14ac:dyDescent="0.25">
      <c r="A840" s="161">
        <v>44548</v>
      </c>
      <c r="B840" s="162" t="s">
        <v>414</v>
      </c>
      <c r="C840" s="162">
        <v>6</v>
      </c>
      <c r="D840" s="162"/>
      <c r="E840" s="162" t="s">
        <v>670</v>
      </c>
      <c r="F840" s="409"/>
      <c r="G840" s="125">
        <f>0.4*6</f>
        <v>2.4000000000000004</v>
      </c>
    </row>
    <row r="841" spans="1:7" x14ac:dyDescent="0.25">
      <c r="A841" s="164">
        <v>44548</v>
      </c>
      <c r="B841" s="158" t="s">
        <v>277</v>
      </c>
      <c r="C841" s="158">
        <v>8</v>
      </c>
      <c r="D841" s="158"/>
      <c r="E841" s="158" t="s">
        <v>130</v>
      </c>
      <c r="F841" s="124"/>
      <c r="G841" s="126">
        <f>0.8*8</f>
        <v>6.4</v>
      </c>
    </row>
    <row r="842" spans="1:7" x14ac:dyDescent="0.25">
      <c r="A842" s="164">
        <v>44548</v>
      </c>
      <c r="B842" s="158" t="s">
        <v>219</v>
      </c>
      <c r="C842" s="158">
        <v>3</v>
      </c>
      <c r="D842" s="158"/>
      <c r="E842" s="158" t="s">
        <v>130</v>
      </c>
      <c r="F842" s="124"/>
      <c r="G842" s="126">
        <v>2.4</v>
      </c>
    </row>
    <row r="843" spans="1:7" x14ac:dyDescent="0.25">
      <c r="A843" s="164">
        <v>44548</v>
      </c>
      <c r="B843" s="158" t="s">
        <v>186</v>
      </c>
      <c r="C843" s="158">
        <v>4</v>
      </c>
      <c r="D843" s="158"/>
      <c r="E843" s="158" t="s">
        <v>130</v>
      </c>
      <c r="F843" s="124"/>
      <c r="G843" s="126">
        <f>0.8*4</f>
        <v>3.2</v>
      </c>
    </row>
    <row r="844" spans="1:7" x14ac:dyDescent="0.25">
      <c r="A844" s="164">
        <v>44548</v>
      </c>
      <c r="B844" s="158" t="s">
        <v>133</v>
      </c>
      <c r="C844" s="158">
        <v>2</v>
      </c>
      <c r="D844" s="158"/>
      <c r="E844" s="158" t="s">
        <v>130</v>
      </c>
      <c r="F844" s="124"/>
      <c r="G844" s="126">
        <v>5.8</v>
      </c>
    </row>
    <row r="845" spans="1:7" x14ac:dyDescent="0.25">
      <c r="A845" s="163">
        <v>44548</v>
      </c>
      <c r="B845" s="159" t="s">
        <v>191</v>
      </c>
      <c r="C845" s="159">
        <v>2</v>
      </c>
      <c r="D845" s="159"/>
      <c r="E845" s="159" t="s">
        <v>130</v>
      </c>
      <c r="F845" s="410"/>
      <c r="G845" s="127">
        <v>2.4</v>
      </c>
    </row>
    <row r="846" spans="1:7" x14ac:dyDescent="0.25">
      <c r="A846" s="171">
        <v>44549</v>
      </c>
      <c r="B846" s="172" t="s">
        <v>673</v>
      </c>
      <c r="C846" s="172">
        <v>1</v>
      </c>
      <c r="D846" s="172"/>
      <c r="E846" s="172" t="s">
        <v>130</v>
      </c>
      <c r="F846" s="411"/>
      <c r="G846" s="125">
        <v>2.5</v>
      </c>
    </row>
    <row r="847" spans="1:7" x14ac:dyDescent="0.25">
      <c r="A847" s="161">
        <v>44550</v>
      </c>
      <c r="B847" s="162" t="s">
        <v>319</v>
      </c>
      <c r="C847" s="162">
        <v>1</v>
      </c>
      <c r="D847" s="162"/>
      <c r="E847" s="162" t="s">
        <v>122</v>
      </c>
      <c r="F847" s="409"/>
      <c r="G847" s="93">
        <v>0.43</v>
      </c>
    </row>
    <row r="848" spans="1:7" x14ac:dyDescent="0.25">
      <c r="A848" s="164">
        <v>44550</v>
      </c>
      <c r="B848" s="158" t="s">
        <v>206</v>
      </c>
      <c r="C848" s="158">
        <v>1</v>
      </c>
      <c r="D848" s="158"/>
      <c r="E848" s="158" t="s">
        <v>122</v>
      </c>
      <c r="F848" s="124"/>
      <c r="G848" s="126">
        <v>4</v>
      </c>
    </row>
    <row r="849" spans="1:7" x14ac:dyDescent="0.25">
      <c r="A849" s="164">
        <v>44550</v>
      </c>
      <c r="B849" s="158" t="s">
        <v>277</v>
      </c>
      <c r="C849" s="158">
        <v>2</v>
      </c>
      <c r="D849" s="158"/>
      <c r="E849" s="158" t="s">
        <v>306</v>
      </c>
      <c r="F849" s="124"/>
      <c r="G849" s="126">
        <v>1.6</v>
      </c>
    </row>
    <row r="850" spans="1:7" x14ac:dyDescent="0.25">
      <c r="A850" s="164">
        <v>44550</v>
      </c>
      <c r="B850" s="158" t="s">
        <v>205</v>
      </c>
      <c r="C850" s="158">
        <v>1</v>
      </c>
      <c r="D850" s="158"/>
      <c r="E850" s="158" t="s">
        <v>306</v>
      </c>
      <c r="F850" s="124"/>
      <c r="G850" s="126">
        <v>1.71</v>
      </c>
    </row>
    <row r="851" spans="1:7" x14ac:dyDescent="0.25">
      <c r="A851" s="164">
        <v>44550</v>
      </c>
      <c r="B851" s="158" t="s">
        <v>191</v>
      </c>
      <c r="C851" s="158">
        <v>1</v>
      </c>
      <c r="D851" s="158"/>
      <c r="E851" s="158" t="s">
        <v>306</v>
      </c>
      <c r="F851" s="124"/>
      <c r="G851" s="126">
        <v>1.2</v>
      </c>
    </row>
    <row r="852" spans="1:7" x14ac:dyDescent="0.25">
      <c r="A852" s="163">
        <v>44550</v>
      </c>
      <c r="B852" s="159" t="s">
        <v>125</v>
      </c>
      <c r="C852" s="159">
        <v>1</v>
      </c>
      <c r="D852" s="159"/>
      <c r="E852" s="159" t="s">
        <v>130</v>
      </c>
      <c r="F852" s="410"/>
      <c r="G852" s="127">
        <v>1</v>
      </c>
    </row>
    <row r="853" spans="1:7" x14ac:dyDescent="0.25">
      <c r="A853" s="161">
        <v>44551</v>
      </c>
      <c r="B853" s="162" t="s">
        <v>672</v>
      </c>
      <c r="C853" s="162">
        <v>1</v>
      </c>
      <c r="D853" s="162"/>
      <c r="E853" s="162" t="s">
        <v>130</v>
      </c>
      <c r="F853" s="409"/>
      <c r="G853" s="125">
        <v>1</v>
      </c>
    </row>
    <row r="854" spans="1:7" x14ac:dyDescent="0.25">
      <c r="A854" s="163">
        <v>44551</v>
      </c>
      <c r="B854" s="159" t="s">
        <v>191</v>
      </c>
      <c r="C854" s="159">
        <v>1</v>
      </c>
      <c r="D854" s="159"/>
      <c r="E854" s="159" t="s">
        <v>130</v>
      </c>
      <c r="F854" s="410"/>
      <c r="G854" s="126">
        <v>1.2</v>
      </c>
    </row>
    <row r="855" spans="1:7" x14ac:dyDescent="0.25">
      <c r="A855" s="161">
        <v>44552</v>
      </c>
      <c r="B855" s="162" t="s">
        <v>319</v>
      </c>
      <c r="C855" s="162">
        <v>1</v>
      </c>
      <c r="D855" s="162"/>
      <c r="E855" s="162" t="s">
        <v>122</v>
      </c>
      <c r="F855" s="409"/>
      <c r="G855" s="93">
        <v>0.43</v>
      </c>
    </row>
    <row r="856" spans="1:7" x14ac:dyDescent="0.25">
      <c r="A856" s="164">
        <v>44552</v>
      </c>
      <c r="B856" s="158" t="s">
        <v>206</v>
      </c>
      <c r="C856" s="158">
        <v>1</v>
      </c>
      <c r="D856" s="158"/>
      <c r="E856" s="158" t="s">
        <v>122</v>
      </c>
      <c r="F856" s="124"/>
      <c r="G856" s="126">
        <v>4</v>
      </c>
    </row>
    <row r="857" spans="1:7" x14ac:dyDescent="0.25">
      <c r="A857" s="163">
        <v>44552</v>
      </c>
      <c r="B857" s="159" t="s">
        <v>186</v>
      </c>
      <c r="C857" s="159">
        <v>2</v>
      </c>
      <c r="D857" s="159"/>
      <c r="E857" s="159" t="s">
        <v>130</v>
      </c>
      <c r="F857" s="410"/>
      <c r="G857" s="127">
        <v>1.6</v>
      </c>
    </row>
    <row r="858" spans="1:7" x14ac:dyDescent="0.25">
      <c r="A858" s="161">
        <v>44553</v>
      </c>
      <c r="B858" s="162" t="s">
        <v>194</v>
      </c>
      <c r="C858" s="162">
        <v>1</v>
      </c>
      <c r="D858" s="162"/>
      <c r="E858" s="162" t="s">
        <v>130</v>
      </c>
      <c r="F858" s="409"/>
      <c r="G858" s="125">
        <v>0.4</v>
      </c>
    </row>
    <row r="859" spans="1:7" x14ac:dyDescent="0.25">
      <c r="A859" s="164">
        <v>44553</v>
      </c>
      <c r="B859" s="158" t="s">
        <v>186</v>
      </c>
      <c r="C859" s="158">
        <v>1</v>
      </c>
      <c r="D859" s="158"/>
      <c r="E859" s="158" t="s">
        <v>130</v>
      </c>
      <c r="F859" s="124"/>
      <c r="G859" s="126">
        <v>0.8</v>
      </c>
    </row>
    <row r="860" spans="1:7" x14ac:dyDescent="0.25">
      <c r="A860" s="163">
        <v>44553</v>
      </c>
      <c r="B860" s="159" t="s">
        <v>191</v>
      </c>
      <c r="C860" s="159">
        <v>1</v>
      </c>
      <c r="D860" s="159"/>
      <c r="E860" s="159" t="s">
        <v>130</v>
      </c>
      <c r="F860" s="410"/>
      <c r="G860" s="127">
        <v>1.2</v>
      </c>
    </row>
    <row r="861" spans="1:7" x14ac:dyDescent="0.25">
      <c r="A861" s="161">
        <v>44554</v>
      </c>
      <c r="B861" s="162" t="s">
        <v>277</v>
      </c>
      <c r="C861" s="162">
        <v>2</v>
      </c>
      <c r="D861" s="162"/>
      <c r="E861" s="162" t="s">
        <v>130</v>
      </c>
      <c r="F861" s="409"/>
      <c r="G861" s="125">
        <v>1.6</v>
      </c>
    </row>
    <row r="862" spans="1:7" x14ac:dyDescent="0.25">
      <c r="A862" s="164">
        <v>44554</v>
      </c>
      <c r="B862" s="158" t="s">
        <v>186</v>
      </c>
      <c r="C862" s="158">
        <v>2</v>
      </c>
      <c r="D862" s="158"/>
      <c r="E862" s="158" t="s">
        <v>130</v>
      </c>
      <c r="F862" s="124"/>
      <c r="G862" s="126">
        <v>1.6</v>
      </c>
    </row>
    <row r="863" spans="1:7" x14ac:dyDescent="0.25">
      <c r="A863" s="163">
        <v>44554</v>
      </c>
      <c r="B863" s="159" t="s">
        <v>210</v>
      </c>
      <c r="C863" s="159">
        <v>1</v>
      </c>
      <c r="D863" s="159"/>
      <c r="E863" s="159" t="s">
        <v>130</v>
      </c>
      <c r="F863" s="410"/>
      <c r="G863" s="127">
        <v>0.45</v>
      </c>
    </row>
    <row r="864" spans="1:7" x14ac:dyDescent="0.25">
      <c r="A864" s="161">
        <v>44556</v>
      </c>
      <c r="B864" s="162" t="s">
        <v>219</v>
      </c>
      <c r="C864" s="162">
        <v>1</v>
      </c>
      <c r="D864" s="162"/>
      <c r="E864" s="162" t="s">
        <v>670</v>
      </c>
      <c r="F864" s="409"/>
      <c r="G864" s="125">
        <v>0.8</v>
      </c>
    </row>
    <row r="865" spans="1:7" x14ac:dyDescent="0.25">
      <c r="A865" s="164">
        <v>44556</v>
      </c>
      <c r="B865" s="158" t="s">
        <v>186</v>
      </c>
      <c r="C865" s="158">
        <v>3</v>
      </c>
      <c r="D865" s="158"/>
      <c r="E865" s="158" t="s">
        <v>130</v>
      </c>
      <c r="F865" s="124"/>
      <c r="G865" s="126">
        <v>2.4</v>
      </c>
    </row>
    <row r="866" spans="1:7" x14ac:dyDescent="0.25">
      <c r="A866" s="163">
        <v>44556</v>
      </c>
      <c r="B866" s="159" t="s">
        <v>191</v>
      </c>
      <c r="C866" s="159">
        <v>1</v>
      </c>
      <c r="D866" s="159"/>
      <c r="E866" s="159" t="s">
        <v>130</v>
      </c>
      <c r="F866" s="410"/>
      <c r="G866" s="127">
        <v>1.2</v>
      </c>
    </row>
    <row r="867" spans="1:7" x14ac:dyDescent="0.25">
      <c r="A867" s="161">
        <v>44557</v>
      </c>
      <c r="B867" s="162" t="s">
        <v>672</v>
      </c>
      <c r="C867" s="162">
        <v>1</v>
      </c>
      <c r="D867" s="162"/>
      <c r="E867" s="162" t="s">
        <v>130</v>
      </c>
      <c r="F867" s="409"/>
      <c r="G867" s="125">
        <v>1</v>
      </c>
    </row>
    <row r="868" spans="1:7" x14ac:dyDescent="0.25">
      <c r="A868" s="164">
        <v>44557</v>
      </c>
      <c r="B868" s="158" t="s">
        <v>125</v>
      </c>
      <c r="C868" s="158">
        <v>1</v>
      </c>
      <c r="D868" s="158"/>
      <c r="E868" s="158" t="s">
        <v>130</v>
      </c>
      <c r="F868" s="124"/>
      <c r="G868" s="45">
        <v>1</v>
      </c>
    </row>
    <row r="869" spans="1:7" x14ac:dyDescent="0.25">
      <c r="A869" s="163">
        <v>44557</v>
      </c>
      <c r="B869" s="159" t="s">
        <v>191</v>
      </c>
      <c r="C869" s="159">
        <v>1</v>
      </c>
      <c r="D869" s="159"/>
      <c r="E869" s="159" t="s">
        <v>130</v>
      </c>
      <c r="F869" s="410"/>
      <c r="G869" s="49">
        <v>1</v>
      </c>
    </row>
    <row r="870" spans="1:7" x14ac:dyDescent="0.25">
      <c r="A870" s="161">
        <v>44558</v>
      </c>
      <c r="B870" s="162" t="s">
        <v>219</v>
      </c>
      <c r="C870" s="162">
        <v>1</v>
      </c>
      <c r="D870" s="162"/>
      <c r="E870" s="162" t="s">
        <v>130</v>
      </c>
      <c r="F870" s="409"/>
      <c r="G870" s="41">
        <v>0.8</v>
      </c>
    </row>
    <row r="871" spans="1:7" x14ac:dyDescent="0.25">
      <c r="A871" s="164">
        <v>44558</v>
      </c>
      <c r="B871" s="158" t="s">
        <v>194</v>
      </c>
      <c r="C871" s="158">
        <v>1</v>
      </c>
      <c r="D871" s="158"/>
      <c r="E871" s="158" t="s">
        <v>130</v>
      </c>
      <c r="F871" s="124"/>
      <c r="G871" s="45">
        <v>0.4</v>
      </c>
    </row>
    <row r="872" spans="1:7" x14ac:dyDescent="0.25">
      <c r="A872" s="163">
        <v>44558</v>
      </c>
      <c r="B872" s="159" t="s">
        <v>186</v>
      </c>
      <c r="C872" s="159">
        <v>1</v>
      </c>
      <c r="D872" s="159"/>
      <c r="E872" s="159" t="s">
        <v>130</v>
      </c>
      <c r="F872" s="410"/>
      <c r="G872" s="49">
        <v>0.8</v>
      </c>
    </row>
    <row r="873" spans="1:7" x14ac:dyDescent="0.25">
      <c r="A873" s="161">
        <v>44559</v>
      </c>
      <c r="B873" s="162" t="s">
        <v>277</v>
      </c>
      <c r="C873" s="162">
        <v>2</v>
      </c>
      <c r="D873" s="162"/>
      <c r="E873" s="162" t="s">
        <v>130</v>
      </c>
      <c r="F873" s="409"/>
      <c r="G873" s="41">
        <f>0.8*2</f>
        <v>1.6</v>
      </c>
    </row>
    <row r="874" spans="1:7" x14ac:dyDescent="0.25">
      <c r="A874" s="164">
        <v>44559</v>
      </c>
      <c r="B874" s="158" t="s">
        <v>195</v>
      </c>
      <c r="C874" s="158">
        <v>2</v>
      </c>
      <c r="D874" s="158"/>
      <c r="E874" s="158" t="s">
        <v>130</v>
      </c>
      <c r="F874" s="124"/>
      <c r="G874" s="41">
        <f>0.8*2</f>
        <v>1.6</v>
      </c>
    </row>
    <row r="875" spans="1:7" x14ac:dyDescent="0.25">
      <c r="A875" s="164">
        <v>44559</v>
      </c>
      <c r="B875" s="158" t="s">
        <v>672</v>
      </c>
      <c r="C875" s="158">
        <v>1</v>
      </c>
      <c r="D875" s="158"/>
      <c r="E875" s="158" t="s">
        <v>130</v>
      </c>
      <c r="F875" s="124"/>
      <c r="G875" s="45">
        <v>1</v>
      </c>
    </row>
    <row r="876" spans="1:7" x14ac:dyDescent="0.25">
      <c r="A876" s="163">
        <v>44559</v>
      </c>
      <c r="B876" s="159" t="s">
        <v>191</v>
      </c>
      <c r="C876" s="56">
        <v>0</v>
      </c>
      <c r="D876" s="159"/>
      <c r="E876" s="159" t="s">
        <v>130</v>
      </c>
      <c r="F876" s="410"/>
      <c r="G876" s="416"/>
    </row>
    <row r="877" spans="1:7" x14ac:dyDescent="0.25">
      <c r="A877" s="164">
        <v>44560</v>
      </c>
      <c r="B877" s="158" t="s">
        <v>124</v>
      </c>
      <c r="C877" s="158">
        <v>1</v>
      </c>
      <c r="D877" s="158"/>
      <c r="E877" s="158" t="s">
        <v>779</v>
      </c>
      <c r="F877" s="124"/>
      <c r="G877" s="45">
        <v>1.2</v>
      </c>
    </row>
    <row r="878" spans="1:7" x14ac:dyDescent="0.25">
      <c r="A878" s="164">
        <v>44560</v>
      </c>
      <c r="B878" s="158" t="s">
        <v>191</v>
      </c>
      <c r="C878" s="158">
        <v>1</v>
      </c>
      <c r="D878" s="158"/>
      <c r="E878" s="158" t="s">
        <v>779</v>
      </c>
      <c r="F878" s="124"/>
      <c r="G878" s="45">
        <v>1.2</v>
      </c>
    </row>
    <row r="879" spans="1:7" x14ac:dyDescent="0.25">
      <c r="A879" s="161">
        <v>44561</v>
      </c>
      <c r="B879" s="162" t="s">
        <v>186</v>
      </c>
      <c r="C879" s="162">
        <v>3</v>
      </c>
      <c r="D879" s="162"/>
      <c r="E879" s="162" t="s">
        <v>130</v>
      </c>
      <c r="F879" s="409"/>
      <c r="G879" s="41">
        <f>0.8*3</f>
        <v>2.4000000000000004</v>
      </c>
    </row>
    <row r="880" spans="1:7" x14ac:dyDescent="0.25">
      <c r="A880" s="161">
        <v>44561</v>
      </c>
      <c r="B880" s="158" t="s">
        <v>213</v>
      </c>
      <c r="C880" s="158">
        <v>1</v>
      </c>
      <c r="D880" s="158"/>
      <c r="E880" s="158" t="s">
        <v>130</v>
      </c>
      <c r="F880" s="124"/>
      <c r="G880" s="45">
        <v>0.4</v>
      </c>
    </row>
    <row r="881" spans="1:16" x14ac:dyDescent="0.25">
      <c r="A881" s="161">
        <v>44561</v>
      </c>
      <c r="B881" s="158" t="s">
        <v>124</v>
      </c>
      <c r="C881" s="158">
        <v>1</v>
      </c>
      <c r="D881" s="158"/>
      <c r="E881" s="158" t="s">
        <v>130</v>
      </c>
      <c r="F881" s="124"/>
      <c r="G881" s="45">
        <v>1.2</v>
      </c>
    </row>
    <row r="882" spans="1:16" x14ac:dyDescent="0.25">
      <c r="A882" s="161">
        <v>44561</v>
      </c>
      <c r="B882" s="159" t="s">
        <v>191</v>
      </c>
      <c r="C882" s="159">
        <v>3</v>
      </c>
      <c r="D882" s="159"/>
      <c r="E882" s="159" t="s">
        <v>130</v>
      </c>
      <c r="F882" s="410"/>
      <c r="G882" s="49">
        <f>1.2*3</f>
        <v>3.5999999999999996</v>
      </c>
    </row>
    <row r="883" spans="1:16" x14ac:dyDescent="0.25">
      <c r="A883" s="170"/>
      <c r="E883" s="15" t="s">
        <v>501</v>
      </c>
      <c r="G883" s="87">
        <f>SUM(G758:G882)</f>
        <v>294.0200000000001</v>
      </c>
    </row>
    <row r="886" spans="1:16" ht="36" x14ac:dyDescent="0.55000000000000004">
      <c r="C886" s="422" t="s">
        <v>806</v>
      </c>
      <c r="J886" s="13"/>
      <c r="K886" s="13"/>
      <c r="L886" s="196" t="s">
        <v>523</v>
      </c>
      <c r="M886" s="13"/>
      <c r="N886" s="13"/>
      <c r="O886" s="13"/>
      <c r="P886" s="13"/>
    </row>
    <row r="887" spans="1:16" x14ac:dyDescent="0.25">
      <c r="J887" s="13"/>
      <c r="K887" s="13"/>
      <c r="L887" s="13"/>
      <c r="M887" s="13"/>
      <c r="N887" s="13"/>
      <c r="O887" s="13"/>
      <c r="P887" s="13"/>
    </row>
    <row r="888" spans="1:16" x14ac:dyDescent="0.25">
      <c r="A888" s="15" t="s">
        <v>181</v>
      </c>
      <c r="B888" s="15" t="s">
        <v>180</v>
      </c>
      <c r="C888" s="15" t="s">
        <v>121</v>
      </c>
      <c r="D888" s="15" t="s">
        <v>187</v>
      </c>
      <c r="E888" s="15" t="s">
        <v>12</v>
      </c>
      <c r="F888" s="87" t="s">
        <v>6</v>
      </c>
      <c r="G888" s="26" t="s">
        <v>237</v>
      </c>
      <c r="J888" s="259" t="s">
        <v>503</v>
      </c>
      <c r="K888" s="259" t="s">
        <v>504</v>
      </c>
      <c r="L888" s="259" t="s">
        <v>505</v>
      </c>
      <c r="M888" s="259" t="s">
        <v>506</v>
      </c>
      <c r="N888" s="259" t="s">
        <v>507</v>
      </c>
      <c r="O888" s="259" t="s">
        <v>6</v>
      </c>
      <c r="P888" s="259" t="s">
        <v>508</v>
      </c>
    </row>
    <row r="889" spans="1:16" x14ac:dyDescent="0.25">
      <c r="A889" s="171">
        <v>44562</v>
      </c>
      <c r="B889" s="172" t="s">
        <v>277</v>
      </c>
      <c r="C889" s="172">
        <v>1</v>
      </c>
      <c r="D889" s="172"/>
      <c r="E889" s="172" t="s">
        <v>796</v>
      </c>
      <c r="F889" s="172"/>
      <c r="G889" s="419">
        <v>0.9</v>
      </c>
      <c r="I889"/>
      <c r="J889" s="365">
        <v>44562</v>
      </c>
      <c r="K889" s="370" t="s">
        <v>510</v>
      </c>
      <c r="L889" s="366" t="s">
        <v>907</v>
      </c>
      <c r="M889" s="368">
        <v>67.37</v>
      </c>
      <c r="N889" s="366"/>
      <c r="O889" s="367">
        <v>4.5999999999999996</v>
      </c>
      <c r="P889" s="368">
        <f>Tabla2125[[#This Row],[MONTO (ENTREGA)]]/Tabla2125[[#This Row],[TASA]]</f>
        <v>14.645652173913046</v>
      </c>
    </row>
    <row r="890" spans="1:16" x14ac:dyDescent="0.25">
      <c r="A890" s="161">
        <v>44563</v>
      </c>
      <c r="B890" s="162" t="s">
        <v>215</v>
      </c>
      <c r="C890" s="162">
        <v>1</v>
      </c>
      <c r="D890" s="162"/>
      <c r="E890" s="162" t="s">
        <v>122</v>
      </c>
      <c r="F890" s="162"/>
      <c r="G890" s="420">
        <v>0.5</v>
      </c>
      <c r="I890"/>
      <c r="J890" s="365">
        <v>44562</v>
      </c>
      <c r="K890" s="370" t="s">
        <v>510</v>
      </c>
      <c r="L890" s="366" t="s">
        <v>908</v>
      </c>
      <c r="M890" s="368">
        <v>554.1</v>
      </c>
      <c r="N890" s="366"/>
      <c r="O890" s="367">
        <v>4.5999999999999996</v>
      </c>
      <c r="P890" s="368">
        <f>Tabla2125[[#This Row],[MONTO (ENTREGA)]]/Tabla2125[[#This Row],[TASA]]</f>
        <v>120.45652173913045</v>
      </c>
    </row>
    <row r="891" spans="1:16" ht="14.25" customHeight="1" x14ac:dyDescent="0.25">
      <c r="A891" s="163">
        <v>44563</v>
      </c>
      <c r="B891" s="159" t="s">
        <v>797</v>
      </c>
      <c r="C891" s="159">
        <v>1</v>
      </c>
      <c r="D891" s="159"/>
      <c r="E891" s="159" t="s">
        <v>122</v>
      </c>
      <c r="F891" s="159"/>
      <c r="G891" s="421">
        <f>1.5*Tabla28[[#This Row],[CANTIDAD]]</f>
        <v>1.5</v>
      </c>
      <c r="I891"/>
      <c r="J891" s="365">
        <v>44562</v>
      </c>
      <c r="K891" s="370" t="s">
        <v>510</v>
      </c>
      <c r="L891" s="366" t="s">
        <v>909</v>
      </c>
      <c r="M891" s="371">
        <v>18.899999999999999</v>
      </c>
      <c r="N891" s="370"/>
      <c r="O891" s="367">
        <v>4.5999999999999996</v>
      </c>
      <c r="P891" s="368">
        <f>Tabla2125[[#This Row],[MONTO (ENTREGA)]]/Tabla2125[[#This Row],[TASA]]</f>
        <v>4.1086956521739131</v>
      </c>
    </row>
    <row r="892" spans="1:16" x14ac:dyDescent="0.25">
      <c r="A892" s="161">
        <v>44565</v>
      </c>
      <c r="B892" s="162" t="s">
        <v>798</v>
      </c>
      <c r="C892" s="162">
        <v>1</v>
      </c>
      <c r="D892" s="162"/>
      <c r="E892" s="162" t="s">
        <v>122</v>
      </c>
      <c r="F892" s="162"/>
      <c r="G892" s="420">
        <f>0.43*Tabla28[[#This Row],[CANTIDAD]]</f>
        <v>0.43</v>
      </c>
      <c r="I892"/>
      <c r="J892" s="365">
        <v>44577</v>
      </c>
      <c r="K892" s="370" t="s">
        <v>510</v>
      </c>
      <c r="L892" s="366" t="s">
        <v>907</v>
      </c>
      <c r="M892" s="368">
        <v>60.83</v>
      </c>
      <c r="N892" s="366"/>
      <c r="O892" s="367">
        <v>4.6399999999999997</v>
      </c>
      <c r="P892" s="368">
        <f>Tabla2125[[#This Row],[MONTO (ENTREGA)]]/Tabla2125[[#This Row],[TASA]]</f>
        <v>13.109913793103448</v>
      </c>
    </row>
    <row r="893" spans="1:16" x14ac:dyDescent="0.25">
      <c r="A893" s="163">
        <v>44565</v>
      </c>
      <c r="B893" s="159" t="s">
        <v>797</v>
      </c>
      <c r="C893" s="159">
        <v>1</v>
      </c>
      <c r="D893" s="159"/>
      <c r="E893" s="159" t="s">
        <v>122</v>
      </c>
      <c r="F893" s="159"/>
      <c r="G893" s="421">
        <f>1.5*Tabla28[[#This Row],[CANTIDAD]]</f>
        <v>1.5</v>
      </c>
      <c r="I893"/>
      <c r="J893" s="365">
        <v>44577</v>
      </c>
      <c r="K893" s="375" t="s">
        <v>510</v>
      </c>
      <c r="L893" s="366" t="s">
        <v>908</v>
      </c>
      <c r="M893" s="376">
        <v>556.32000000000005</v>
      </c>
      <c r="N893" s="375"/>
      <c r="O893" s="367">
        <v>4.6399999999999997</v>
      </c>
      <c r="P893" s="368">
        <f>Tabla2125[[#This Row],[MONTO (ENTREGA)]]/Tabla2125[[#This Row],[TASA]]</f>
        <v>119.89655172413795</v>
      </c>
    </row>
    <row r="894" spans="1:16" x14ac:dyDescent="0.25">
      <c r="A894" s="161">
        <v>44567</v>
      </c>
      <c r="B894" s="162" t="s">
        <v>797</v>
      </c>
      <c r="C894" s="162">
        <v>2</v>
      </c>
      <c r="D894" s="162"/>
      <c r="E894" s="162" t="s">
        <v>122</v>
      </c>
      <c r="F894" s="162"/>
      <c r="G894" s="421">
        <f>1.5*Tabla28[[#This Row],[CANTIDAD]]</f>
        <v>3</v>
      </c>
      <c r="I894"/>
      <c r="J894" s="365">
        <v>44577</v>
      </c>
      <c r="K894" s="375" t="s">
        <v>510</v>
      </c>
      <c r="L894" s="366" t="s">
        <v>909</v>
      </c>
      <c r="M894" s="376">
        <v>21.4</v>
      </c>
      <c r="N894" s="375"/>
      <c r="O894" s="367">
        <v>4.6399999999999997</v>
      </c>
      <c r="P894" s="368">
        <f>Tabla2125[[#This Row],[MONTO (ENTREGA)]]/Tabla2125[[#This Row],[TASA]]</f>
        <v>4.6120689655172411</v>
      </c>
    </row>
    <row r="895" spans="1:16" x14ac:dyDescent="0.25">
      <c r="A895" s="163">
        <v>44567</v>
      </c>
      <c r="B895" s="159" t="s">
        <v>186</v>
      </c>
      <c r="C895" s="159">
        <v>2</v>
      </c>
      <c r="D895" s="159"/>
      <c r="E895" s="159" t="s">
        <v>796</v>
      </c>
      <c r="F895" s="410"/>
      <c r="G895" s="127">
        <f>0.9*Tabla28[[#This Row],[CANTIDAD]]</f>
        <v>1.8</v>
      </c>
      <c r="J895" s="365">
        <v>44562</v>
      </c>
      <c r="K895" s="375" t="s">
        <v>509</v>
      </c>
      <c r="L895" s="366" t="s">
        <v>910</v>
      </c>
      <c r="M895" s="378">
        <v>455</v>
      </c>
      <c r="N895" s="375"/>
      <c r="O895" s="372"/>
      <c r="P895" s="378">
        <v>455</v>
      </c>
    </row>
    <row r="896" spans="1:16" x14ac:dyDescent="0.25">
      <c r="A896" s="171">
        <v>44568</v>
      </c>
      <c r="B896" s="172" t="s">
        <v>797</v>
      </c>
      <c r="C896" s="172">
        <v>1</v>
      </c>
      <c r="D896" s="172"/>
      <c r="E896" s="172" t="s">
        <v>122</v>
      </c>
      <c r="F896" s="411"/>
      <c r="G896" s="421">
        <f>1.5*Tabla28[[#This Row],[CANTIDAD]]</f>
        <v>1.5</v>
      </c>
      <c r="J896" s="379">
        <v>44577</v>
      </c>
      <c r="K896" s="380" t="s">
        <v>510</v>
      </c>
      <c r="L896" s="370" t="s">
        <v>907</v>
      </c>
      <c r="M896" s="381">
        <v>480</v>
      </c>
      <c r="N896" s="380"/>
      <c r="O896" s="372"/>
      <c r="P896" s="383">
        <v>480</v>
      </c>
    </row>
    <row r="897" spans="1:23" x14ac:dyDescent="0.25">
      <c r="A897" s="161">
        <v>44569</v>
      </c>
      <c r="B897" s="162" t="s">
        <v>124</v>
      </c>
      <c r="C897" s="162">
        <v>1</v>
      </c>
      <c r="D897" s="162"/>
      <c r="E897" s="162" t="s">
        <v>122</v>
      </c>
      <c r="F897" s="409"/>
      <c r="G897" s="125">
        <f>1.5*Tabla28[[#This Row],[CANTIDAD]]</f>
        <v>1.5</v>
      </c>
      <c r="J897" s="369"/>
      <c r="K897" s="370"/>
      <c r="L897" s="370"/>
      <c r="M897" s="428"/>
      <c r="N897" s="370"/>
      <c r="O897" s="372" t="s">
        <v>501</v>
      </c>
      <c r="P897" s="429">
        <f>SUBTOTAL(109,P889:P896)</f>
        <v>1211.8294040479761</v>
      </c>
      <c r="Q897" s="13"/>
      <c r="R897" s="13"/>
      <c r="S897" s="13"/>
      <c r="T897" s="13"/>
      <c r="U897" s="13"/>
      <c r="V897" s="13"/>
      <c r="W897" s="13"/>
    </row>
    <row r="898" spans="1:23" x14ac:dyDescent="0.25">
      <c r="A898" s="163">
        <v>44569</v>
      </c>
      <c r="B898" s="159" t="s">
        <v>219</v>
      </c>
      <c r="C898" s="159">
        <v>1</v>
      </c>
      <c r="D898" s="159"/>
      <c r="E898" s="159" t="s">
        <v>796</v>
      </c>
      <c r="F898" s="410"/>
      <c r="G898" s="127">
        <f>0.9*Tabla28[[#This Row],[CANTIDAD]]</f>
        <v>0.9</v>
      </c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</row>
    <row r="899" spans="1:23" x14ac:dyDescent="0.25">
      <c r="A899" s="161">
        <v>44570</v>
      </c>
      <c r="B899" s="162" t="s">
        <v>799</v>
      </c>
      <c r="C899" s="162">
        <v>1</v>
      </c>
      <c r="D899" s="162"/>
      <c r="E899" s="162" t="s">
        <v>122</v>
      </c>
      <c r="F899" s="409"/>
      <c r="G899" s="125">
        <v>3</v>
      </c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</row>
    <row r="900" spans="1:23" x14ac:dyDescent="0.25">
      <c r="A900" s="164">
        <v>44570</v>
      </c>
      <c r="B900" s="158" t="s">
        <v>277</v>
      </c>
      <c r="C900" s="158">
        <v>3</v>
      </c>
      <c r="D900" s="158"/>
      <c r="E900" s="158" t="s">
        <v>796</v>
      </c>
      <c r="F900" s="124"/>
      <c r="G900" s="126">
        <f>0.9*Tabla28[[#This Row],[CANTIDAD]]</f>
        <v>2.7</v>
      </c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</row>
    <row r="901" spans="1:23" x14ac:dyDescent="0.25">
      <c r="A901" s="164">
        <v>44570</v>
      </c>
      <c r="B901" s="158" t="s">
        <v>186</v>
      </c>
      <c r="C901" s="158">
        <v>2</v>
      </c>
      <c r="D901" s="158"/>
      <c r="E901" s="158" t="s">
        <v>796</v>
      </c>
      <c r="F901" s="124"/>
      <c r="G901" s="127">
        <f>0.9*Tabla28[[#This Row],[CANTIDAD]]</f>
        <v>1.8</v>
      </c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</row>
    <row r="902" spans="1:23" x14ac:dyDescent="0.25">
      <c r="A902" s="163">
        <v>44570</v>
      </c>
      <c r="B902" s="159" t="s">
        <v>797</v>
      </c>
      <c r="C902" s="159">
        <v>1</v>
      </c>
      <c r="D902" s="159"/>
      <c r="E902" s="159" t="s">
        <v>796</v>
      </c>
      <c r="F902" s="410"/>
      <c r="G902" s="421">
        <f>1.5*Tabla28[[#This Row],[CANTIDAD]]</f>
        <v>1.5</v>
      </c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</row>
    <row r="903" spans="1:23" x14ac:dyDescent="0.25">
      <c r="A903" s="161">
        <v>44571</v>
      </c>
      <c r="B903" s="162" t="s">
        <v>797</v>
      </c>
      <c r="C903" s="162">
        <v>1</v>
      </c>
      <c r="D903" s="162"/>
      <c r="E903" s="162" t="s">
        <v>122</v>
      </c>
      <c r="F903" s="409"/>
      <c r="G903" s="421">
        <f>1.5*Tabla28[[#This Row],[CANTIDAD]]</f>
        <v>1.5</v>
      </c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</row>
    <row r="904" spans="1:23" x14ac:dyDescent="0.25">
      <c r="A904" s="164">
        <v>44571</v>
      </c>
      <c r="B904" s="158" t="s">
        <v>277</v>
      </c>
      <c r="C904" s="158">
        <v>3</v>
      </c>
      <c r="D904" s="158"/>
      <c r="E904" s="158" t="s">
        <v>796</v>
      </c>
      <c r="F904" s="124"/>
      <c r="G904" s="126">
        <f>0.9*Tabla28[[#This Row],[CANTIDAD]]</f>
        <v>2.7</v>
      </c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</row>
    <row r="905" spans="1:23" x14ac:dyDescent="0.25">
      <c r="A905" s="164">
        <v>44571</v>
      </c>
      <c r="B905" s="158" t="s">
        <v>804</v>
      </c>
      <c r="C905" s="158">
        <v>1</v>
      </c>
      <c r="D905" s="158"/>
      <c r="E905" s="158" t="s">
        <v>796</v>
      </c>
      <c r="F905" s="124"/>
      <c r="G905" s="126">
        <v>0.56000000000000005</v>
      </c>
    </row>
    <row r="906" spans="1:23" x14ac:dyDescent="0.25">
      <c r="A906" s="163">
        <v>44571</v>
      </c>
      <c r="B906" s="159" t="s">
        <v>797</v>
      </c>
      <c r="C906" s="159">
        <v>1</v>
      </c>
      <c r="D906" s="159"/>
      <c r="E906" s="159" t="s">
        <v>800</v>
      </c>
      <c r="F906" s="410"/>
      <c r="G906" s="421">
        <f>1.5*Tabla28[[#This Row],[CANTIDAD]]</f>
        <v>1.5</v>
      </c>
    </row>
    <row r="907" spans="1:23" x14ac:dyDescent="0.25">
      <c r="A907" s="161">
        <v>44572</v>
      </c>
      <c r="B907" s="162" t="s">
        <v>219</v>
      </c>
      <c r="C907" s="162">
        <v>2</v>
      </c>
      <c r="D907" s="162"/>
      <c r="E907" s="162" t="s">
        <v>796</v>
      </c>
      <c r="F907" s="409"/>
      <c r="G907" s="127">
        <f>0.9*Tabla28[[#This Row],[CANTIDAD]]</f>
        <v>1.8</v>
      </c>
    </row>
    <row r="908" spans="1:23" x14ac:dyDescent="0.25">
      <c r="A908" s="163">
        <v>44572</v>
      </c>
      <c r="B908" s="159" t="s">
        <v>194</v>
      </c>
      <c r="C908" s="159">
        <v>2</v>
      </c>
      <c r="D908" s="159"/>
      <c r="E908" s="159" t="s">
        <v>796</v>
      </c>
      <c r="F908" s="410"/>
      <c r="G908" s="127">
        <f>0.5*Tabla28[[#This Row],[CANTIDAD]]</f>
        <v>1</v>
      </c>
    </row>
    <row r="909" spans="1:23" x14ac:dyDescent="0.25">
      <c r="A909" s="161">
        <v>44573</v>
      </c>
      <c r="B909" s="162" t="s">
        <v>206</v>
      </c>
      <c r="C909" s="162">
        <v>1</v>
      </c>
      <c r="D909" s="162"/>
      <c r="E909" s="162" t="s">
        <v>122</v>
      </c>
      <c r="F909" s="409"/>
      <c r="G909" s="125">
        <v>4</v>
      </c>
    </row>
    <row r="910" spans="1:23" x14ac:dyDescent="0.25">
      <c r="A910" s="163">
        <v>44573</v>
      </c>
      <c r="B910" s="159" t="s">
        <v>277</v>
      </c>
      <c r="C910" s="159">
        <v>1</v>
      </c>
      <c r="D910" s="159"/>
      <c r="E910" s="159" t="s">
        <v>796</v>
      </c>
      <c r="F910" s="410"/>
      <c r="G910" s="126">
        <f>0.9*Tabla28[[#This Row],[CANTIDAD]]</f>
        <v>0.9</v>
      </c>
    </row>
    <row r="911" spans="1:23" x14ac:dyDescent="0.25">
      <c r="A911" s="161">
        <v>44574</v>
      </c>
      <c r="B911" s="162" t="s">
        <v>801</v>
      </c>
      <c r="C911" s="162">
        <v>2</v>
      </c>
      <c r="D911" s="162"/>
      <c r="E911" s="162" t="s">
        <v>122</v>
      </c>
      <c r="F911" s="409"/>
      <c r="G911" s="125">
        <f>1.9*Tabla28[[#This Row],[CANTIDAD]]</f>
        <v>3.8</v>
      </c>
    </row>
    <row r="912" spans="1:23" x14ac:dyDescent="0.25">
      <c r="A912" s="164">
        <v>44574</v>
      </c>
      <c r="B912" s="158" t="s">
        <v>277</v>
      </c>
      <c r="C912" s="158">
        <v>1</v>
      </c>
      <c r="D912" s="158"/>
      <c r="E912" s="158" t="s">
        <v>796</v>
      </c>
      <c r="F912" s="124"/>
      <c r="G912" s="126">
        <f>0.9*Tabla28[[#This Row],[CANTIDAD]]</f>
        <v>0.9</v>
      </c>
    </row>
    <row r="913" spans="1:90" x14ac:dyDescent="0.25">
      <c r="A913" s="164">
        <v>44574</v>
      </c>
      <c r="B913" s="158" t="s">
        <v>219</v>
      </c>
      <c r="C913" s="158">
        <v>1</v>
      </c>
      <c r="D913" s="158"/>
      <c r="E913" s="158" t="s">
        <v>796</v>
      </c>
      <c r="F913" s="124"/>
      <c r="G913" s="127">
        <f>0.9*Tabla28[[#This Row],[CANTIDAD]]</f>
        <v>0.9</v>
      </c>
    </row>
    <row r="914" spans="1:90" x14ac:dyDescent="0.25">
      <c r="A914" s="163">
        <v>44574</v>
      </c>
      <c r="B914" s="159" t="s">
        <v>414</v>
      </c>
      <c r="C914" s="159">
        <v>1</v>
      </c>
      <c r="D914" s="159"/>
      <c r="E914" s="159" t="s">
        <v>796</v>
      </c>
      <c r="F914" s="410"/>
      <c r="G914" s="127">
        <v>0.5</v>
      </c>
    </row>
    <row r="915" spans="1:90" x14ac:dyDescent="0.25">
      <c r="A915" s="161">
        <v>44575</v>
      </c>
      <c r="B915" s="162" t="s">
        <v>798</v>
      </c>
      <c r="C915" s="162">
        <v>1</v>
      </c>
      <c r="D915" s="162"/>
      <c r="E915" s="162" t="s">
        <v>122</v>
      </c>
      <c r="F915" s="409"/>
      <c r="G915" s="420">
        <f>0.43*Tabla28[[#This Row],[CANTIDAD]]</f>
        <v>0.43</v>
      </c>
    </row>
    <row r="916" spans="1:90" x14ac:dyDescent="0.25">
      <c r="A916" s="164">
        <v>44575</v>
      </c>
      <c r="B916" s="158" t="s">
        <v>797</v>
      </c>
      <c r="C916" s="158">
        <v>1</v>
      </c>
      <c r="D916" s="158"/>
      <c r="E916" s="158" t="s">
        <v>122</v>
      </c>
      <c r="F916" s="124"/>
      <c r="G916" s="421">
        <f>1.5*Tabla28[[#This Row],[CANTIDAD]]</f>
        <v>1.5</v>
      </c>
    </row>
    <row r="917" spans="1:90" x14ac:dyDescent="0.25">
      <c r="A917" s="164">
        <v>44575</v>
      </c>
      <c r="B917" s="158" t="s">
        <v>219</v>
      </c>
      <c r="C917" s="158">
        <v>2</v>
      </c>
      <c r="D917" s="158"/>
      <c r="E917" s="158" t="s">
        <v>796</v>
      </c>
      <c r="F917" s="124"/>
      <c r="G917" s="127">
        <f>0.9*Tabla28[[#This Row],[CANTIDAD]]</f>
        <v>1.8</v>
      </c>
    </row>
    <row r="918" spans="1:90" x14ac:dyDescent="0.25">
      <c r="A918" s="163">
        <v>44575</v>
      </c>
      <c r="B918" s="159" t="s">
        <v>219</v>
      </c>
      <c r="C918" s="159">
        <v>1</v>
      </c>
      <c r="D918" s="159"/>
      <c r="E918" s="159" t="s">
        <v>122</v>
      </c>
      <c r="F918" s="410"/>
      <c r="G918" s="127">
        <f>0.9*Tabla28[[#This Row],[CANTIDAD]]</f>
        <v>0.9</v>
      </c>
    </row>
    <row r="919" spans="1:90" x14ac:dyDescent="0.25">
      <c r="A919" s="161">
        <v>44577</v>
      </c>
      <c r="B919" s="162" t="s">
        <v>797</v>
      </c>
      <c r="C919" s="162">
        <v>1</v>
      </c>
      <c r="D919" s="162"/>
      <c r="E919" s="162" t="s">
        <v>796</v>
      </c>
      <c r="F919" s="409"/>
      <c r="G919" s="421">
        <f>1.5*Tabla28[[#This Row],[CANTIDAD]]</f>
        <v>1.5</v>
      </c>
    </row>
    <row r="920" spans="1:90" x14ac:dyDescent="0.25">
      <c r="A920" s="164">
        <v>44577</v>
      </c>
      <c r="B920" s="158" t="s">
        <v>799</v>
      </c>
      <c r="C920" s="158">
        <v>0</v>
      </c>
      <c r="D920" s="158"/>
      <c r="E920" s="158" t="s">
        <v>796</v>
      </c>
      <c r="F920" s="124"/>
      <c r="G920" s="126">
        <v>0</v>
      </c>
    </row>
    <row r="921" spans="1:90" x14ac:dyDescent="0.25">
      <c r="A921" s="164">
        <v>44577</v>
      </c>
      <c r="B921" s="158" t="s">
        <v>133</v>
      </c>
      <c r="C921" s="158">
        <v>0</v>
      </c>
      <c r="D921" s="158"/>
      <c r="E921" s="158" t="s">
        <v>796</v>
      </c>
      <c r="F921" s="124"/>
      <c r="G921" s="126">
        <v>0</v>
      </c>
    </row>
    <row r="922" spans="1:90" x14ac:dyDescent="0.25">
      <c r="A922" s="164">
        <v>44577</v>
      </c>
      <c r="B922" s="158" t="s">
        <v>797</v>
      </c>
      <c r="C922" s="158">
        <v>1</v>
      </c>
      <c r="D922" s="158"/>
      <c r="E922" s="158" t="s">
        <v>796</v>
      </c>
      <c r="F922" s="124"/>
      <c r="G922" s="426">
        <f>1.5*Tabla28[[#This Row],[CANTIDAD]]</f>
        <v>1.5</v>
      </c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  <c r="AD922" s="64"/>
      <c r="AE922" s="64"/>
      <c r="AF922" s="64"/>
      <c r="AG922" s="64"/>
      <c r="AH922" s="64"/>
      <c r="AI922" s="64"/>
      <c r="AJ922" s="64"/>
      <c r="AK922" s="64"/>
      <c r="AL922" s="64"/>
      <c r="AM922" s="64"/>
      <c r="AN922" s="64"/>
      <c r="AO922" s="64"/>
      <c r="AP922" s="64"/>
      <c r="AQ922" s="64"/>
      <c r="AR922" s="64"/>
      <c r="AS922" s="64"/>
      <c r="AT922" s="64"/>
      <c r="AU922" s="64"/>
      <c r="AV922" s="64"/>
      <c r="AW922" s="64"/>
      <c r="AX922" s="64"/>
      <c r="AY922" s="64"/>
      <c r="AZ922" s="64"/>
      <c r="BA922" s="64"/>
      <c r="BB922" s="64"/>
      <c r="BC922" s="64"/>
      <c r="BD922" s="64"/>
      <c r="BE922" s="64"/>
      <c r="BF922" s="64"/>
      <c r="BG922" s="64"/>
      <c r="BH922" s="64"/>
      <c r="BI922" s="64"/>
      <c r="BJ922" s="64"/>
      <c r="BK922" s="64"/>
      <c r="BL922" s="64"/>
      <c r="BM922" s="64"/>
      <c r="BN922" s="64"/>
      <c r="BO922" s="64"/>
      <c r="BP922" s="64"/>
      <c r="BQ922" s="64"/>
      <c r="BR922" s="64"/>
      <c r="BS922" s="64"/>
      <c r="BT922" s="64"/>
      <c r="BU922" s="64"/>
      <c r="BV922" s="64"/>
      <c r="BW922" s="64"/>
      <c r="BX922" s="64"/>
      <c r="BY922" s="64"/>
      <c r="BZ922" s="64"/>
      <c r="CA922" s="64"/>
      <c r="CB922" s="64"/>
      <c r="CC922" s="64"/>
      <c r="CD922" s="64"/>
      <c r="CE922" s="64"/>
      <c r="CF922" s="64"/>
      <c r="CG922" s="64"/>
      <c r="CH922" s="64"/>
      <c r="CI922" s="64"/>
      <c r="CJ922" s="64"/>
      <c r="CK922" s="64"/>
      <c r="CL922" s="64"/>
    </row>
    <row r="923" spans="1:90" s="417" customFormat="1" x14ac:dyDescent="0.25">
      <c r="A923" s="161">
        <v>44578</v>
      </c>
      <c r="B923" s="162" t="s">
        <v>277</v>
      </c>
      <c r="C923" s="162">
        <v>2</v>
      </c>
      <c r="D923" s="162"/>
      <c r="E923" s="162" t="s">
        <v>122</v>
      </c>
      <c r="F923" s="409"/>
      <c r="G923" s="124">
        <f>0.9*Tabla28[[#This Row],[CANTIDAD]]</f>
        <v>1.8</v>
      </c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  <c r="AD923" s="64"/>
      <c r="AE923" s="64"/>
      <c r="AF923" s="64"/>
      <c r="AG923" s="64"/>
      <c r="AH923" s="64"/>
      <c r="AI923" s="64"/>
      <c r="AJ923" s="64"/>
      <c r="AK923" s="64"/>
      <c r="AL923" s="64"/>
      <c r="AM923" s="64"/>
      <c r="AN923" s="64"/>
      <c r="AO923" s="64"/>
      <c r="AP923" s="64"/>
      <c r="AQ923" s="64"/>
      <c r="AR923" s="64"/>
      <c r="AS923" s="64"/>
      <c r="AT923" s="64"/>
      <c r="AU923" s="64"/>
      <c r="AV923" s="64"/>
      <c r="AW923" s="64"/>
      <c r="AX923" s="64"/>
      <c r="AY923" s="64"/>
      <c r="AZ923" s="64"/>
      <c r="BA923" s="64"/>
      <c r="BB923" s="64"/>
      <c r="BC923" s="64"/>
      <c r="BD923" s="64"/>
      <c r="BE923" s="64"/>
      <c r="BF923" s="64"/>
      <c r="BG923" s="64"/>
      <c r="BH923" s="64"/>
      <c r="BI923" s="64"/>
      <c r="BJ923" s="64"/>
      <c r="BK923" s="64"/>
      <c r="BL923" s="64"/>
      <c r="BM923" s="64"/>
      <c r="BN923" s="64"/>
      <c r="BO923" s="64"/>
      <c r="BP923" s="64"/>
      <c r="BQ923" s="64"/>
      <c r="BR923" s="64"/>
      <c r="BS923" s="64"/>
      <c r="BT923" s="64"/>
      <c r="BU923" s="64"/>
      <c r="BV923" s="64"/>
      <c r="BW923" s="64"/>
      <c r="BX923" s="64"/>
      <c r="BY923" s="64"/>
      <c r="BZ923" s="64"/>
      <c r="CA923" s="64"/>
      <c r="CB923" s="64"/>
      <c r="CC923" s="64"/>
      <c r="CD923" s="64"/>
      <c r="CE923" s="64"/>
      <c r="CF923" s="64"/>
      <c r="CG923" s="64"/>
      <c r="CH923" s="64"/>
      <c r="CI923" s="64"/>
      <c r="CJ923" s="64"/>
      <c r="CK923" s="64"/>
      <c r="CL923" s="64"/>
    </row>
    <row r="924" spans="1:90" s="64" customFormat="1" x14ac:dyDescent="0.25">
      <c r="A924" s="164">
        <v>44578</v>
      </c>
      <c r="B924" s="158" t="s">
        <v>219</v>
      </c>
      <c r="C924" s="158">
        <v>5</v>
      </c>
      <c r="D924" s="158"/>
      <c r="E924" s="158" t="s">
        <v>122</v>
      </c>
      <c r="F924" s="124"/>
      <c r="G924" s="410">
        <f>0.9*Tabla28[[#This Row],[CANTIDAD]]</f>
        <v>4.5</v>
      </c>
    </row>
    <row r="925" spans="1:90" s="64" customFormat="1" x14ac:dyDescent="0.25">
      <c r="A925" s="164">
        <v>44578</v>
      </c>
      <c r="B925" s="158" t="s">
        <v>798</v>
      </c>
      <c r="C925" s="158">
        <v>1</v>
      </c>
      <c r="D925" s="158"/>
      <c r="E925" s="158" t="s">
        <v>122</v>
      </c>
      <c r="F925" s="124"/>
      <c r="G925" s="427">
        <f>0.43*Tabla28[[#This Row],[CANTIDAD]]</f>
        <v>0.43</v>
      </c>
    </row>
    <row r="926" spans="1:90" s="64" customFormat="1" x14ac:dyDescent="0.25">
      <c r="A926" s="164">
        <v>44578</v>
      </c>
      <c r="B926" s="158" t="s">
        <v>797</v>
      </c>
      <c r="C926" s="158">
        <v>4</v>
      </c>
      <c r="D926" s="158"/>
      <c r="E926" s="158" t="s">
        <v>122</v>
      </c>
      <c r="F926" s="124"/>
      <c r="G926" s="426">
        <f>1.5*Tabla28[[#This Row],[CANTIDAD]]</f>
        <v>6</v>
      </c>
    </row>
    <row r="927" spans="1:90" s="64" customFormat="1" x14ac:dyDescent="0.25">
      <c r="A927" s="164">
        <v>44578</v>
      </c>
      <c r="B927" s="158" t="s">
        <v>798</v>
      </c>
      <c r="C927" s="158">
        <v>1</v>
      </c>
      <c r="D927" s="158"/>
      <c r="E927" s="158" t="s">
        <v>800</v>
      </c>
      <c r="F927" s="124"/>
      <c r="G927" s="427">
        <f>0.43*Tabla28[[#This Row],[CANTIDAD]]</f>
        <v>0.43</v>
      </c>
    </row>
    <row r="928" spans="1:90" s="418" customFormat="1" x14ac:dyDescent="0.25">
      <c r="A928" s="163">
        <v>44578</v>
      </c>
      <c r="B928" s="159" t="s">
        <v>797</v>
      </c>
      <c r="C928" s="159">
        <v>1</v>
      </c>
      <c r="D928" s="159"/>
      <c r="E928" s="159" t="s">
        <v>800</v>
      </c>
      <c r="F928" s="410"/>
      <c r="G928" s="426">
        <f>1.5*Tabla28[[#This Row],[CANTIDAD]]</f>
        <v>1.5</v>
      </c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  <c r="AD928" s="64"/>
      <c r="AE928" s="64"/>
      <c r="AF928" s="64"/>
      <c r="AG928" s="64"/>
      <c r="AH928" s="64"/>
      <c r="AI928" s="64"/>
      <c r="AJ928" s="64"/>
      <c r="AK928" s="64"/>
      <c r="AL928" s="64"/>
      <c r="AM928" s="64"/>
      <c r="AN928" s="64"/>
      <c r="AO928" s="64"/>
      <c r="AP928" s="64"/>
      <c r="AQ928" s="64"/>
      <c r="AR928" s="64"/>
      <c r="AS928" s="64"/>
      <c r="AT928" s="64"/>
      <c r="AU928" s="64"/>
      <c r="AV928" s="64"/>
      <c r="AW928" s="64"/>
      <c r="AX928" s="64"/>
      <c r="AY928" s="64"/>
      <c r="AZ928" s="64"/>
      <c r="BA928" s="64"/>
      <c r="BB928" s="64"/>
      <c r="BC928" s="64"/>
      <c r="BD928" s="64"/>
      <c r="BE928" s="64"/>
      <c r="BF928" s="64"/>
      <c r="BG928" s="64"/>
      <c r="BH928" s="64"/>
      <c r="BI928" s="64"/>
      <c r="BJ928" s="64"/>
      <c r="BK928" s="64"/>
      <c r="BL928" s="64"/>
      <c r="BM928" s="64"/>
      <c r="BN928" s="64"/>
      <c r="BO928" s="64"/>
      <c r="BP928" s="64"/>
      <c r="BQ928" s="64"/>
      <c r="BR928" s="64"/>
      <c r="BS928" s="64"/>
      <c r="BT928" s="64"/>
      <c r="BU928" s="64"/>
      <c r="BV928" s="64"/>
      <c r="BW928" s="64"/>
      <c r="BX928" s="64"/>
      <c r="BY928" s="64"/>
      <c r="BZ928" s="64"/>
      <c r="CA928" s="64"/>
      <c r="CB928" s="64"/>
      <c r="CC928" s="64"/>
      <c r="CD928" s="64"/>
      <c r="CE928" s="64"/>
      <c r="CF928" s="64"/>
      <c r="CG928" s="64"/>
      <c r="CH928" s="64"/>
      <c r="CI928" s="64"/>
      <c r="CJ928" s="64"/>
      <c r="CK928" s="64"/>
      <c r="CL928" s="64"/>
    </row>
    <row r="929" spans="1:90" s="417" customFormat="1" x14ac:dyDescent="0.25">
      <c r="A929" s="161">
        <v>44579</v>
      </c>
      <c r="B929" s="162" t="s">
        <v>219</v>
      </c>
      <c r="C929" s="162">
        <v>5</v>
      </c>
      <c r="D929" s="162"/>
      <c r="E929" s="162" t="s">
        <v>796</v>
      </c>
      <c r="F929" s="409"/>
      <c r="G929" s="410">
        <f>0.9*Tabla28[[#This Row],[CANTIDAD]]</f>
        <v>4.5</v>
      </c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  <c r="AD929" s="64"/>
      <c r="AE929" s="64"/>
      <c r="AF929" s="64"/>
      <c r="AG929" s="64"/>
      <c r="AH929" s="64"/>
      <c r="AI929" s="64"/>
      <c r="AJ929" s="64"/>
      <c r="AK929" s="64"/>
      <c r="AL929" s="64"/>
      <c r="AM929" s="64"/>
      <c r="AN929" s="64"/>
      <c r="AO929" s="64"/>
      <c r="AP929" s="64"/>
      <c r="AQ929" s="64"/>
      <c r="AR929" s="64"/>
      <c r="AS929" s="64"/>
      <c r="AT929" s="64"/>
      <c r="AU929" s="64"/>
      <c r="AV929" s="64"/>
      <c r="AW929" s="64"/>
      <c r="AX929" s="64"/>
      <c r="AY929" s="64"/>
      <c r="AZ929" s="64"/>
      <c r="BA929" s="64"/>
      <c r="BB929" s="64"/>
      <c r="BC929" s="64"/>
      <c r="BD929" s="64"/>
      <c r="BE929" s="64"/>
      <c r="BF929" s="64"/>
      <c r="BG929" s="64"/>
      <c r="BH929" s="64"/>
      <c r="BI929" s="64"/>
      <c r="BJ929" s="64"/>
      <c r="BK929" s="64"/>
      <c r="BL929" s="64"/>
      <c r="BM929" s="64"/>
      <c r="BN929" s="64"/>
      <c r="BO929" s="64"/>
      <c r="BP929" s="64"/>
      <c r="BQ929" s="64"/>
      <c r="BR929" s="64"/>
      <c r="BS929" s="64"/>
      <c r="BT929" s="64"/>
      <c r="BU929" s="64"/>
      <c r="BV929" s="64"/>
      <c r="BW929" s="64"/>
      <c r="BX929" s="64"/>
      <c r="BY929" s="64"/>
      <c r="BZ929" s="64"/>
      <c r="CA929" s="64"/>
      <c r="CB929" s="64"/>
      <c r="CC929" s="64"/>
      <c r="CD929" s="64"/>
      <c r="CE929" s="64"/>
      <c r="CF929" s="64"/>
      <c r="CG929" s="64"/>
      <c r="CH929" s="64"/>
      <c r="CI929" s="64"/>
      <c r="CJ929" s="64"/>
      <c r="CK929" s="64"/>
      <c r="CL929" s="64"/>
    </row>
    <row r="930" spans="1:90" s="418" customFormat="1" x14ac:dyDescent="0.25">
      <c r="A930" s="163">
        <v>44579</v>
      </c>
      <c r="B930" s="159" t="s">
        <v>797</v>
      </c>
      <c r="C930" s="159">
        <v>1</v>
      </c>
      <c r="D930" s="159"/>
      <c r="E930" s="159" t="s">
        <v>800</v>
      </c>
      <c r="F930" s="410"/>
      <c r="G930" s="426">
        <f>1.5*Tabla28[[#This Row],[CANTIDAD]]</f>
        <v>1.5</v>
      </c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  <c r="AD930" s="64"/>
      <c r="AE930" s="64"/>
      <c r="AF930" s="64"/>
      <c r="AG930" s="64"/>
      <c r="AH930" s="64"/>
      <c r="AI930" s="64"/>
      <c r="AJ930" s="64"/>
      <c r="AK930" s="64"/>
      <c r="AL930" s="64"/>
      <c r="AM930" s="64"/>
      <c r="AN930" s="64"/>
      <c r="AO930" s="64"/>
      <c r="AP930" s="64"/>
      <c r="AQ930" s="64"/>
      <c r="AR930" s="64"/>
      <c r="AS930" s="64"/>
      <c r="AT930" s="64"/>
      <c r="AU930" s="64"/>
      <c r="AV930" s="64"/>
      <c r="AW930" s="64"/>
      <c r="AX930" s="64"/>
      <c r="AY930" s="64"/>
      <c r="AZ930" s="64"/>
      <c r="BA930" s="64"/>
      <c r="BB930" s="64"/>
      <c r="BC930" s="64"/>
      <c r="BD930" s="64"/>
      <c r="BE930" s="64"/>
      <c r="BF930" s="64"/>
      <c r="BG930" s="64"/>
      <c r="BH930" s="64"/>
      <c r="BI930" s="64"/>
      <c r="BJ930" s="64"/>
      <c r="BK930" s="64"/>
      <c r="BL930" s="64"/>
      <c r="BM930" s="64"/>
      <c r="BN930" s="64"/>
      <c r="BO930" s="64"/>
      <c r="BP930" s="64"/>
      <c r="BQ930" s="64"/>
      <c r="BR930" s="64"/>
      <c r="BS930" s="64"/>
      <c r="BT930" s="64"/>
      <c r="BU930" s="64"/>
      <c r="BV930" s="64"/>
      <c r="BW930" s="64"/>
      <c r="BX930" s="64"/>
      <c r="BY930" s="64"/>
      <c r="BZ930" s="64"/>
      <c r="CA930" s="64"/>
      <c r="CB930" s="64"/>
      <c r="CC930" s="64"/>
      <c r="CD930" s="64"/>
      <c r="CE930" s="64"/>
      <c r="CF930" s="64"/>
      <c r="CG930" s="64"/>
      <c r="CH930" s="64"/>
      <c r="CI930" s="64"/>
      <c r="CJ930" s="64"/>
      <c r="CK930" s="64"/>
      <c r="CL930" s="64"/>
    </row>
    <row r="931" spans="1:90" s="417" customFormat="1" x14ac:dyDescent="0.25">
      <c r="A931" s="161">
        <v>44580</v>
      </c>
      <c r="B931" s="162" t="s">
        <v>798</v>
      </c>
      <c r="C931" s="162">
        <v>1</v>
      </c>
      <c r="D931" s="162"/>
      <c r="E931" s="162" t="s">
        <v>122</v>
      </c>
      <c r="F931" s="409"/>
      <c r="G931" s="427">
        <f>0.43*Tabla28[[#This Row],[CANTIDAD]]</f>
        <v>0.43</v>
      </c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  <c r="AD931" s="64"/>
      <c r="AE931" s="64"/>
      <c r="AF931" s="64"/>
      <c r="AG931" s="64"/>
      <c r="AH931" s="64"/>
      <c r="AI931" s="64"/>
      <c r="AJ931" s="64"/>
      <c r="AK931" s="64"/>
      <c r="AL931" s="64"/>
      <c r="AM931" s="64"/>
      <c r="AN931" s="64"/>
      <c r="AO931" s="64"/>
      <c r="AP931" s="64"/>
      <c r="AQ931" s="64"/>
      <c r="AR931" s="64"/>
      <c r="AS931" s="64"/>
      <c r="AT931" s="64"/>
      <c r="AU931" s="64"/>
      <c r="AV931" s="64"/>
      <c r="AW931" s="64"/>
      <c r="AX931" s="64"/>
      <c r="AY931" s="64"/>
      <c r="AZ931" s="64"/>
      <c r="BA931" s="64"/>
      <c r="BB931" s="64"/>
      <c r="BC931" s="64"/>
      <c r="BD931" s="64"/>
      <c r="BE931" s="64"/>
      <c r="BF931" s="64"/>
      <c r="BG931" s="64"/>
      <c r="BH931" s="64"/>
      <c r="BI931" s="64"/>
      <c r="BJ931" s="64"/>
      <c r="BK931" s="64"/>
      <c r="BL931" s="64"/>
      <c r="BM931" s="64"/>
      <c r="BN931" s="64"/>
      <c r="BO931" s="64"/>
      <c r="BP931" s="64"/>
      <c r="BQ931" s="64"/>
      <c r="BR931" s="64"/>
      <c r="BS931" s="64"/>
      <c r="BT931" s="64"/>
      <c r="BU931" s="64"/>
      <c r="BV931" s="64"/>
      <c r="BW931" s="64"/>
      <c r="BX931" s="64"/>
      <c r="BY931" s="64"/>
      <c r="BZ931" s="64"/>
      <c r="CA931" s="64"/>
      <c r="CB931" s="64"/>
      <c r="CC931" s="64"/>
      <c r="CD931" s="64"/>
      <c r="CE931" s="64"/>
      <c r="CF931" s="64"/>
      <c r="CG931" s="64"/>
      <c r="CH931" s="64"/>
      <c r="CI931" s="64"/>
      <c r="CJ931" s="64"/>
      <c r="CK931" s="64"/>
      <c r="CL931" s="64"/>
    </row>
    <row r="932" spans="1:90" s="418" customFormat="1" x14ac:dyDescent="0.25">
      <c r="A932" s="163">
        <v>44580</v>
      </c>
      <c r="B932" s="159" t="s">
        <v>124</v>
      </c>
      <c r="C932" s="159">
        <v>1</v>
      </c>
      <c r="D932" s="159"/>
      <c r="E932" s="159" t="s">
        <v>122</v>
      </c>
      <c r="F932" s="410"/>
      <c r="G932" s="409">
        <f>1.5*Tabla28[[#This Row],[CANTIDAD]]</f>
        <v>1.5</v>
      </c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  <c r="AD932" s="64"/>
      <c r="AE932" s="64"/>
      <c r="AF932" s="64"/>
      <c r="AG932" s="64"/>
      <c r="AH932" s="64"/>
      <c r="AI932" s="64"/>
      <c r="AJ932" s="64"/>
      <c r="AK932" s="64"/>
      <c r="AL932" s="64"/>
      <c r="AM932" s="64"/>
      <c r="AN932" s="64"/>
      <c r="AO932" s="64"/>
      <c r="AP932" s="64"/>
      <c r="AQ932" s="64"/>
      <c r="AR932" s="64"/>
      <c r="AS932" s="64"/>
      <c r="AT932" s="64"/>
      <c r="AU932" s="64"/>
      <c r="AV932" s="64"/>
      <c r="AW932" s="64"/>
      <c r="AX932" s="64"/>
      <c r="AY932" s="64"/>
      <c r="AZ932" s="64"/>
      <c r="BA932" s="64"/>
      <c r="BB932" s="64"/>
      <c r="BC932" s="64"/>
      <c r="BD932" s="64"/>
      <c r="BE932" s="64"/>
      <c r="BF932" s="64"/>
      <c r="BG932" s="64"/>
      <c r="BH932" s="64"/>
      <c r="BI932" s="64"/>
      <c r="BJ932" s="64"/>
      <c r="BK932" s="64"/>
      <c r="BL932" s="64"/>
      <c r="BM932" s="64"/>
      <c r="BN932" s="64"/>
      <c r="BO932" s="64"/>
      <c r="BP932" s="64"/>
      <c r="BQ932" s="64"/>
      <c r="BR932" s="64"/>
      <c r="BS932" s="64"/>
      <c r="BT932" s="64"/>
      <c r="BU932" s="64"/>
      <c r="BV932" s="64"/>
      <c r="BW932" s="64"/>
      <c r="BX932" s="64"/>
      <c r="BY932" s="64"/>
      <c r="BZ932" s="64"/>
      <c r="CA932" s="64"/>
      <c r="CB932" s="64"/>
      <c r="CC932" s="64"/>
      <c r="CD932" s="64"/>
      <c r="CE932" s="64"/>
      <c r="CF932" s="64"/>
      <c r="CG932" s="64"/>
      <c r="CH932" s="64"/>
      <c r="CI932" s="64"/>
      <c r="CJ932" s="64"/>
      <c r="CK932" s="64"/>
      <c r="CL932" s="64"/>
    </row>
    <row r="933" spans="1:90" s="417" customFormat="1" x14ac:dyDescent="0.25">
      <c r="A933" s="161">
        <v>44581</v>
      </c>
      <c r="B933" s="162" t="s">
        <v>798</v>
      </c>
      <c r="C933" s="162">
        <v>1</v>
      </c>
      <c r="D933" s="162"/>
      <c r="E933" s="162" t="s">
        <v>122</v>
      </c>
      <c r="F933" s="409"/>
      <c r="G933" s="427">
        <f>0.43*Tabla28[[#This Row],[CANTIDAD]]</f>
        <v>0.43</v>
      </c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  <c r="AD933" s="64"/>
      <c r="AE933" s="64"/>
      <c r="AF933" s="64"/>
      <c r="AG933" s="64"/>
      <c r="AH933" s="64"/>
      <c r="AI933" s="64"/>
      <c r="AJ933" s="64"/>
      <c r="AK933" s="64"/>
      <c r="AL933" s="64"/>
      <c r="AM933" s="64"/>
      <c r="AN933" s="64"/>
      <c r="AO933" s="64"/>
      <c r="AP933" s="64"/>
      <c r="AQ933" s="64"/>
      <c r="AR933" s="64"/>
      <c r="AS933" s="64"/>
      <c r="AT933" s="64"/>
      <c r="AU933" s="64"/>
      <c r="AV933" s="64"/>
      <c r="AW933" s="64"/>
      <c r="AX933" s="64"/>
      <c r="AY933" s="64"/>
      <c r="AZ933" s="64"/>
      <c r="BA933" s="64"/>
      <c r="BB933" s="64"/>
      <c r="BC933" s="64"/>
      <c r="BD933" s="64"/>
      <c r="BE933" s="64"/>
      <c r="BF933" s="64"/>
      <c r="BG933" s="64"/>
      <c r="BH933" s="64"/>
      <c r="BI933" s="64"/>
      <c r="BJ933" s="64"/>
      <c r="BK933" s="64"/>
      <c r="BL933" s="64"/>
      <c r="BM933" s="64"/>
      <c r="BN933" s="64"/>
      <c r="BO933" s="64"/>
      <c r="BP933" s="64"/>
      <c r="BQ933" s="64"/>
      <c r="BR933" s="64"/>
      <c r="BS933" s="64"/>
      <c r="BT933" s="64"/>
      <c r="BU933" s="64"/>
      <c r="BV933" s="64"/>
      <c r="BW933" s="64"/>
      <c r="BX933" s="64"/>
      <c r="BY933" s="64"/>
      <c r="BZ933" s="64"/>
      <c r="CA933" s="64"/>
      <c r="CB933" s="64"/>
      <c r="CC933" s="64"/>
      <c r="CD933" s="64"/>
      <c r="CE933" s="64"/>
      <c r="CF933" s="64"/>
      <c r="CG933" s="64"/>
      <c r="CH933" s="64"/>
      <c r="CI933" s="64"/>
      <c r="CJ933" s="64"/>
      <c r="CK933" s="64"/>
      <c r="CL933" s="64"/>
    </row>
    <row r="934" spans="1:90" s="64" customFormat="1" x14ac:dyDescent="0.25">
      <c r="A934" s="164">
        <v>44581</v>
      </c>
      <c r="B934" s="158" t="s">
        <v>219</v>
      </c>
      <c r="C934" s="158">
        <v>4</v>
      </c>
      <c r="D934" s="158"/>
      <c r="E934" s="158" t="s">
        <v>796</v>
      </c>
      <c r="F934" s="124"/>
      <c r="G934" s="410">
        <f>0.9*Tabla28[[#This Row],[CANTIDAD]]</f>
        <v>3.6</v>
      </c>
    </row>
    <row r="935" spans="1:90" s="418" customFormat="1" x14ac:dyDescent="0.25">
      <c r="A935" s="163">
        <v>44581</v>
      </c>
      <c r="B935" s="159" t="s">
        <v>194</v>
      </c>
      <c r="C935" s="159">
        <v>1</v>
      </c>
      <c r="D935" s="159"/>
      <c r="E935" s="159" t="s">
        <v>796</v>
      </c>
      <c r="F935" s="410"/>
      <c r="G935" s="410">
        <v>0.5</v>
      </c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  <c r="AD935" s="64"/>
      <c r="AE935" s="64"/>
      <c r="AF935" s="64"/>
      <c r="AG935" s="64"/>
      <c r="AH935" s="64"/>
      <c r="AI935" s="64"/>
      <c r="AJ935" s="64"/>
      <c r="AK935" s="64"/>
      <c r="AL935" s="64"/>
      <c r="AM935" s="64"/>
      <c r="AN935" s="64"/>
      <c r="AO935" s="64"/>
      <c r="AP935" s="64"/>
      <c r="AQ935" s="64"/>
      <c r="AR935" s="64"/>
      <c r="AS935" s="64"/>
      <c r="AT935" s="64"/>
      <c r="AU935" s="64"/>
      <c r="AV935" s="64"/>
      <c r="AW935" s="64"/>
      <c r="AX935" s="64"/>
      <c r="AY935" s="64"/>
      <c r="AZ935" s="64"/>
      <c r="BA935" s="64"/>
      <c r="BB935" s="64"/>
      <c r="BC935" s="64"/>
      <c r="BD935" s="64"/>
      <c r="BE935" s="64"/>
      <c r="BF935" s="64"/>
      <c r="BG935" s="64"/>
      <c r="BH935" s="64"/>
      <c r="BI935" s="64"/>
      <c r="BJ935" s="64"/>
      <c r="BK935" s="64"/>
      <c r="BL935" s="64"/>
      <c r="BM935" s="64"/>
      <c r="BN935" s="64"/>
      <c r="BO935" s="64"/>
      <c r="BP935" s="64"/>
      <c r="BQ935" s="64"/>
      <c r="BR935" s="64"/>
      <c r="BS935" s="64"/>
      <c r="BT935" s="64"/>
      <c r="BU935" s="64"/>
      <c r="BV935" s="64"/>
      <c r="BW935" s="64"/>
      <c r="BX935" s="64"/>
      <c r="BY935" s="64"/>
      <c r="BZ935" s="64"/>
      <c r="CA935" s="64"/>
      <c r="CB935" s="64"/>
      <c r="CC935" s="64"/>
      <c r="CD935" s="64"/>
      <c r="CE935" s="64"/>
      <c r="CF935" s="64"/>
      <c r="CG935" s="64"/>
      <c r="CH935" s="64"/>
      <c r="CI935" s="64"/>
      <c r="CJ935" s="64"/>
      <c r="CK935" s="64"/>
      <c r="CL935" s="64"/>
    </row>
    <row r="936" spans="1:90" s="417" customFormat="1" x14ac:dyDescent="0.25">
      <c r="A936" s="161">
        <v>44582</v>
      </c>
      <c r="B936" s="162" t="s">
        <v>277</v>
      </c>
      <c r="C936" s="162">
        <v>2</v>
      </c>
      <c r="D936" s="162"/>
      <c r="E936" s="162" t="s">
        <v>796</v>
      </c>
      <c r="F936" s="409"/>
      <c r="G936" s="124">
        <f>0.9*Tabla28[[#This Row],[CANTIDAD]]</f>
        <v>1.8</v>
      </c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  <c r="AD936" s="64"/>
      <c r="AE936" s="64"/>
      <c r="AF936" s="64"/>
      <c r="AG936" s="64"/>
      <c r="AH936" s="64"/>
      <c r="AI936" s="64"/>
      <c r="AJ936" s="64"/>
      <c r="AK936" s="64"/>
      <c r="AL936" s="64"/>
      <c r="AM936" s="64"/>
      <c r="AN936" s="64"/>
      <c r="AO936" s="64"/>
      <c r="AP936" s="64"/>
      <c r="AQ936" s="64"/>
      <c r="AR936" s="64"/>
      <c r="AS936" s="64"/>
      <c r="AT936" s="64"/>
      <c r="AU936" s="64"/>
      <c r="AV936" s="64"/>
      <c r="AW936" s="64"/>
      <c r="AX936" s="64"/>
      <c r="AY936" s="64"/>
      <c r="AZ936" s="64"/>
      <c r="BA936" s="64"/>
      <c r="BB936" s="64"/>
      <c r="BC936" s="64"/>
      <c r="BD936" s="64"/>
      <c r="BE936" s="64"/>
      <c r="BF936" s="64"/>
      <c r="BG936" s="64"/>
      <c r="BH936" s="64"/>
      <c r="BI936" s="64"/>
      <c r="BJ936" s="64"/>
      <c r="BK936" s="64"/>
      <c r="BL936" s="64"/>
      <c r="BM936" s="64"/>
      <c r="BN936" s="64"/>
      <c r="BO936" s="64"/>
      <c r="BP936" s="64"/>
      <c r="BQ936" s="64"/>
      <c r="BR936" s="64"/>
      <c r="BS936" s="64"/>
      <c r="BT936" s="64"/>
      <c r="BU936" s="64"/>
      <c r="BV936" s="64"/>
      <c r="BW936" s="64"/>
      <c r="BX936" s="64"/>
      <c r="BY936" s="64"/>
      <c r="BZ936" s="64"/>
      <c r="CA936" s="64"/>
      <c r="CB936" s="64"/>
      <c r="CC936" s="64"/>
      <c r="CD936" s="64"/>
      <c r="CE936" s="64"/>
      <c r="CF936" s="64"/>
      <c r="CG936" s="64"/>
      <c r="CH936" s="64"/>
      <c r="CI936" s="64"/>
      <c r="CJ936" s="64"/>
      <c r="CK936" s="64"/>
      <c r="CL936" s="64"/>
    </row>
    <row r="937" spans="1:90" s="418" customFormat="1" x14ac:dyDescent="0.25">
      <c r="A937" s="163">
        <v>44582</v>
      </c>
      <c r="B937" s="159" t="s">
        <v>194</v>
      </c>
      <c r="C937" s="159">
        <v>3</v>
      </c>
      <c r="D937" s="159"/>
      <c r="E937" s="159" t="s">
        <v>796</v>
      </c>
      <c r="F937" s="410"/>
      <c r="G937" s="410">
        <f>0.5*Tabla28[[#This Row],[CANTIDAD]]</f>
        <v>1.5</v>
      </c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  <c r="AD937" s="64"/>
      <c r="AE937" s="64"/>
      <c r="AF937" s="64"/>
      <c r="AG937" s="64"/>
      <c r="AH937" s="64"/>
      <c r="AI937" s="64"/>
      <c r="AJ937" s="64"/>
      <c r="AK937" s="64"/>
      <c r="AL937" s="64"/>
      <c r="AM937" s="64"/>
      <c r="AN937" s="64"/>
      <c r="AO937" s="64"/>
      <c r="AP937" s="64"/>
      <c r="AQ937" s="64"/>
      <c r="AR937" s="64"/>
      <c r="AS937" s="64"/>
      <c r="AT937" s="64"/>
      <c r="AU937" s="64"/>
      <c r="AV937" s="64"/>
      <c r="AW937" s="64"/>
      <c r="AX937" s="64"/>
      <c r="AY937" s="64"/>
      <c r="AZ937" s="64"/>
      <c r="BA937" s="64"/>
      <c r="BB937" s="64"/>
      <c r="BC937" s="64"/>
      <c r="BD937" s="64"/>
      <c r="BE937" s="64"/>
      <c r="BF937" s="64"/>
      <c r="BG937" s="64"/>
      <c r="BH937" s="64"/>
      <c r="BI937" s="64"/>
      <c r="BJ937" s="64"/>
      <c r="BK937" s="64"/>
      <c r="BL937" s="64"/>
      <c r="BM937" s="64"/>
      <c r="BN937" s="64"/>
      <c r="BO937" s="64"/>
      <c r="BP937" s="64"/>
      <c r="BQ937" s="64"/>
      <c r="BR937" s="64"/>
      <c r="BS937" s="64"/>
      <c r="BT937" s="64"/>
      <c r="BU937" s="64"/>
      <c r="BV937" s="64"/>
      <c r="BW937" s="64"/>
      <c r="BX937" s="64"/>
      <c r="BY937" s="64"/>
      <c r="BZ937" s="64"/>
      <c r="CA937" s="64"/>
      <c r="CB937" s="64"/>
      <c r="CC937" s="64"/>
      <c r="CD937" s="64"/>
      <c r="CE937" s="64"/>
      <c r="CF937" s="64"/>
      <c r="CG937" s="64"/>
      <c r="CH937" s="64"/>
      <c r="CI937" s="64"/>
      <c r="CJ937" s="64"/>
      <c r="CK937" s="64"/>
      <c r="CL937" s="64"/>
    </row>
    <row r="938" spans="1:90" x14ac:dyDescent="0.25">
      <c r="A938" s="161">
        <v>44583</v>
      </c>
      <c r="B938" s="162" t="s">
        <v>798</v>
      </c>
      <c r="C938" s="162">
        <v>2</v>
      </c>
      <c r="D938" s="162"/>
      <c r="E938" s="162" t="s">
        <v>122</v>
      </c>
      <c r="F938" s="409"/>
      <c r="G938" s="427">
        <f>0.43*Tabla28[[#This Row],[CANTIDAD]]</f>
        <v>0.86</v>
      </c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  <c r="AD938" s="64"/>
      <c r="AE938" s="64"/>
      <c r="AF938" s="64"/>
      <c r="AG938" s="64"/>
      <c r="AH938" s="64"/>
      <c r="AI938" s="64"/>
      <c r="AJ938" s="64"/>
      <c r="AK938" s="64"/>
      <c r="AL938" s="64"/>
      <c r="AM938" s="64"/>
      <c r="AN938" s="64"/>
      <c r="AO938" s="64"/>
      <c r="AP938" s="64"/>
      <c r="AQ938" s="64"/>
      <c r="AR938" s="64"/>
      <c r="AS938" s="64"/>
      <c r="AT938" s="64"/>
      <c r="AU938" s="64"/>
      <c r="AV938" s="64"/>
      <c r="AW938" s="64"/>
      <c r="AX938" s="64"/>
      <c r="AY938" s="64"/>
      <c r="AZ938" s="64"/>
      <c r="BA938" s="64"/>
      <c r="BB938" s="64"/>
      <c r="BC938" s="64"/>
      <c r="BD938" s="64"/>
      <c r="BE938" s="64"/>
      <c r="BF938" s="64"/>
      <c r="BG938" s="64"/>
      <c r="BH938" s="64"/>
      <c r="BI938" s="64"/>
      <c r="BJ938" s="64"/>
      <c r="BK938" s="64"/>
      <c r="BL938" s="64"/>
      <c r="BM938" s="64"/>
      <c r="BN938" s="64"/>
      <c r="BO938" s="64"/>
      <c r="BP938" s="64"/>
      <c r="BQ938" s="64"/>
      <c r="BR938" s="64"/>
      <c r="BS938" s="64"/>
      <c r="BT938" s="64"/>
      <c r="BU938" s="64"/>
      <c r="BV938" s="64"/>
      <c r="BW938" s="64"/>
      <c r="BX938" s="64"/>
      <c r="BY938" s="64"/>
      <c r="BZ938" s="64"/>
      <c r="CA938" s="64"/>
      <c r="CB938" s="64"/>
      <c r="CC938" s="64"/>
      <c r="CD938" s="64"/>
      <c r="CE938" s="64"/>
      <c r="CF938" s="64"/>
      <c r="CG938" s="64"/>
      <c r="CH938" s="64"/>
      <c r="CI938" s="64"/>
      <c r="CJ938" s="64"/>
      <c r="CK938" s="64"/>
      <c r="CL938" s="64"/>
    </row>
    <row r="939" spans="1:90" x14ac:dyDescent="0.25">
      <c r="A939" s="164">
        <v>44583</v>
      </c>
      <c r="B939" s="158" t="s">
        <v>797</v>
      </c>
      <c r="C939" s="158">
        <v>2</v>
      </c>
      <c r="D939" s="158"/>
      <c r="E939" s="158" t="s">
        <v>122</v>
      </c>
      <c r="F939" s="124"/>
      <c r="G939" s="426">
        <f>1.5*Tabla28[[#This Row],[CANTIDAD]]</f>
        <v>3</v>
      </c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  <c r="AD939" s="64"/>
      <c r="AE939" s="64"/>
      <c r="AF939" s="64"/>
      <c r="AG939" s="64"/>
      <c r="AH939" s="64"/>
      <c r="AI939" s="64"/>
      <c r="AJ939" s="64"/>
      <c r="AK939" s="64"/>
      <c r="AL939" s="64"/>
      <c r="AM939" s="64"/>
      <c r="AN939" s="64"/>
      <c r="AO939" s="64"/>
      <c r="AP939" s="64"/>
      <c r="AQ939" s="64"/>
      <c r="AR939" s="64"/>
      <c r="AS939" s="64"/>
      <c r="AT939" s="64"/>
      <c r="AU939" s="64"/>
      <c r="AV939" s="64"/>
      <c r="AW939" s="64"/>
      <c r="AX939" s="64"/>
      <c r="AY939" s="64"/>
      <c r="AZ939" s="64"/>
      <c r="BA939" s="64"/>
      <c r="BB939" s="64"/>
      <c r="BC939" s="64"/>
      <c r="BD939" s="64"/>
      <c r="BE939" s="64"/>
      <c r="BF939" s="64"/>
      <c r="BG939" s="64"/>
      <c r="BH939" s="64"/>
      <c r="BI939" s="64"/>
      <c r="BJ939" s="64"/>
      <c r="BK939" s="64"/>
      <c r="BL939" s="64"/>
      <c r="BM939" s="64"/>
      <c r="BN939" s="64"/>
      <c r="BO939" s="64"/>
      <c r="BP939" s="64"/>
      <c r="BQ939" s="64"/>
      <c r="BR939" s="64"/>
      <c r="BS939" s="64"/>
      <c r="BT939" s="64"/>
      <c r="BU939" s="64"/>
      <c r="BV939" s="64"/>
      <c r="BW939" s="64"/>
      <c r="BX939" s="64"/>
      <c r="BY939" s="64"/>
      <c r="BZ939" s="64"/>
      <c r="CA939" s="64"/>
      <c r="CB939" s="64"/>
      <c r="CC939" s="64"/>
      <c r="CD939" s="64"/>
      <c r="CE939" s="64"/>
      <c r="CF939" s="64"/>
      <c r="CG939" s="64"/>
      <c r="CH939" s="64"/>
      <c r="CI939" s="64"/>
      <c r="CJ939" s="64"/>
      <c r="CK939" s="64"/>
      <c r="CL939" s="64"/>
    </row>
    <row r="940" spans="1:90" x14ac:dyDescent="0.25">
      <c r="A940" s="164">
        <v>44583</v>
      </c>
      <c r="B940" s="158" t="s">
        <v>797</v>
      </c>
      <c r="C940" s="158">
        <v>0</v>
      </c>
      <c r="D940" s="158"/>
      <c r="E940" s="158" t="s">
        <v>122</v>
      </c>
      <c r="F940" s="124"/>
      <c r="G940" s="426">
        <f>1.5*Tabla28[[#This Row],[CANTIDAD]]</f>
        <v>0</v>
      </c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  <c r="AD940" s="64"/>
      <c r="AE940" s="64"/>
      <c r="AF940" s="64"/>
      <c r="AG940" s="64"/>
      <c r="AH940" s="64"/>
      <c r="AI940" s="64"/>
      <c r="AJ940" s="64"/>
      <c r="AK940" s="64"/>
      <c r="AL940" s="64"/>
      <c r="AM940" s="64"/>
      <c r="AN940" s="64"/>
      <c r="AO940" s="64"/>
      <c r="AP940" s="64"/>
      <c r="AQ940" s="64"/>
      <c r="AR940" s="64"/>
      <c r="AS940" s="64"/>
      <c r="AT940" s="64"/>
      <c r="AU940" s="64"/>
      <c r="AV940" s="64"/>
      <c r="AW940" s="64"/>
      <c r="AX940" s="64"/>
      <c r="AY940" s="64"/>
      <c r="AZ940" s="64"/>
      <c r="BA940" s="64"/>
      <c r="BB940" s="64"/>
      <c r="BC940" s="64"/>
      <c r="BD940" s="64"/>
      <c r="BE940" s="64"/>
      <c r="BF940" s="64"/>
      <c r="BG940" s="64"/>
      <c r="BH940" s="64"/>
      <c r="BI940" s="64"/>
      <c r="BJ940" s="64"/>
      <c r="BK940" s="64"/>
      <c r="BL940" s="64"/>
      <c r="BM940" s="64"/>
      <c r="BN940" s="64"/>
      <c r="BO940" s="64"/>
      <c r="BP940" s="64"/>
      <c r="BQ940" s="64"/>
      <c r="BR940" s="64"/>
      <c r="BS940" s="64"/>
      <c r="BT940" s="64"/>
      <c r="BU940" s="64"/>
      <c r="BV940" s="64"/>
      <c r="BW940" s="64"/>
      <c r="BX940" s="64"/>
      <c r="BY940" s="64"/>
      <c r="BZ940" s="64"/>
      <c r="CA940" s="64"/>
      <c r="CB940" s="64"/>
      <c r="CC940" s="64"/>
      <c r="CD940" s="64"/>
      <c r="CE940" s="64"/>
      <c r="CF940" s="64"/>
      <c r="CG940" s="64"/>
      <c r="CH940" s="64"/>
      <c r="CI940" s="64"/>
      <c r="CJ940" s="64"/>
      <c r="CK940" s="64"/>
      <c r="CL940" s="64"/>
    </row>
    <row r="941" spans="1:90" x14ac:dyDescent="0.25">
      <c r="A941" s="164">
        <v>44583</v>
      </c>
      <c r="B941" s="158" t="s">
        <v>277</v>
      </c>
      <c r="C941" s="158">
        <v>2</v>
      </c>
      <c r="D941" s="158"/>
      <c r="E941" s="158" t="s">
        <v>796</v>
      </c>
      <c r="F941" s="124"/>
      <c r="G941" s="124">
        <f>0.9*Tabla28[[#This Row],[CANTIDAD]]</f>
        <v>1.8</v>
      </c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  <c r="AD941" s="64"/>
      <c r="AE941" s="64"/>
      <c r="AF941" s="64"/>
      <c r="AG941" s="64"/>
      <c r="AH941" s="64"/>
      <c r="AI941" s="64"/>
      <c r="AJ941" s="64"/>
      <c r="AK941" s="64"/>
      <c r="AL941" s="64"/>
      <c r="AM941" s="64"/>
      <c r="AN941" s="64"/>
      <c r="AO941" s="64"/>
      <c r="AP941" s="64"/>
      <c r="AQ941" s="64"/>
      <c r="AR941" s="64"/>
      <c r="AS941" s="64"/>
      <c r="AT941" s="64"/>
      <c r="AU941" s="64"/>
      <c r="AV941" s="64"/>
      <c r="AW941" s="64"/>
      <c r="AX941" s="64"/>
      <c r="AY941" s="64"/>
      <c r="AZ941" s="64"/>
      <c r="BA941" s="64"/>
      <c r="BB941" s="64"/>
      <c r="BC941" s="64"/>
      <c r="BD941" s="64"/>
      <c r="BE941" s="64"/>
      <c r="BF941" s="64"/>
      <c r="BG941" s="64"/>
      <c r="BH941" s="64"/>
      <c r="BI941" s="64"/>
      <c r="BJ941" s="64"/>
      <c r="BK941" s="64"/>
      <c r="BL941" s="64"/>
      <c r="BM941" s="64"/>
      <c r="BN941" s="64"/>
      <c r="BO941" s="64"/>
      <c r="BP941" s="64"/>
      <c r="BQ941" s="64"/>
      <c r="BR941" s="64"/>
      <c r="BS941" s="64"/>
      <c r="BT941" s="64"/>
      <c r="BU941" s="64"/>
      <c r="BV941" s="64"/>
      <c r="BW941" s="64"/>
      <c r="BX941" s="64"/>
      <c r="BY941" s="64"/>
      <c r="BZ941" s="64"/>
      <c r="CA941" s="64"/>
      <c r="CB941" s="64"/>
      <c r="CC941" s="64"/>
      <c r="CD941" s="64"/>
      <c r="CE941" s="64"/>
      <c r="CF941" s="64"/>
      <c r="CG941" s="64"/>
      <c r="CH941" s="64"/>
      <c r="CI941" s="64"/>
      <c r="CJ941" s="64"/>
      <c r="CK941" s="64"/>
      <c r="CL941" s="64"/>
    </row>
    <row r="942" spans="1:90" x14ac:dyDescent="0.25">
      <c r="A942" s="164">
        <v>44583</v>
      </c>
      <c r="B942" s="158" t="s">
        <v>194</v>
      </c>
      <c r="C942" s="158">
        <v>0</v>
      </c>
      <c r="D942" s="158"/>
      <c r="E942" s="158" t="s">
        <v>796</v>
      </c>
      <c r="F942" s="124"/>
      <c r="G942" s="127">
        <f>0.5*Tabla28[[#This Row],[CANTIDAD]]</f>
        <v>0</v>
      </c>
    </row>
    <row r="943" spans="1:90" x14ac:dyDescent="0.25">
      <c r="A943" s="164">
        <v>44583</v>
      </c>
      <c r="B943" s="158" t="s">
        <v>803</v>
      </c>
      <c r="C943" s="158">
        <v>0</v>
      </c>
      <c r="D943" s="158"/>
      <c r="E943" s="158" t="s">
        <v>796</v>
      </c>
      <c r="F943" s="124"/>
      <c r="G943" s="126">
        <v>0</v>
      </c>
    </row>
    <row r="944" spans="1:90" x14ac:dyDescent="0.25">
      <c r="A944" s="164">
        <v>44583</v>
      </c>
      <c r="B944" s="158" t="s">
        <v>125</v>
      </c>
      <c r="C944" s="158">
        <v>1</v>
      </c>
      <c r="D944" s="158"/>
      <c r="E944" s="158" t="s">
        <v>800</v>
      </c>
      <c r="F944" s="124"/>
      <c r="G944" s="126">
        <f>1.5*Tabla28[[#This Row],[CANTIDAD]]</f>
        <v>1.5</v>
      </c>
    </row>
    <row r="945" spans="1:7" x14ac:dyDescent="0.25">
      <c r="A945" s="163">
        <v>44583</v>
      </c>
      <c r="B945" s="159" t="s">
        <v>797</v>
      </c>
      <c r="C945" s="159">
        <v>1</v>
      </c>
      <c r="D945" s="159"/>
      <c r="E945" s="159" t="s">
        <v>800</v>
      </c>
      <c r="F945" s="410"/>
      <c r="G945" s="421">
        <f>1.5*Tabla28[[#This Row],[CANTIDAD]]</f>
        <v>1.5</v>
      </c>
    </row>
    <row r="946" spans="1:7" x14ac:dyDescent="0.25">
      <c r="A946" s="161">
        <v>44584</v>
      </c>
      <c r="B946" s="162" t="s">
        <v>798</v>
      </c>
      <c r="C946" s="162">
        <v>1</v>
      </c>
      <c r="D946" s="162"/>
      <c r="E946" s="162" t="s">
        <v>122</v>
      </c>
      <c r="F946" s="409"/>
      <c r="G946" s="420">
        <f>0.43*Tabla28[[#This Row],[CANTIDAD]]</f>
        <v>0.43</v>
      </c>
    </row>
    <row r="947" spans="1:7" x14ac:dyDescent="0.25">
      <c r="A947" s="164">
        <v>44584</v>
      </c>
      <c r="B947" s="158" t="s">
        <v>797</v>
      </c>
      <c r="C947" s="158">
        <v>1</v>
      </c>
      <c r="D947" s="158"/>
      <c r="E947" s="158" t="s">
        <v>122</v>
      </c>
      <c r="F947" s="124"/>
      <c r="G947" s="421">
        <f>1.5*Tabla28[[#This Row],[CANTIDAD]]</f>
        <v>1.5</v>
      </c>
    </row>
    <row r="948" spans="1:7" x14ac:dyDescent="0.25">
      <c r="A948" s="164">
        <v>44584</v>
      </c>
      <c r="B948" s="158" t="s">
        <v>125</v>
      </c>
      <c r="C948" s="158">
        <v>1</v>
      </c>
      <c r="D948" s="158"/>
      <c r="E948" s="158" t="s">
        <v>670</v>
      </c>
      <c r="F948" s="124"/>
      <c r="G948" s="126">
        <f>1.5*Tabla28[[#This Row],[CANTIDAD]]</f>
        <v>1.5</v>
      </c>
    </row>
    <row r="949" spans="1:7" x14ac:dyDescent="0.25">
      <c r="A949" s="164">
        <v>44584</v>
      </c>
      <c r="B949" s="158" t="s">
        <v>277</v>
      </c>
      <c r="C949" s="158">
        <v>2</v>
      </c>
      <c r="D949" s="158"/>
      <c r="E949" s="158" t="s">
        <v>796</v>
      </c>
      <c r="F949" s="124"/>
      <c r="G949" s="126">
        <f>0.9*Tabla28[[#This Row],[CANTIDAD]]</f>
        <v>1.8</v>
      </c>
    </row>
    <row r="950" spans="1:7" x14ac:dyDescent="0.25">
      <c r="A950" s="164">
        <v>44584</v>
      </c>
      <c r="B950" s="158" t="s">
        <v>219</v>
      </c>
      <c r="C950" s="158">
        <v>2</v>
      </c>
      <c r="D950" s="158"/>
      <c r="E950" s="158" t="s">
        <v>796</v>
      </c>
      <c r="F950" s="124"/>
      <c r="G950" s="127">
        <f>0.9*Tabla28[[#This Row],[CANTIDAD]]</f>
        <v>1.8</v>
      </c>
    </row>
    <row r="951" spans="1:7" x14ac:dyDescent="0.25">
      <c r="A951" s="164">
        <v>44584</v>
      </c>
      <c r="B951" s="158" t="s">
        <v>186</v>
      </c>
      <c r="C951" s="158">
        <v>2</v>
      </c>
      <c r="D951" s="158"/>
      <c r="E951" s="158" t="s">
        <v>796</v>
      </c>
      <c r="F951" s="124"/>
      <c r="G951" s="127">
        <f>0.9*Tabla28[[#This Row],[CANTIDAD]]</f>
        <v>1.8</v>
      </c>
    </row>
    <row r="952" spans="1:7" x14ac:dyDescent="0.25">
      <c r="A952" s="164">
        <v>44584</v>
      </c>
      <c r="B952" s="158" t="s">
        <v>186</v>
      </c>
      <c r="C952" s="158">
        <v>0</v>
      </c>
      <c r="D952" s="158"/>
      <c r="E952" s="158" t="s">
        <v>796</v>
      </c>
      <c r="F952" s="124"/>
      <c r="G952" s="127">
        <f>0.9*Tabla28[[#This Row],[CANTIDAD]]</f>
        <v>0</v>
      </c>
    </row>
    <row r="953" spans="1:7" x14ac:dyDescent="0.25">
      <c r="A953" s="163">
        <v>44584</v>
      </c>
      <c r="B953" s="159" t="s">
        <v>797</v>
      </c>
      <c r="C953" s="159">
        <v>1</v>
      </c>
      <c r="D953" s="159"/>
      <c r="E953" s="159" t="s">
        <v>796</v>
      </c>
      <c r="F953" s="410"/>
      <c r="G953" s="421">
        <f>1.5*Tabla28[[#This Row],[CANTIDAD]]</f>
        <v>1.5</v>
      </c>
    </row>
    <row r="954" spans="1:7" x14ac:dyDescent="0.25">
      <c r="A954" s="161">
        <v>44585</v>
      </c>
      <c r="B954" s="162" t="s">
        <v>277</v>
      </c>
      <c r="C954" s="162">
        <v>2</v>
      </c>
      <c r="D954" s="162"/>
      <c r="E954" s="162" t="s">
        <v>796</v>
      </c>
      <c r="F954" s="409"/>
      <c r="G954" s="126">
        <f>0.9*Tabla28[[#This Row],[CANTIDAD]]</f>
        <v>1.8</v>
      </c>
    </row>
    <row r="955" spans="1:7" x14ac:dyDescent="0.25">
      <c r="A955" s="164">
        <v>44585</v>
      </c>
      <c r="B955" s="158" t="s">
        <v>669</v>
      </c>
      <c r="C955" s="158">
        <v>5</v>
      </c>
      <c r="D955" s="158"/>
      <c r="E955" s="158" t="s">
        <v>796</v>
      </c>
      <c r="F955" s="124"/>
      <c r="G955" s="126">
        <f>0.4*Tabla28[[#This Row],[CANTIDAD]]</f>
        <v>2</v>
      </c>
    </row>
    <row r="956" spans="1:7" x14ac:dyDescent="0.25">
      <c r="A956" s="164">
        <v>44585</v>
      </c>
      <c r="B956" s="158" t="s">
        <v>219</v>
      </c>
      <c r="C956" s="158">
        <v>2</v>
      </c>
      <c r="D956" s="158"/>
      <c r="E956" s="158" t="s">
        <v>796</v>
      </c>
      <c r="F956" s="124"/>
      <c r="G956" s="127">
        <f>0.9*Tabla28[[#This Row],[CANTIDAD]]</f>
        <v>1.8</v>
      </c>
    </row>
    <row r="957" spans="1:7" x14ac:dyDescent="0.25">
      <c r="A957" s="163">
        <v>44585</v>
      </c>
      <c r="B957" s="159" t="s">
        <v>219</v>
      </c>
      <c r="C957" s="159">
        <v>1</v>
      </c>
      <c r="D957" s="159"/>
      <c r="E957" s="159" t="s">
        <v>800</v>
      </c>
      <c r="F957" s="410"/>
      <c r="G957" s="127">
        <f>0.9*Tabla28[[#This Row],[CANTIDAD]]</f>
        <v>0.9</v>
      </c>
    </row>
    <row r="958" spans="1:7" x14ac:dyDescent="0.25">
      <c r="A958" s="161">
        <v>44586</v>
      </c>
      <c r="B958" s="162" t="s">
        <v>219</v>
      </c>
      <c r="C958" s="162">
        <v>6</v>
      </c>
      <c r="D958" s="162"/>
      <c r="E958" s="162" t="s">
        <v>796</v>
      </c>
      <c r="F958" s="409"/>
      <c r="G958" s="127">
        <f>0.9*Tabla28[[#This Row],[CANTIDAD]]</f>
        <v>5.4</v>
      </c>
    </row>
    <row r="959" spans="1:7" x14ac:dyDescent="0.25">
      <c r="A959" s="164">
        <v>44586</v>
      </c>
      <c r="B959" s="158" t="s">
        <v>219</v>
      </c>
      <c r="C959" s="158">
        <v>0</v>
      </c>
      <c r="D959" s="158"/>
      <c r="E959" s="158" t="s">
        <v>796</v>
      </c>
      <c r="F959" s="124"/>
      <c r="G959" s="127">
        <f>0.9*Tabla28[[#This Row],[CANTIDAD]]</f>
        <v>0</v>
      </c>
    </row>
    <row r="960" spans="1:7" x14ac:dyDescent="0.25">
      <c r="A960" s="164">
        <v>44586</v>
      </c>
      <c r="B960" s="158" t="s">
        <v>194</v>
      </c>
      <c r="C960" s="158">
        <v>1</v>
      </c>
      <c r="D960" s="158"/>
      <c r="E960" s="158" t="s">
        <v>796</v>
      </c>
      <c r="F960" s="124"/>
      <c r="G960" s="127">
        <f>0.5*Tabla28[[#This Row],[CANTIDAD]]</f>
        <v>0.5</v>
      </c>
    </row>
    <row r="961" spans="1:7" x14ac:dyDescent="0.25">
      <c r="A961" s="164">
        <v>44586</v>
      </c>
      <c r="B961" s="158" t="s">
        <v>798</v>
      </c>
      <c r="C961" s="158">
        <v>1</v>
      </c>
      <c r="D961" s="158"/>
      <c r="E961" s="158" t="s">
        <v>800</v>
      </c>
      <c r="F961" s="124"/>
      <c r="G961" s="420">
        <f>0.43*Tabla28[[#This Row],[CANTIDAD]]</f>
        <v>0.43</v>
      </c>
    </row>
    <row r="962" spans="1:7" x14ac:dyDescent="0.25">
      <c r="A962" s="163">
        <v>44586</v>
      </c>
      <c r="B962" s="159" t="s">
        <v>797</v>
      </c>
      <c r="C962" s="159">
        <v>2</v>
      </c>
      <c r="D962" s="159"/>
      <c r="E962" s="159" t="s">
        <v>800</v>
      </c>
      <c r="F962" s="410"/>
      <c r="G962" s="421">
        <f>1.5*Tabla28[[#This Row],[CANTIDAD]]</f>
        <v>3</v>
      </c>
    </row>
    <row r="963" spans="1:7" x14ac:dyDescent="0.25">
      <c r="A963" s="161">
        <v>44587</v>
      </c>
      <c r="B963" s="162" t="s">
        <v>798</v>
      </c>
      <c r="C963" s="162">
        <v>1</v>
      </c>
      <c r="D963" s="162"/>
      <c r="E963" s="162" t="s">
        <v>122</v>
      </c>
      <c r="F963" s="409"/>
      <c r="G963" s="420">
        <f>0.43*Tabla28[[#This Row],[CANTIDAD]]</f>
        <v>0.43</v>
      </c>
    </row>
    <row r="964" spans="1:7" x14ac:dyDescent="0.25">
      <c r="A964" s="164">
        <v>44587</v>
      </c>
      <c r="B964" s="158" t="s">
        <v>206</v>
      </c>
      <c r="C964" s="158">
        <v>1</v>
      </c>
      <c r="D964" s="158"/>
      <c r="E964" s="158" t="s">
        <v>122</v>
      </c>
      <c r="F964" s="124"/>
      <c r="G964" s="126">
        <v>4</v>
      </c>
    </row>
    <row r="965" spans="1:7" x14ac:dyDescent="0.25">
      <c r="A965" s="164">
        <v>44587</v>
      </c>
      <c r="B965" s="158" t="s">
        <v>219</v>
      </c>
      <c r="C965" s="158">
        <v>1</v>
      </c>
      <c r="D965" s="158"/>
      <c r="E965" s="158" t="s">
        <v>796</v>
      </c>
      <c r="F965" s="124"/>
      <c r="G965" s="127">
        <f>0.9*Tabla28[[#This Row],[CANTIDAD]]</f>
        <v>0.9</v>
      </c>
    </row>
    <row r="966" spans="1:7" x14ac:dyDescent="0.25">
      <c r="A966" s="164">
        <v>44587</v>
      </c>
      <c r="B966" s="158" t="s">
        <v>414</v>
      </c>
      <c r="C966" s="158">
        <v>1</v>
      </c>
      <c r="D966" s="158"/>
      <c r="E966" s="158" t="s">
        <v>796</v>
      </c>
      <c r="F966" s="124"/>
      <c r="G966" s="126">
        <v>0.5</v>
      </c>
    </row>
    <row r="967" spans="1:7" x14ac:dyDescent="0.25">
      <c r="A967" s="164">
        <v>44587</v>
      </c>
      <c r="B967" s="158" t="s">
        <v>797</v>
      </c>
      <c r="C967" s="158">
        <v>1</v>
      </c>
      <c r="D967" s="158"/>
      <c r="E967" s="158" t="s">
        <v>796</v>
      </c>
      <c r="F967" s="124"/>
      <c r="G967" s="421">
        <f>1.5*Tabla28[[#This Row],[CANTIDAD]]</f>
        <v>1.5</v>
      </c>
    </row>
    <row r="968" spans="1:7" s="417" customFormat="1" x14ac:dyDescent="0.25">
      <c r="A968" s="161">
        <v>44588</v>
      </c>
      <c r="B968" s="162" t="s">
        <v>797</v>
      </c>
      <c r="C968" s="162">
        <v>1</v>
      </c>
      <c r="D968" s="162"/>
      <c r="E968" s="162" t="s">
        <v>122</v>
      </c>
      <c r="F968" s="409"/>
      <c r="G968" s="421">
        <f>1.5*Tabla28[[#This Row],[CANTIDAD]]</f>
        <v>1.5</v>
      </c>
    </row>
    <row r="969" spans="1:7" s="64" customFormat="1" x14ac:dyDescent="0.25">
      <c r="A969" s="164">
        <v>44588</v>
      </c>
      <c r="B969" s="158" t="s">
        <v>219</v>
      </c>
      <c r="C969" s="158">
        <v>3</v>
      </c>
      <c r="D969" s="158"/>
      <c r="E969" s="158" t="s">
        <v>796</v>
      </c>
      <c r="F969" s="124"/>
      <c r="G969" s="127">
        <f>0.9*Tabla28[[#This Row],[CANTIDAD]]</f>
        <v>2.7</v>
      </c>
    </row>
    <row r="970" spans="1:7" s="64" customFormat="1" x14ac:dyDescent="0.25">
      <c r="A970" s="164">
        <v>44588</v>
      </c>
      <c r="B970" s="158" t="s">
        <v>804</v>
      </c>
      <c r="C970" s="158">
        <v>1</v>
      </c>
      <c r="D970" s="158"/>
      <c r="E970" s="158" t="s">
        <v>796</v>
      </c>
      <c r="F970" s="124"/>
      <c r="G970" s="124">
        <f>0.56*Tabla28[[#This Row],[CANTIDAD]]</f>
        <v>0.56000000000000005</v>
      </c>
    </row>
    <row r="971" spans="1:7" s="418" customFormat="1" x14ac:dyDescent="0.25">
      <c r="A971" s="163">
        <v>44588</v>
      </c>
      <c r="B971" s="159" t="s">
        <v>125</v>
      </c>
      <c r="C971" s="159">
        <v>1</v>
      </c>
      <c r="D971" s="159"/>
      <c r="E971" s="159" t="s">
        <v>796</v>
      </c>
      <c r="F971" s="410"/>
      <c r="G971" s="126">
        <f>1.5*Tabla28[[#This Row],[CANTIDAD]]</f>
        <v>1.5</v>
      </c>
    </row>
    <row r="972" spans="1:7" x14ac:dyDescent="0.25">
      <c r="A972" s="161">
        <v>44589</v>
      </c>
      <c r="B972" s="162" t="s">
        <v>798</v>
      </c>
      <c r="C972" s="162">
        <v>1</v>
      </c>
      <c r="D972" s="162"/>
      <c r="E972" s="162" t="s">
        <v>122</v>
      </c>
      <c r="F972" s="409"/>
      <c r="G972" s="420">
        <f>0.43*Tabla28[[#This Row],[CANTIDAD]]</f>
        <v>0.43</v>
      </c>
    </row>
    <row r="973" spans="1:7" x14ac:dyDescent="0.25">
      <c r="A973" s="164">
        <v>44589</v>
      </c>
      <c r="B973" s="158" t="s">
        <v>797</v>
      </c>
      <c r="C973" s="158">
        <v>1</v>
      </c>
      <c r="D973" s="158"/>
      <c r="E973" s="158" t="s">
        <v>122</v>
      </c>
      <c r="F973" s="124"/>
      <c r="G973" s="421">
        <f>1.5*Tabla28[[#This Row],[CANTIDAD]]</f>
        <v>1.5</v>
      </c>
    </row>
    <row r="974" spans="1:7" x14ac:dyDescent="0.25">
      <c r="A974" s="164">
        <v>44589</v>
      </c>
      <c r="B974" s="158" t="s">
        <v>219</v>
      </c>
      <c r="C974" s="158">
        <v>1</v>
      </c>
      <c r="D974" s="158"/>
      <c r="E974" s="158" t="s">
        <v>796</v>
      </c>
      <c r="F974" s="124"/>
      <c r="G974" s="127">
        <f>0.9*Tabla28[[#This Row],[CANTIDAD]]</f>
        <v>0.9</v>
      </c>
    </row>
    <row r="975" spans="1:7" x14ac:dyDescent="0.25">
      <c r="A975" s="164">
        <v>44589</v>
      </c>
      <c r="B975" s="158" t="s">
        <v>137</v>
      </c>
      <c r="C975" s="158">
        <v>1</v>
      </c>
      <c r="D975" s="158"/>
      <c r="E975" s="158" t="s">
        <v>796</v>
      </c>
      <c r="F975" s="124"/>
      <c r="G975" s="126">
        <v>6</v>
      </c>
    </row>
    <row r="976" spans="1:7" x14ac:dyDescent="0.25">
      <c r="A976" s="164">
        <v>44589</v>
      </c>
      <c r="B976" s="158" t="s">
        <v>798</v>
      </c>
      <c r="C976" s="158">
        <v>1</v>
      </c>
      <c r="D976" s="158"/>
      <c r="E976" s="158" t="s">
        <v>800</v>
      </c>
      <c r="F976" s="124"/>
      <c r="G976" s="420">
        <f>0.43*Tabla28[[#This Row],[CANTIDAD]]</f>
        <v>0.43</v>
      </c>
    </row>
    <row r="977" spans="1:7" x14ac:dyDescent="0.25">
      <c r="A977" s="163">
        <v>44589</v>
      </c>
      <c r="B977" s="159" t="s">
        <v>124</v>
      </c>
      <c r="C977" s="159">
        <v>1</v>
      </c>
      <c r="D977" s="159"/>
      <c r="E977" s="159" t="s">
        <v>800</v>
      </c>
      <c r="F977" s="410"/>
      <c r="G977" s="125">
        <f>1.5*Tabla28[[#This Row],[CANTIDAD]]</f>
        <v>1.5</v>
      </c>
    </row>
    <row r="978" spans="1:7" x14ac:dyDescent="0.25">
      <c r="A978" s="161">
        <v>44590</v>
      </c>
      <c r="B978" s="162" t="s">
        <v>277</v>
      </c>
      <c r="C978" s="162">
        <v>1</v>
      </c>
      <c r="D978" s="162"/>
      <c r="E978" s="162" t="s">
        <v>796</v>
      </c>
      <c r="F978" s="409"/>
      <c r="G978" s="126">
        <f>0.9*Tabla28[[#This Row],[CANTIDAD]]</f>
        <v>0.9</v>
      </c>
    </row>
    <row r="979" spans="1:7" x14ac:dyDescent="0.25">
      <c r="A979" s="164">
        <v>44590</v>
      </c>
      <c r="B979" s="158" t="s">
        <v>798</v>
      </c>
      <c r="C979" s="158">
        <v>1</v>
      </c>
      <c r="D979" s="158"/>
      <c r="E979" s="158" t="s">
        <v>800</v>
      </c>
      <c r="F979" s="124"/>
      <c r="G979" s="420">
        <f>0.43*Tabla28[[#This Row],[CANTIDAD]]</f>
        <v>0.43</v>
      </c>
    </row>
    <row r="980" spans="1:7" x14ac:dyDescent="0.25">
      <c r="A980" s="163">
        <v>44590</v>
      </c>
      <c r="B980" s="159" t="s">
        <v>797</v>
      </c>
      <c r="C980" s="159">
        <v>1</v>
      </c>
      <c r="D980" s="159"/>
      <c r="E980" s="159" t="s">
        <v>800</v>
      </c>
      <c r="F980" s="410"/>
      <c r="G980" s="421">
        <f>1.5*Tabla28[[#This Row],[CANTIDAD]]</f>
        <v>1.5</v>
      </c>
    </row>
    <row r="981" spans="1:7" x14ac:dyDescent="0.25">
      <c r="A981" s="161">
        <v>44591</v>
      </c>
      <c r="B981" s="162" t="s">
        <v>219</v>
      </c>
      <c r="C981" s="162">
        <v>1</v>
      </c>
      <c r="D981" s="162"/>
      <c r="E981" s="162" t="s">
        <v>800</v>
      </c>
      <c r="F981" s="409"/>
      <c r="G981" s="127">
        <f>0.9*Tabla28[[#This Row],[CANTIDAD]]</f>
        <v>0.9</v>
      </c>
    </row>
    <row r="982" spans="1:7" x14ac:dyDescent="0.25">
      <c r="A982" s="164">
        <v>44591</v>
      </c>
      <c r="B982" s="158" t="s">
        <v>798</v>
      </c>
      <c r="C982" s="158">
        <v>1</v>
      </c>
      <c r="D982" s="158"/>
      <c r="E982" s="158" t="s">
        <v>800</v>
      </c>
      <c r="F982" s="124"/>
      <c r="G982" s="420">
        <f>0.43*Tabla28[[#This Row],[CANTIDAD]]</f>
        <v>0.43</v>
      </c>
    </row>
    <row r="983" spans="1:7" x14ac:dyDescent="0.25">
      <c r="A983" s="163">
        <v>44591</v>
      </c>
      <c r="B983" s="159" t="s">
        <v>124</v>
      </c>
      <c r="C983" s="159">
        <v>1</v>
      </c>
      <c r="D983" s="159"/>
      <c r="E983" s="159" t="s">
        <v>800</v>
      </c>
      <c r="F983" s="410"/>
      <c r="G983" s="125">
        <f>1.5*Tabla28[[#This Row],[CANTIDAD]]</f>
        <v>1.5</v>
      </c>
    </row>
    <row r="984" spans="1:7" x14ac:dyDescent="0.25">
      <c r="A984" s="161">
        <v>44592</v>
      </c>
      <c r="B984" s="162" t="s">
        <v>798</v>
      </c>
      <c r="C984" s="162">
        <v>1</v>
      </c>
      <c r="D984" s="162"/>
      <c r="E984" s="162" t="s">
        <v>122</v>
      </c>
      <c r="F984" s="409"/>
      <c r="G984" s="420">
        <f>0.43*Tabla28[[#This Row],[CANTIDAD]]</f>
        <v>0.43</v>
      </c>
    </row>
    <row r="985" spans="1:7" x14ac:dyDescent="0.25">
      <c r="A985" s="164">
        <v>44592</v>
      </c>
      <c r="B985" s="158" t="s">
        <v>797</v>
      </c>
      <c r="C985" s="158">
        <v>1</v>
      </c>
      <c r="D985" s="158"/>
      <c r="E985" s="158" t="s">
        <v>122</v>
      </c>
      <c r="F985" s="124"/>
      <c r="G985" s="421">
        <f>1.5*Tabla28[[#This Row],[CANTIDAD]]</f>
        <v>1.5</v>
      </c>
    </row>
    <row r="986" spans="1:7" x14ac:dyDescent="0.25">
      <c r="A986" s="164">
        <v>44592</v>
      </c>
      <c r="B986" s="158" t="s">
        <v>186</v>
      </c>
      <c r="C986" s="158">
        <v>1</v>
      </c>
      <c r="D986" s="158"/>
      <c r="E986" s="158" t="s">
        <v>551</v>
      </c>
      <c r="F986" s="124"/>
      <c r="G986" s="127">
        <f>0.9*Tabla28[[#This Row],[CANTIDAD]]</f>
        <v>0.9</v>
      </c>
    </row>
    <row r="987" spans="1:7" x14ac:dyDescent="0.25">
      <c r="A987" s="164">
        <v>44592</v>
      </c>
      <c r="B987" s="158" t="s">
        <v>805</v>
      </c>
      <c r="C987" s="158">
        <v>1</v>
      </c>
      <c r="D987" s="158"/>
      <c r="E987" s="158" t="s">
        <v>551</v>
      </c>
      <c r="F987" s="124"/>
      <c r="G987" s="126">
        <v>0.95</v>
      </c>
    </row>
    <row r="988" spans="1:7" s="13" customFormat="1" x14ac:dyDescent="0.25">
      <c r="A988" s="164">
        <v>44592</v>
      </c>
      <c r="B988" s="158" t="s">
        <v>797</v>
      </c>
      <c r="C988" s="158">
        <v>1</v>
      </c>
      <c r="D988" s="158"/>
      <c r="E988" s="158" t="s">
        <v>551</v>
      </c>
      <c r="F988" s="124"/>
      <c r="G988" s="421">
        <f>1.5*Tabla28[[#This Row],[CANTIDAD]]</f>
        <v>1.5</v>
      </c>
    </row>
    <row r="989" spans="1:7" x14ac:dyDescent="0.25">
      <c r="A989" s="164">
        <v>44592</v>
      </c>
      <c r="B989" s="158" t="s">
        <v>219</v>
      </c>
      <c r="C989" s="158">
        <v>2</v>
      </c>
      <c r="D989" s="158"/>
      <c r="E989" s="158" t="s">
        <v>796</v>
      </c>
      <c r="F989" s="124"/>
      <c r="G989" s="127">
        <f>0.9*Tabla28[[#This Row],[CANTIDAD]]</f>
        <v>1.8</v>
      </c>
    </row>
    <row r="990" spans="1:7" x14ac:dyDescent="0.25">
      <c r="A990" s="164">
        <v>44592</v>
      </c>
      <c r="B990" s="158" t="s">
        <v>804</v>
      </c>
      <c r="C990" s="158">
        <v>1</v>
      </c>
      <c r="D990" s="158"/>
      <c r="E990" s="158" t="s">
        <v>796</v>
      </c>
      <c r="F990" s="124"/>
      <c r="G990" s="124">
        <f>0.56*Tabla28[[#This Row],[CANTIDAD]]</f>
        <v>0.56000000000000005</v>
      </c>
    </row>
    <row r="991" spans="1:7" x14ac:dyDescent="0.25">
      <c r="A991" s="164">
        <v>44592</v>
      </c>
      <c r="B991" s="158" t="s">
        <v>798</v>
      </c>
      <c r="C991" s="158">
        <v>1</v>
      </c>
      <c r="D991" s="158"/>
      <c r="E991" s="158" t="s">
        <v>800</v>
      </c>
      <c r="F991" s="124"/>
      <c r="G991" s="420">
        <f>0.43*Tabla28[[#This Row],[CANTIDAD]]</f>
        <v>0.43</v>
      </c>
    </row>
    <row r="992" spans="1:7" x14ac:dyDescent="0.25">
      <c r="A992" s="163">
        <v>44592</v>
      </c>
      <c r="B992" s="159" t="s">
        <v>797</v>
      </c>
      <c r="C992" s="159">
        <v>1</v>
      </c>
      <c r="D992" s="159"/>
      <c r="E992" s="159" t="s">
        <v>800</v>
      </c>
      <c r="F992" s="410"/>
      <c r="G992" s="421">
        <f>1.5*Tabla28[[#This Row],[CANTIDAD]]</f>
        <v>1.5</v>
      </c>
    </row>
    <row r="993" spans="1:16" x14ac:dyDescent="0.25">
      <c r="E993" s="15" t="s">
        <v>223</v>
      </c>
      <c r="G993" s="87">
        <f>SUBTOTAL(109,Tabla28[DIVISA])</f>
        <v>155.04000000000008</v>
      </c>
    </row>
    <row r="995" spans="1:16" ht="33.75" x14ac:dyDescent="0.5">
      <c r="C995" s="444" t="s">
        <v>911</v>
      </c>
      <c r="J995" t="s">
        <v>523</v>
      </c>
    </row>
    <row r="997" spans="1:16" x14ac:dyDescent="0.25">
      <c r="A997" s="15" t="s">
        <v>181</v>
      </c>
      <c r="B997" s="15" t="s">
        <v>180</v>
      </c>
      <c r="C997" s="15" t="s">
        <v>121</v>
      </c>
      <c r="D997" s="15" t="s">
        <v>187</v>
      </c>
      <c r="E997" s="15" t="s">
        <v>12</v>
      </c>
      <c r="F997" s="87" t="s">
        <v>6</v>
      </c>
      <c r="G997" s="26" t="s">
        <v>237</v>
      </c>
      <c r="J997" s="259" t="s">
        <v>503</v>
      </c>
      <c r="K997" s="259" t="s">
        <v>504</v>
      </c>
      <c r="L997" s="259" t="s">
        <v>505</v>
      </c>
      <c r="M997" s="259" t="s">
        <v>506</v>
      </c>
      <c r="N997" s="259" t="s">
        <v>507</v>
      </c>
      <c r="O997" s="259" t="s">
        <v>6</v>
      </c>
      <c r="P997" s="259" t="s">
        <v>508</v>
      </c>
    </row>
    <row r="998" spans="1:16" x14ac:dyDescent="0.25">
      <c r="A998" s="161">
        <v>44593</v>
      </c>
      <c r="B998" s="162" t="s">
        <v>219</v>
      </c>
      <c r="C998" s="162">
        <v>2</v>
      </c>
      <c r="D998" s="162"/>
      <c r="E998" s="162" t="s">
        <v>796</v>
      </c>
      <c r="F998" s="409"/>
      <c r="G998" s="125">
        <f>0.9*Tabla32[[#This Row],[CANTIDAD]]</f>
        <v>1.8</v>
      </c>
      <c r="J998" s="365">
        <v>44606</v>
      </c>
      <c r="K998" s="370" t="s">
        <v>509</v>
      </c>
      <c r="L998" s="366" t="s">
        <v>528</v>
      </c>
      <c r="M998" s="368">
        <v>490</v>
      </c>
      <c r="N998" s="366" t="s">
        <v>790</v>
      </c>
      <c r="O998" s="367">
        <v>4.4800000000000004</v>
      </c>
      <c r="P998" s="368">
        <v>490</v>
      </c>
    </row>
    <row r="999" spans="1:16" x14ac:dyDescent="0.25">
      <c r="A999" s="164">
        <v>44593</v>
      </c>
      <c r="B999" s="158" t="s">
        <v>912</v>
      </c>
      <c r="C999" s="158">
        <v>3</v>
      </c>
      <c r="D999" s="158"/>
      <c r="E999" s="158" t="s">
        <v>800</v>
      </c>
      <c r="F999" s="124"/>
      <c r="G999" s="126">
        <f>0.43*Tabla32[[#This Row],[CANTIDAD]]</f>
        <v>1.29</v>
      </c>
      <c r="J999" s="365">
        <v>44606</v>
      </c>
      <c r="K999" s="370" t="s">
        <v>510</v>
      </c>
      <c r="L999" s="366" t="s">
        <v>528</v>
      </c>
      <c r="M999" s="368">
        <v>110</v>
      </c>
      <c r="N999" s="366" t="s">
        <v>791</v>
      </c>
      <c r="O999" s="367">
        <v>4.4800000000000004</v>
      </c>
      <c r="P999" s="368">
        <v>24.55</v>
      </c>
    </row>
    <row r="1000" spans="1:16" x14ac:dyDescent="0.25">
      <c r="A1000" s="163">
        <v>44593</v>
      </c>
      <c r="B1000" s="159" t="s">
        <v>191</v>
      </c>
      <c r="C1000" s="159">
        <v>3</v>
      </c>
      <c r="D1000" s="159"/>
      <c r="E1000" s="159" t="s">
        <v>800</v>
      </c>
      <c r="F1000" s="410"/>
      <c r="G1000" s="127">
        <f>1.5*Tabla32[[#This Row],[CANTIDAD]]</f>
        <v>4.5</v>
      </c>
      <c r="J1000" s="365">
        <v>44606</v>
      </c>
      <c r="K1000" s="370" t="s">
        <v>510</v>
      </c>
      <c r="L1000" s="366" t="s">
        <v>528</v>
      </c>
      <c r="M1000" s="371">
        <v>55.61</v>
      </c>
      <c r="N1000" s="370" t="s">
        <v>1016</v>
      </c>
      <c r="O1000" s="367">
        <v>4.4800000000000004</v>
      </c>
      <c r="P1000" s="368">
        <v>12.41</v>
      </c>
    </row>
    <row r="1001" spans="1:16" x14ac:dyDescent="0.25">
      <c r="A1001" s="161">
        <v>44594</v>
      </c>
      <c r="B1001" s="162" t="s">
        <v>669</v>
      </c>
      <c r="C1001" s="162">
        <v>2</v>
      </c>
      <c r="D1001" s="162"/>
      <c r="E1001" s="162" t="s">
        <v>122</v>
      </c>
      <c r="F1001" s="409"/>
      <c r="G1001" s="125">
        <f>0.4*Tabla32[[#This Row],[CANTIDAD]]</f>
        <v>0.8</v>
      </c>
      <c r="J1001" s="374">
        <v>44606</v>
      </c>
      <c r="K1001" s="375" t="s">
        <v>510</v>
      </c>
      <c r="L1001" s="366" t="s">
        <v>528</v>
      </c>
      <c r="M1001" s="450">
        <v>19.3</v>
      </c>
      <c r="N1001" s="375" t="s">
        <v>1017</v>
      </c>
      <c r="O1001" s="367">
        <v>4.4800000000000004</v>
      </c>
      <c r="P1001" s="378">
        <v>4.3099999999999996</v>
      </c>
    </row>
    <row r="1002" spans="1:16" x14ac:dyDescent="0.25">
      <c r="A1002" s="164">
        <v>44594</v>
      </c>
      <c r="B1002" s="158" t="s">
        <v>912</v>
      </c>
      <c r="C1002" s="158">
        <v>1</v>
      </c>
      <c r="D1002" s="158"/>
      <c r="E1002" s="158" t="s">
        <v>122</v>
      </c>
      <c r="F1002" s="124"/>
      <c r="G1002" s="126">
        <f>0.43*Tabla32[[#This Row],[CANTIDAD]]</f>
        <v>0.43</v>
      </c>
      <c r="J1002" s="365">
        <v>44606</v>
      </c>
      <c r="K1002" s="370" t="s">
        <v>510</v>
      </c>
      <c r="L1002" s="366" t="s">
        <v>528</v>
      </c>
      <c r="M1002" s="376">
        <v>487.89</v>
      </c>
      <c r="N1002" s="366" t="s">
        <v>1018</v>
      </c>
      <c r="O1002" s="367">
        <v>4.4800000000000004</v>
      </c>
      <c r="P1002" s="368">
        <v>108.9</v>
      </c>
    </row>
    <row r="1003" spans="1:16" x14ac:dyDescent="0.25">
      <c r="A1003" s="164">
        <v>44594</v>
      </c>
      <c r="B1003" s="158" t="s">
        <v>277</v>
      </c>
      <c r="C1003" s="158">
        <v>2</v>
      </c>
      <c r="D1003" s="158"/>
      <c r="E1003" s="158" t="s">
        <v>796</v>
      </c>
      <c r="F1003" s="124"/>
      <c r="G1003" s="126">
        <f>0.9*Tabla32[[#This Row],[CANTIDAD]]</f>
        <v>1.8</v>
      </c>
      <c r="J1003" s="365">
        <v>44607</v>
      </c>
      <c r="K1003" s="375" t="s">
        <v>509</v>
      </c>
      <c r="L1003" s="366" t="s">
        <v>511</v>
      </c>
      <c r="M1003" s="376">
        <v>1500</v>
      </c>
      <c r="N1003" s="375" t="s">
        <v>1019</v>
      </c>
      <c r="O1003" s="367">
        <v>4.45</v>
      </c>
      <c r="P1003" s="368">
        <v>1500</v>
      </c>
    </row>
    <row r="1004" spans="1:16" x14ac:dyDescent="0.25">
      <c r="A1004" s="164">
        <v>44594</v>
      </c>
      <c r="B1004" s="158" t="s">
        <v>137</v>
      </c>
      <c r="C1004" s="158">
        <v>1</v>
      </c>
      <c r="D1004" s="158"/>
      <c r="E1004" s="158" t="s">
        <v>796</v>
      </c>
      <c r="F1004" s="124"/>
      <c r="G1004" s="126">
        <f>6*Tabla32[[#This Row],[CANTIDAD]]</f>
        <v>6</v>
      </c>
      <c r="J1004" s="365">
        <v>44608</v>
      </c>
      <c r="K1004" s="375" t="s">
        <v>509</v>
      </c>
      <c r="L1004" s="366" t="s">
        <v>1015</v>
      </c>
      <c r="M1004" s="376">
        <v>200</v>
      </c>
      <c r="N1004" s="375" t="s">
        <v>122</v>
      </c>
      <c r="O1004" s="367">
        <v>4.45</v>
      </c>
      <c r="P1004" s="368">
        <v>200</v>
      </c>
    </row>
    <row r="1005" spans="1:16" x14ac:dyDescent="0.25">
      <c r="A1005" s="163">
        <v>44594</v>
      </c>
      <c r="B1005" s="159" t="s">
        <v>191</v>
      </c>
      <c r="C1005" s="159">
        <v>3</v>
      </c>
      <c r="D1005" s="159"/>
      <c r="E1005" s="159" t="s">
        <v>796</v>
      </c>
      <c r="F1005" s="410"/>
      <c r="G1005" s="127">
        <f>1.5*Tabla32[[#This Row],[CANTIDAD]]</f>
        <v>4.5</v>
      </c>
      <c r="J1005" s="365">
        <v>44615</v>
      </c>
      <c r="K1005" s="375" t="s">
        <v>509</v>
      </c>
      <c r="L1005" s="366" t="s">
        <v>528</v>
      </c>
      <c r="M1005" s="376">
        <v>450</v>
      </c>
      <c r="N1005" s="375" t="s">
        <v>790</v>
      </c>
      <c r="O1005" s="372">
        <v>4.4000000000000004</v>
      </c>
      <c r="P1005" s="378">
        <v>450</v>
      </c>
    </row>
    <row r="1006" spans="1:16" x14ac:dyDescent="0.25">
      <c r="A1006" s="161">
        <v>44595</v>
      </c>
      <c r="B1006" s="162" t="s">
        <v>912</v>
      </c>
      <c r="C1006" s="162">
        <v>1</v>
      </c>
      <c r="D1006" s="162"/>
      <c r="E1006" s="162" t="s">
        <v>122</v>
      </c>
      <c r="F1006" s="409"/>
      <c r="G1006" s="125">
        <f>0.43*Tabla32[[#This Row],[CANTIDAD]]</f>
        <v>0.43</v>
      </c>
      <c r="J1006" s="379">
        <v>44615</v>
      </c>
      <c r="K1006" s="375" t="s">
        <v>509</v>
      </c>
      <c r="L1006" s="366" t="s">
        <v>528</v>
      </c>
      <c r="M1006" s="376">
        <v>360</v>
      </c>
      <c r="N1006" s="380" t="s">
        <v>791</v>
      </c>
      <c r="O1006" s="372">
        <v>4.4000000000000004</v>
      </c>
      <c r="P1006" s="383">
        <v>360</v>
      </c>
    </row>
    <row r="1007" spans="1:16" x14ac:dyDescent="0.25">
      <c r="A1007" s="164">
        <v>44595</v>
      </c>
      <c r="B1007" s="158" t="s">
        <v>191</v>
      </c>
      <c r="C1007" s="158">
        <v>1</v>
      </c>
      <c r="D1007" s="158"/>
      <c r="E1007" s="158" t="s">
        <v>122</v>
      </c>
      <c r="F1007" s="124"/>
      <c r="G1007" s="127">
        <f>1.5*Tabla32[[#This Row],[CANTIDAD]]</f>
        <v>1.5</v>
      </c>
      <c r="J1007" s="369">
        <v>44616</v>
      </c>
      <c r="K1007" s="375" t="s">
        <v>510</v>
      </c>
      <c r="L1007" s="366" t="s">
        <v>528</v>
      </c>
      <c r="M1007" s="376">
        <v>45.14</v>
      </c>
      <c r="N1007" s="370" t="s">
        <v>542</v>
      </c>
      <c r="O1007" s="372">
        <v>4.4000000000000004</v>
      </c>
      <c r="P1007" s="378">
        <v>10.26</v>
      </c>
    </row>
    <row r="1008" spans="1:16" x14ac:dyDescent="0.25">
      <c r="A1008" s="163">
        <v>44595</v>
      </c>
      <c r="B1008" s="159" t="s">
        <v>912</v>
      </c>
      <c r="C1008" s="159">
        <v>1</v>
      </c>
      <c r="D1008" s="159"/>
      <c r="E1008" s="159" t="s">
        <v>796</v>
      </c>
      <c r="F1008" s="410"/>
      <c r="G1008" s="127">
        <f>0.43*Tabla32[[#This Row],[CANTIDAD]]</f>
        <v>0.43</v>
      </c>
      <c r="J1008" s="374">
        <v>44616</v>
      </c>
      <c r="K1008" s="375" t="s">
        <v>510</v>
      </c>
      <c r="L1008" s="366" t="s">
        <v>528</v>
      </c>
      <c r="M1008" s="376">
        <v>16.3</v>
      </c>
      <c r="N1008" s="375" t="s">
        <v>1020</v>
      </c>
      <c r="O1008" s="372">
        <v>4.4000000000000004</v>
      </c>
      <c r="P1008" s="378">
        <v>3.7</v>
      </c>
    </row>
    <row r="1009" spans="1:16" x14ac:dyDescent="0.25">
      <c r="A1009" s="161">
        <v>44598</v>
      </c>
      <c r="B1009" s="162" t="s">
        <v>195</v>
      </c>
      <c r="C1009" s="162">
        <v>1</v>
      </c>
      <c r="D1009" s="162"/>
      <c r="E1009" s="162" t="s">
        <v>122</v>
      </c>
      <c r="F1009" s="409"/>
      <c r="G1009" s="125">
        <f>0.9*Tabla32[[#This Row],[CANTIDAD]]</f>
        <v>0.9</v>
      </c>
      <c r="J1009" s="374">
        <v>44616</v>
      </c>
      <c r="K1009" s="375" t="s">
        <v>510</v>
      </c>
      <c r="L1009" s="366" t="s">
        <v>528</v>
      </c>
      <c r="M1009" s="376">
        <v>414.92</v>
      </c>
      <c r="N1009" s="375" t="s">
        <v>1021</v>
      </c>
      <c r="O1009" s="372">
        <v>4.4000000000000004</v>
      </c>
      <c r="P1009" s="378">
        <v>94.3</v>
      </c>
    </row>
    <row r="1010" spans="1:16" x14ac:dyDescent="0.25">
      <c r="A1010" s="164">
        <v>44598</v>
      </c>
      <c r="B1010" s="158" t="s">
        <v>913</v>
      </c>
      <c r="C1010" s="158">
        <v>1</v>
      </c>
      <c r="D1010" s="158"/>
      <c r="E1010" s="158" t="s">
        <v>122</v>
      </c>
      <c r="F1010" s="124"/>
      <c r="G1010" s="126">
        <v>8</v>
      </c>
      <c r="J1010" s="374">
        <v>44617</v>
      </c>
      <c r="K1010" s="375" t="s">
        <v>510</v>
      </c>
      <c r="L1010" s="375" t="s">
        <v>511</v>
      </c>
      <c r="M1010" s="376">
        <v>51.1</v>
      </c>
      <c r="N1010" s="375" t="s">
        <v>1022</v>
      </c>
      <c r="O1010" s="372">
        <v>4.4000000000000004</v>
      </c>
      <c r="P1010" s="378">
        <v>11.61</v>
      </c>
    </row>
    <row r="1011" spans="1:16" x14ac:dyDescent="0.25">
      <c r="A1011" s="164">
        <v>44598</v>
      </c>
      <c r="B1011" s="158" t="s">
        <v>912</v>
      </c>
      <c r="C1011" s="158">
        <v>1</v>
      </c>
      <c r="D1011" s="158"/>
      <c r="E1011" s="158" t="s">
        <v>122</v>
      </c>
      <c r="F1011" s="124"/>
      <c r="G1011" s="126">
        <f>0.43*Tabla32[[#This Row],[CANTIDAD]]</f>
        <v>0.43</v>
      </c>
      <c r="J1011" s="374"/>
      <c r="K1011" s="375"/>
      <c r="L1011" s="375"/>
      <c r="M1011" s="376"/>
      <c r="N1011" s="375"/>
      <c r="O1011" s="377"/>
      <c r="P1011" s="451">
        <v>0</v>
      </c>
    </row>
    <row r="1012" spans="1:16" x14ac:dyDescent="0.25">
      <c r="A1012" s="164">
        <v>44598</v>
      </c>
      <c r="B1012" s="158" t="s">
        <v>124</v>
      </c>
      <c r="C1012" s="158">
        <v>11</v>
      </c>
      <c r="D1012" s="158"/>
      <c r="E1012" s="158" t="s">
        <v>122</v>
      </c>
      <c r="F1012" s="124"/>
      <c r="G1012" s="126">
        <f>1.5*Tabla32[[#This Row],[CANTIDAD]]</f>
        <v>16.5</v>
      </c>
      <c r="J1012" s="379"/>
      <c r="K1012" s="380"/>
      <c r="L1012" s="380"/>
      <c r="M1012" s="381">
        <v>51.1</v>
      </c>
      <c r="N1012" s="380"/>
      <c r="O1012" s="372" t="s">
        <v>501</v>
      </c>
      <c r="P1012" s="373">
        <f>SUBTOTAL(109,P998:P1011)</f>
        <v>3270.0400000000004</v>
      </c>
    </row>
    <row r="1013" spans="1:16" x14ac:dyDescent="0.25">
      <c r="A1013" s="164">
        <v>44598</v>
      </c>
      <c r="B1013" s="158" t="s">
        <v>191</v>
      </c>
      <c r="C1013" s="158">
        <v>3</v>
      </c>
      <c r="D1013" s="158"/>
      <c r="E1013" s="158" t="s">
        <v>122</v>
      </c>
      <c r="F1013" s="124"/>
      <c r="G1013" s="127">
        <f>1.5*Tabla32[[#This Row],[CANTIDAD]]</f>
        <v>4.5</v>
      </c>
    </row>
    <row r="1014" spans="1:16" x14ac:dyDescent="0.25">
      <c r="A1014" s="164">
        <v>44598</v>
      </c>
      <c r="B1014" s="158" t="s">
        <v>914</v>
      </c>
      <c r="C1014" s="158">
        <v>2</v>
      </c>
      <c r="D1014" s="158"/>
      <c r="E1014" s="158" t="s">
        <v>299</v>
      </c>
      <c r="F1014" s="124"/>
      <c r="G1014" s="126">
        <f>3.9*Tabla32[[#This Row],[CANTIDAD]]</f>
        <v>7.8</v>
      </c>
    </row>
    <row r="1015" spans="1:16" x14ac:dyDescent="0.25">
      <c r="A1015" s="164">
        <v>44598</v>
      </c>
      <c r="B1015" s="158" t="s">
        <v>229</v>
      </c>
      <c r="C1015" s="158">
        <v>1</v>
      </c>
      <c r="D1015" s="158"/>
      <c r="E1015" s="158" t="s">
        <v>299</v>
      </c>
      <c r="F1015" s="124"/>
      <c r="G1015" s="126">
        <v>7</v>
      </c>
    </row>
    <row r="1016" spans="1:16" x14ac:dyDescent="0.25">
      <c r="A1016" s="164">
        <v>44598</v>
      </c>
      <c r="B1016" s="158" t="s">
        <v>277</v>
      </c>
      <c r="C1016" s="158">
        <v>12</v>
      </c>
      <c r="D1016" s="158"/>
      <c r="E1016" s="158" t="s">
        <v>796</v>
      </c>
      <c r="F1016" s="124"/>
      <c r="G1016" s="126">
        <f>0.9*Tabla32[[#This Row],[CANTIDAD]]</f>
        <v>10.8</v>
      </c>
    </row>
    <row r="1017" spans="1:16" x14ac:dyDescent="0.25">
      <c r="A1017" s="164">
        <v>44598</v>
      </c>
      <c r="B1017" s="158" t="s">
        <v>219</v>
      </c>
      <c r="C1017" s="158">
        <v>6</v>
      </c>
      <c r="D1017" s="158"/>
      <c r="E1017" s="158" t="s">
        <v>796</v>
      </c>
      <c r="F1017" s="124"/>
      <c r="G1017" s="125">
        <f>0.9*Tabla32[[#This Row],[CANTIDAD]]</f>
        <v>5.4</v>
      </c>
    </row>
    <row r="1018" spans="1:16" x14ac:dyDescent="0.25">
      <c r="A1018" s="164">
        <v>44598</v>
      </c>
      <c r="B1018" s="158" t="s">
        <v>219</v>
      </c>
      <c r="C1018" s="158">
        <v>2</v>
      </c>
      <c r="D1018" s="158"/>
      <c r="E1018" s="158" t="s">
        <v>800</v>
      </c>
      <c r="F1018" s="124"/>
      <c r="G1018" s="125">
        <f>0.9*Tabla32[[#This Row],[CANTIDAD]]</f>
        <v>1.8</v>
      </c>
    </row>
    <row r="1019" spans="1:16" x14ac:dyDescent="0.25">
      <c r="A1019" s="164">
        <v>44598</v>
      </c>
      <c r="B1019" s="158" t="s">
        <v>912</v>
      </c>
      <c r="C1019" s="158">
        <v>2</v>
      </c>
      <c r="D1019" s="158"/>
      <c r="E1019" s="158" t="s">
        <v>800</v>
      </c>
      <c r="F1019" s="124"/>
      <c r="G1019" s="126">
        <f>0.43*Tabla32[[#This Row],[CANTIDAD]]</f>
        <v>0.86</v>
      </c>
    </row>
    <row r="1020" spans="1:16" x14ac:dyDescent="0.25">
      <c r="A1020" s="163">
        <v>44598</v>
      </c>
      <c r="B1020" s="159" t="s">
        <v>191</v>
      </c>
      <c r="C1020" s="159">
        <v>1</v>
      </c>
      <c r="D1020" s="159"/>
      <c r="E1020" s="159" t="s">
        <v>800</v>
      </c>
      <c r="F1020" s="410"/>
      <c r="G1020" s="127">
        <f>1.5*Tabla32[[#This Row],[CANTIDAD]]</f>
        <v>1.5</v>
      </c>
    </row>
    <row r="1021" spans="1:16" x14ac:dyDescent="0.25">
      <c r="A1021" s="161">
        <v>44599</v>
      </c>
      <c r="B1021" s="162" t="s">
        <v>672</v>
      </c>
      <c r="C1021" s="162">
        <v>2</v>
      </c>
      <c r="D1021" s="162"/>
      <c r="E1021" s="162" t="s">
        <v>796</v>
      </c>
      <c r="F1021" s="409"/>
      <c r="G1021" s="125">
        <f>1.5*Tabla32[[#This Row],[CANTIDAD]]</f>
        <v>3</v>
      </c>
    </row>
    <row r="1022" spans="1:16" x14ac:dyDescent="0.25">
      <c r="A1022" s="163">
        <v>44599</v>
      </c>
      <c r="B1022" s="159" t="s">
        <v>124</v>
      </c>
      <c r="C1022" s="159">
        <v>2</v>
      </c>
      <c r="D1022" s="159"/>
      <c r="E1022" s="159" t="s">
        <v>800</v>
      </c>
      <c r="F1022" s="410"/>
      <c r="G1022" s="127">
        <f>1.5*Tabla32[[#This Row],[CANTIDAD]]</f>
        <v>3</v>
      </c>
    </row>
    <row r="1023" spans="1:16" x14ac:dyDescent="0.25">
      <c r="A1023" s="161">
        <v>44600</v>
      </c>
      <c r="B1023" s="162" t="s">
        <v>219</v>
      </c>
      <c r="C1023" s="162">
        <v>1</v>
      </c>
      <c r="D1023" s="162"/>
      <c r="E1023" s="162" t="s">
        <v>796</v>
      </c>
      <c r="F1023" s="409"/>
      <c r="G1023" s="125">
        <f>0.9*Tabla32[[#This Row],[CANTIDAD]]</f>
        <v>0.9</v>
      </c>
    </row>
    <row r="1024" spans="1:16" x14ac:dyDescent="0.25">
      <c r="A1024" s="164">
        <v>44600</v>
      </c>
      <c r="B1024" s="158" t="s">
        <v>195</v>
      </c>
      <c r="C1024" s="158">
        <v>2</v>
      </c>
      <c r="D1024" s="158"/>
      <c r="E1024" s="158" t="s">
        <v>796</v>
      </c>
      <c r="F1024" s="124"/>
      <c r="G1024" s="126">
        <f>0.9*Tabla32[[#This Row],[CANTIDAD]]</f>
        <v>1.8</v>
      </c>
    </row>
    <row r="1025" spans="1:7" x14ac:dyDescent="0.25">
      <c r="A1025" s="164">
        <v>44600</v>
      </c>
      <c r="B1025" s="158" t="s">
        <v>191</v>
      </c>
      <c r="C1025" s="158">
        <v>1</v>
      </c>
      <c r="D1025" s="158"/>
      <c r="E1025" s="158" t="s">
        <v>796</v>
      </c>
      <c r="F1025" s="124"/>
      <c r="G1025" s="127">
        <f>1.5*Tabla32[[#This Row],[CANTIDAD]]</f>
        <v>1.5</v>
      </c>
    </row>
    <row r="1026" spans="1:7" x14ac:dyDescent="0.25">
      <c r="A1026" s="164">
        <v>44600</v>
      </c>
      <c r="B1026" s="158" t="s">
        <v>219</v>
      </c>
      <c r="C1026" s="158">
        <v>1</v>
      </c>
      <c r="D1026" s="158"/>
      <c r="E1026" s="158" t="s">
        <v>800</v>
      </c>
      <c r="F1026" s="124"/>
      <c r="G1026" s="125">
        <f>0.9*Tabla32[[#This Row],[CANTIDAD]]</f>
        <v>0.9</v>
      </c>
    </row>
    <row r="1027" spans="1:7" x14ac:dyDescent="0.25">
      <c r="A1027" s="163">
        <v>44600</v>
      </c>
      <c r="B1027" s="159" t="s">
        <v>191</v>
      </c>
      <c r="C1027" s="159">
        <v>11</v>
      </c>
      <c r="D1027" s="159"/>
      <c r="E1027" s="159" t="s">
        <v>800</v>
      </c>
      <c r="F1027" s="410"/>
      <c r="G1027" s="127">
        <f>1.5*Tabla32[[#This Row],[CANTIDAD]]</f>
        <v>16.5</v>
      </c>
    </row>
    <row r="1028" spans="1:7" x14ac:dyDescent="0.25">
      <c r="A1028" s="161">
        <v>44601</v>
      </c>
      <c r="B1028" s="162" t="s">
        <v>912</v>
      </c>
      <c r="C1028" s="162">
        <v>1</v>
      </c>
      <c r="D1028" s="162"/>
      <c r="E1028" s="162" t="s">
        <v>122</v>
      </c>
      <c r="F1028" s="409"/>
      <c r="G1028" s="125">
        <f>0.43*Tabla32[[#This Row],[CANTIDAD]]</f>
        <v>0.43</v>
      </c>
    </row>
    <row r="1029" spans="1:7" x14ac:dyDescent="0.25">
      <c r="A1029" s="163">
        <v>44601</v>
      </c>
      <c r="B1029" s="159" t="s">
        <v>191</v>
      </c>
      <c r="C1029" s="159">
        <v>1</v>
      </c>
      <c r="D1029" s="159"/>
      <c r="E1029" s="159" t="s">
        <v>122</v>
      </c>
      <c r="F1029" s="410"/>
      <c r="G1029" s="127">
        <f>1.5*Tabla32[[#This Row],[CANTIDAD]]</f>
        <v>1.5</v>
      </c>
    </row>
    <row r="1030" spans="1:7" x14ac:dyDescent="0.25">
      <c r="A1030" s="161">
        <v>44602</v>
      </c>
      <c r="B1030" s="162" t="s">
        <v>912</v>
      </c>
      <c r="C1030" s="162">
        <v>1</v>
      </c>
      <c r="D1030" s="162"/>
      <c r="E1030" s="162" t="s">
        <v>122</v>
      </c>
      <c r="F1030" s="409"/>
      <c r="G1030" s="125">
        <f>0.43*Tabla32[[#This Row],[CANTIDAD]]</f>
        <v>0.43</v>
      </c>
    </row>
    <row r="1031" spans="1:7" x14ac:dyDescent="0.25">
      <c r="A1031" s="164">
        <v>44602</v>
      </c>
      <c r="B1031" s="158" t="s">
        <v>277</v>
      </c>
      <c r="C1031" s="158">
        <v>4</v>
      </c>
      <c r="D1031" s="158"/>
      <c r="E1031" s="158" t="s">
        <v>796</v>
      </c>
      <c r="F1031" s="124"/>
      <c r="G1031" s="126">
        <f>0.9*Tabla32[[#This Row],[CANTIDAD]]</f>
        <v>3.6</v>
      </c>
    </row>
    <row r="1032" spans="1:7" x14ac:dyDescent="0.25">
      <c r="A1032" s="164">
        <v>44602</v>
      </c>
      <c r="B1032" s="158" t="s">
        <v>186</v>
      </c>
      <c r="C1032" s="158">
        <v>2</v>
      </c>
      <c r="D1032" s="158"/>
      <c r="E1032" s="158" t="s">
        <v>796</v>
      </c>
      <c r="F1032" s="124"/>
      <c r="G1032" s="126">
        <f>0.9*Tabla32[[#This Row],[CANTIDAD]]</f>
        <v>1.8</v>
      </c>
    </row>
    <row r="1033" spans="1:7" x14ac:dyDescent="0.25">
      <c r="A1033" s="164">
        <v>44602</v>
      </c>
      <c r="B1033" s="158" t="s">
        <v>915</v>
      </c>
      <c r="C1033" s="158">
        <v>3</v>
      </c>
      <c r="D1033" s="158"/>
      <c r="E1033" s="158" t="s">
        <v>796</v>
      </c>
      <c r="F1033" s="124"/>
      <c r="G1033" s="126">
        <f>2.17*Tabla32[[#This Row],[CANTIDAD]]</f>
        <v>6.51</v>
      </c>
    </row>
    <row r="1034" spans="1:7" x14ac:dyDescent="0.25">
      <c r="A1034" s="163">
        <v>44602</v>
      </c>
      <c r="B1034" s="159" t="s">
        <v>191</v>
      </c>
      <c r="C1034" s="159">
        <v>3</v>
      </c>
      <c r="D1034" s="159"/>
      <c r="E1034" s="159" t="s">
        <v>796</v>
      </c>
      <c r="F1034" s="410"/>
      <c r="G1034" s="127">
        <f>1.5*Tabla32[[#This Row],[CANTIDAD]]</f>
        <v>4.5</v>
      </c>
    </row>
    <row r="1035" spans="1:7" x14ac:dyDescent="0.25">
      <c r="A1035" s="161">
        <v>44603</v>
      </c>
      <c r="B1035" s="162" t="s">
        <v>912</v>
      </c>
      <c r="C1035" s="162">
        <v>1</v>
      </c>
      <c r="D1035" s="162"/>
      <c r="E1035" s="162" t="s">
        <v>122</v>
      </c>
      <c r="F1035" s="409"/>
      <c r="G1035" s="125">
        <f>0.43*Tabla32[[#This Row],[CANTIDAD]]</f>
        <v>0.43</v>
      </c>
    </row>
    <row r="1036" spans="1:7" x14ac:dyDescent="0.25">
      <c r="A1036" s="164">
        <v>44603</v>
      </c>
      <c r="B1036" s="158" t="s">
        <v>191</v>
      </c>
      <c r="C1036" s="158">
        <v>1</v>
      </c>
      <c r="D1036" s="158"/>
      <c r="E1036" s="158" t="s">
        <v>122</v>
      </c>
      <c r="F1036" s="124"/>
      <c r="G1036" s="127">
        <f>1.5*Tabla32[[#This Row],[CANTIDAD]]</f>
        <v>1.5</v>
      </c>
    </row>
    <row r="1037" spans="1:7" x14ac:dyDescent="0.25">
      <c r="A1037" s="164">
        <v>44603</v>
      </c>
      <c r="B1037" s="158" t="s">
        <v>916</v>
      </c>
      <c r="C1037" s="158">
        <v>1</v>
      </c>
      <c r="D1037" s="158"/>
      <c r="E1037" s="158" t="s">
        <v>299</v>
      </c>
      <c r="F1037" s="124"/>
      <c r="G1037" s="126">
        <f>2.97*Tabla32[[#This Row],[CANTIDAD]]</f>
        <v>2.97</v>
      </c>
    </row>
    <row r="1038" spans="1:7" x14ac:dyDescent="0.25">
      <c r="A1038" s="164">
        <v>44603</v>
      </c>
      <c r="B1038" s="158" t="s">
        <v>206</v>
      </c>
      <c r="C1038" s="158">
        <v>1</v>
      </c>
      <c r="D1038" s="158"/>
      <c r="E1038" s="158" t="s">
        <v>299</v>
      </c>
      <c r="F1038" s="124"/>
      <c r="G1038" s="126">
        <v>4.9000000000000004</v>
      </c>
    </row>
    <row r="1039" spans="1:7" x14ac:dyDescent="0.25">
      <c r="A1039" s="164">
        <v>44603</v>
      </c>
      <c r="B1039" s="158" t="s">
        <v>277</v>
      </c>
      <c r="C1039" s="158">
        <v>3</v>
      </c>
      <c r="D1039" s="158"/>
      <c r="E1039" s="158" t="s">
        <v>796</v>
      </c>
      <c r="F1039" s="124"/>
      <c r="G1039" s="126">
        <f>0.9*Tabla32[[#This Row],[CANTIDAD]]</f>
        <v>2.7</v>
      </c>
    </row>
    <row r="1040" spans="1:7" x14ac:dyDescent="0.25">
      <c r="A1040" s="164">
        <v>44603</v>
      </c>
      <c r="B1040" s="158" t="s">
        <v>219</v>
      </c>
      <c r="C1040" s="158">
        <v>1</v>
      </c>
      <c r="D1040" s="158"/>
      <c r="E1040" s="158" t="s">
        <v>800</v>
      </c>
      <c r="F1040" s="124"/>
      <c r="G1040" s="125">
        <f>0.9*Tabla32[[#This Row],[CANTIDAD]]</f>
        <v>0.9</v>
      </c>
    </row>
    <row r="1041" spans="1:7" x14ac:dyDescent="0.25">
      <c r="A1041" s="164">
        <v>44603</v>
      </c>
      <c r="B1041" s="158" t="s">
        <v>912</v>
      </c>
      <c r="C1041" s="158">
        <v>1</v>
      </c>
      <c r="D1041" s="158"/>
      <c r="E1041" s="158" t="s">
        <v>800</v>
      </c>
      <c r="F1041" s="124"/>
      <c r="G1041" s="126">
        <f>0.43*Tabla32[[#This Row],[CANTIDAD]]</f>
        <v>0.43</v>
      </c>
    </row>
    <row r="1042" spans="1:7" x14ac:dyDescent="0.25">
      <c r="A1042" s="163">
        <v>44603</v>
      </c>
      <c r="B1042" s="159" t="s">
        <v>191</v>
      </c>
      <c r="C1042" s="159">
        <v>1</v>
      </c>
      <c r="D1042" s="159"/>
      <c r="E1042" s="159" t="s">
        <v>800</v>
      </c>
      <c r="F1042" s="410"/>
      <c r="G1042" s="127">
        <f>1.5*Tabla32[[#This Row],[CANTIDAD]]</f>
        <v>1.5</v>
      </c>
    </row>
    <row r="1043" spans="1:7" x14ac:dyDescent="0.25">
      <c r="A1043" s="161">
        <v>44604</v>
      </c>
      <c r="B1043" s="162" t="s">
        <v>277</v>
      </c>
      <c r="C1043" s="162">
        <v>1</v>
      </c>
      <c r="D1043" s="162"/>
      <c r="E1043" s="162" t="s">
        <v>299</v>
      </c>
      <c r="F1043" s="409"/>
      <c r="G1043" s="125">
        <f>0.9*Tabla32[[#This Row],[CANTIDAD]]</f>
        <v>0.9</v>
      </c>
    </row>
    <row r="1044" spans="1:7" x14ac:dyDescent="0.25">
      <c r="A1044" s="164">
        <v>44604</v>
      </c>
      <c r="B1044" s="158" t="s">
        <v>917</v>
      </c>
      <c r="C1044" s="158">
        <v>4</v>
      </c>
      <c r="D1044" s="158"/>
      <c r="E1044" s="158" t="s">
        <v>299</v>
      </c>
      <c r="F1044" s="124"/>
      <c r="G1044" s="126">
        <f>1*Tabla32[[#This Row],[CANTIDAD]]</f>
        <v>4</v>
      </c>
    </row>
    <row r="1045" spans="1:7" x14ac:dyDescent="0.25">
      <c r="A1045" s="164">
        <v>44604</v>
      </c>
      <c r="B1045" s="158" t="s">
        <v>913</v>
      </c>
      <c r="C1045" s="158">
        <v>1</v>
      </c>
      <c r="D1045" s="158"/>
      <c r="E1045" s="158" t="s">
        <v>299</v>
      </c>
      <c r="F1045" s="124"/>
      <c r="G1045" s="126">
        <v>8</v>
      </c>
    </row>
    <row r="1046" spans="1:7" x14ac:dyDescent="0.25">
      <c r="A1046" s="164">
        <v>44604</v>
      </c>
      <c r="B1046" s="158" t="s">
        <v>918</v>
      </c>
      <c r="C1046" s="158">
        <v>1</v>
      </c>
      <c r="D1046" s="158"/>
      <c r="E1046" s="158" t="s">
        <v>299</v>
      </c>
      <c r="F1046" s="124"/>
      <c r="G1046" s="126">
        <v>3.69</v>
      </c>
    </row>
    <row r="1047" spans="1:7" x14ac:dyDescent="0.25">
      <c r="A1047" s="164">
        <v>44604</v>
      </c>
      <c r="B1047" s="158" t="s">
        <v>919</v>
      </c>
      <c r="C1047" s="158">
        <v>1</v>
      </c>
      <c r="D1047" s="158"/>
      <c r="E1047" s="158" t="s">
        <v>299</v>
      </c>
      <c r="F1047" s="124"/>
      <c r="G1047" s="126">
        <v>7.5</v>
      </c>
    </row>
    <row r="1048" spans="1:7" x14ac:dyDescent="0.25">
      <c r="A1048" s="164">
        <v>44604</v>
      </c>
      <c r="B1048" s="158" t="s">
        <v>277</v>
      </c>
      <c r="C1048" s="158">
        <v>2</v>
      </c>
      <c r="D1048" s="158"/>
      <c r="E1048" s="158" t="s">
        <v>796</v>
      </c>
      <c r="F1048" s="124"/>
      <c r="G1048" s="126">
        <f>0.9*Tabla32[[#This Row],[CANTIDAD]]</f>
        <v>1.8</v>
      </c>
    </row>
    <row r="1049" spans="1:7" x14ac:dyDescent="0.25">
      <c r="A1049" s="164">
        <v>44604</v>
      </c>
      <c r="B1049" s="158" t="s">
        <v>219</v>
      </c>
      <c r="C1049" s="158">
        <v>3</v>
      </c>
      <c r="D1049" s="158"/>
      <c r="E1049" s="158" t="s">
        <v>796</v>
      </c>
      <c r="F1049" s="124"/>
      <c r="G1049" s="125">
        <f>0.9*Tabla32[[#This Row],[CANTIDAD]]</f>
        <v>2.7</v>
      </c>
    </row>
    <row r="1050" spans="1:7" x14ac:dyDescent="0.25">
      <c r="A1050" s="164">
        <v>44604</v>
      </c>
      <c r="B1050" s="158" t="s">
        <v>917</v>
      </c>
      <c r="C1050" s="158">
        <v>1</v>
      </c>
      <c r="D1050" s="158"/>
      <c r="E1050" s="158" t="s">
        <v>796</v>
      </c>
      <c r="F1050" s="124"/>
      <c r="G1050" s="126">
        <f>1*Tabla32[[#This Row],[CANTIDAD]]</f>
        <v>1</v>
      </c>
    </row>
    <row r="1051" spans="1:7" x14ac:dyDescent="0.25">
      <c r="A1051" s="164">
        <v>44604</v>
      </c>
      <c r="B1051" s="158" t="s">
        <v>920</v>
      </c>
      <c r="C1051" s="158">
        <v>1</v>
      </c>
      <c r="D1051" s="158"/>
      <c r="E1051" s="158" t="s">
        <v>796</v>
      </c>
      <c r="F1051" s="124"/>
      <c r="G1051" s="126">
        <v>5</v>
      </c>
    </row>
    <row r="1052" spans="1:7" x14ac:dyDescent="0.25">
      <c r="A1052" s="164">
        <v>44604</v>
      </c>
      <c r="B1052" s="158" t="s">
        <v>921</v>
      </c>
      <c r="C1052" s="158">
        <v>1</v>
      </c>
      <c r="D1052" s="158"/>
      <c r="E1052" s="158" t="s">
        <v>796</v>
      </c>
      <c r="F1052" s="124"/>
      <c r="G1052" s="126">
        <v>3</v>
      </c>
    </row>
    <row r="1053" spans="1:7" x14ac:dyDescent="0.25">
      <c r="A1053" s="164">
        <v>44604</v>
      </c>
      <c r="B1053" s="158" t="s">
        <v>191</v>
      </c>
      <c r="C1053" s="158">
        <v>1</v>
      </c>
      <c r="D1053" s="158"/>
      <c r="E1053" s="158" t="s">
        <v>796</v>
      </c>
      <c r="F1053" s="124"/>
      <c r="G1053" s="127">
        <f>1.5*Tabla32[[#This Row],[CANTIDAD]]</f>
        <v>1.5</v>
      </c>
    </row>
    <row r="1054" spans="1:7" x14ac:dyDescent="0.25">
      <c r="A1054" s="164">
        <v>44604</v>
      </c>
      <c r="B1054" s="158" t="s">
        <v>912</v>
      </c>
      <c r="C1054" s="158">
        <v>1</v>
      </c>
      <c r="D1054" s="158"/>
      <c r="E1054" s="158" t="s">
        <v>800</v>
      </c>
      <c r="F1054" s="124"/>
      <c r="G1054" s="126">
        <f>0.43*Tabla32[[#This Row],[CANTIDAD]]</f>
        <v>0.43</v>
      </c>
    </row>
    <row r="1055" spans="1:7" x14ac:dyDescent="0.25">
      <c r="A1055" s="163">
        <v>44604</v>
      </c>
      <c r="B1055" s="159" t="s">
        <v>191</v>
      </c>
      <c r="C1055" s="159">
        <v>1</v>
      </c>
      <c r="D1055" s="159"/>
      <c r="E1055" s="159" t="s">
        <v>800</v>
      </c>
      <c r="F1055" s="410"/>
      <c r="G1055" s="127">
        <f>1.5*Tabla32[[#This Row],[CANTIDAD]]</f>
        <v>1.5</v>
      </c>
    </row>
    <row r="1056" spans="1:7" x14ac:dyDescent="0.25">
      <c r="A1056" s="161">
        <v>44605</v>
      </c>
      <c r="B1056" s="162" t="s">
        <v>912</v>
      </c>
      <c r="C1056" s="162">
        <v>2</v>
      </c>
      <c r="D1056" s="162"/>
      <c r="E1056" s="162" t="s">
        <v>122</v>
      </c>
      <c r="F1056" s="409"/>
      <c r="G1056" s="125">
        <f>0.43*Tabla32[[#This Row],[CANTIDAD]]</f>
        <v>0.86</v>
      </c>
    </row>
    <row r="1057" spans="1:7" x14ac:dyDescent="0.25">
      <c r="A1057" s="164">
        <v>44605</v>
      </c>
      <c r="B1057" s="158" t="s">
        <v>277</v>
      </c>
      <c r="C1057" s="158">
        <v>5</v>
      </c>
      <c r="D1057" s="158"/>
      <c r="E1057" s="158" t="s">
        <v>796</v>
      </c>
      <c r="F1057" s="124"/>
      <c r="G1057" s="126">
        <f>0.9*Tabla32[[#This Row],[CANTIDAD]]</f>
        <v>4.5</v>
      </c>
    </row>
    <row r="1058" spans="1:7" x14ac:dyDescent="0.25">
      <c r="A1058" s="164">
        <v>44605</v>
      </c>
      <c r="B1058" s="158" t="s">
        <v>219</v>
      </c>
      <c r="C1058" s="158">
        <v>3</v>
      </c>
      <c r="D1058" s="158"/>
      <c r="E1058" s="158" t="s">
        <v>796</v>
      </c>
      <c r="F1058" s="124"/>
      <c r="G1058" s="125">
        <f>0.9*Tabla32[[#This Row],[CANTIDAD]]</f>
        <v>2.7</v>
      </c>
    </row>
    <row r="1059" spans="1:7" x14ac:dyDescent="0.25">
      <c r="A1059" s="164">
        <v>44605</v>
      </c>
      <c r="B1059" s="158" t="s">
        <v>191</v>
      </c>
      <c r="C1059" s="158">
        <v>1</v>
      </c>
      <c r="D1059" s="158"/>
      <c r="E1059" s="158" t="s">
        <v>796</v>
      </c>
      <c r="F1059" s="124"/>
      <c r="G1059" s="127">
        <f>1.5*Tabla32[[#This Row],[CANTIDAD]]</f>
        <v>1.5</v>
      </c>
    </row>
    <row r="1060" spans="1:7" x14ac:dyDescent="0.25">
      <c r="A1060" s="163">
        <v>44605</v>
      </c>
      <c r="B1060" s="159" t="s">
        <v>191</v>
      </c>
      <c r="C1060" s="159">
        <v>1</v>
      </c>
      <c r="D1060" s="159"/>
      <c r="E1060" s="159" t="s">
        <v>800</v>
      </c>
      <c r="F1060" s="410"/>
      <c r="G1060" s="127">
        <f>1.5*Tabla32[[#This Row],[CANTIDAD]]</f>
        <v>1.5</v>
      </c>
    </row>
    <row r="1061" spans="1:7" x14ac:dyDescent="0.25">
      <c r="A1061" s="161">
        <v>44607</v>
      </c>
      <c r="B1061" s="162" t="s">
        <v>277</v>
      </c>
      <c r="C1061" s="162">
        <v>2</v>
      </c>
      <c r="D1061" s="162"/>
      <c r="E1061" s="162" t="s">
        <v>796</v>
      </c>
      <c r="F1061" s="409"/>
      <c r="G1061" s="125">
        <f>0.9*Tabla32[[#This Row],[CANTIDAD]]</f>
        <v>1.8</v>
      </c>
    </row>
    <row r="1062" spans="1:7" x14ac:dyDescent="0.25">
      <c r="A1062" s="164">
        <v>44607</v>
      </c>
      <c r="B1062" s="158" t="s">
        <v>922</v>
      </c>
      <c r="C1062" s="158">
        <v>1</v>
      </c>
      <c r="D1062" s="158"/>
      <c r="E1062" s="158" t="s">
        <v>796</v>
      </c>
      <c r="F1062" s="124"/>
      <c r="G1062" s="126">
        <v>2.8</v>
      </c>
    </row>
    <row r="1063" spans="1:7" x14ac:dyDescent="0.25">
      <c r="A1063" s="164">
        <v>44607</v>
      </c>
      <c r="B1063" s="158" t="s">
        <v>672</v>
      </c>
      <c r="C1063" s="158">
        <v>1</v>
      </c>
      <c r="D1063" s="158"/>
      <c r="E1063" s="158" t="s">
        <v>796</v>
      </c>
      <c r="F1063" s="124"/>
      <c r="G1063" s="126">
        <f>1.5*Tabla32[[#This Row],[CANTIDAD]]</f>
        <v>1.5</v>
      </c>
    </row>
    <row r="1064" spans="1:7" x14ac:dyDescent="0.25">
      <c r="A1064" s="163">
        <v>44607</v>
      </c>
      <c r="B1064" s="159" t="s">
        <v>191</v>
      </c>
      <c r="C1064" s="159">
        <v>1</v>
      </c>
      <c r="D1064" s="159"/>
      <c r="E1064" s="159" t="s">
        <v>800</v>
      </c>
      <c r="F1064" s="410"/>
      <c r="G1064" s="127">
        <f>1.5*Tabla32[[#This Row],[CANTIDAD]]</f>
        <v>1.5</v>
      </c>
    </row>
    <row r="1065" spans="1:7" x14ac:dyDescent="0.25">
      <c r="A1065" s="161">
        <v>44608</v>
      </c>
      <c r="B1065" s="162" t="s">
        <v>219</v>
      </c>
      <c r="C1065" s="162">
        <v>2</v>
      </c>
      <c r="D1065" s="162"/>
      <c r="E1065" s="162" t="s">
        <v>122</v>
      </c>
      <c r="F1065" s="409"/>
      <c r="G1065" s="125">
        <f>0.9*Tabla32[[#This Row],[CANTIDAD]]</f>
        <v>1.8</v>
      </c>
    </row>
    <row r="1066" spans="1:7" x14ac:dyDescent="0.25">
      <c r="A1066" s="164">
        <v>44608</v>
      </c>
      <c r="B1066" s="158" t="s">
        <v>672</v>
      </c>
      <c r="C1066" s="158">
        <v>4</v>
      </c>
      <c r="D1066" s="158"/>
      <c r="E1066" s="158" t="s">
        <v>122</v>
      </c>
      <c r="F1066" s="124"/>
      <c r="G1066" s="126">
        <f>1.5*Tabla32[[#This Row],[CANTIDAD]]</f>
        <v>6</v>
      </c>
    </row>
    <row r="1067" spans="1:7" x14ac:dyDescent="0.25">
      <c r="A1067" s="163">
        <v>44608</v>
      </c>
      <c r="B1067" s="159" t="s">
        <v>219</v>
      </c>
      <c r="C1067" s="159">
        <v>5</v>
      </c>
      <c r="D1067" s="159"/>
      <c r="E1067" s="159" t="s">
        <v>796</v>
      </c>
      <c r="F1067" s="410"/>
      <c r="G1067" s="128">
        <f>0.9*Tabla32[[#This Row],[CANTIDAD]]</f>
        <v>4.5</v>
      </c>
    </row>
    <row r="1068" spans="1:7" x14ac:dyDescent="0.25">
      <c r="A1068" s="161">
        <v>44609</v>
      </c>
      <c r="B1068" s="162" t="s">
        <v>912</v>
      </c>
      <c r="C1068" s="162">
        <v>1</v>
      </c>
      <c r="D1068" s="162"/>
      <c r="E1068" s="162" t="s">
        <v>122</v>
      </c>
      <c r="F1068" s="409"/>
      <c r="G1068" s="125">
        <f>0.43*Tabla32[[#This Row],[CANTIDAD]]</f>
        <v>0.43</v>
      </c>
    </row>
    <row r="1069" spans="1:7" x14ac:dyDescent="0.25">
      <c r="A1069" s="163">
        <v>44609</v>
      </c>
      <c r="B1069" s="159" t="s">
        <v>191</v>
      </c>
      <c r="C1069" s="159">
        <v>1</v>
      </c>
      <c r="D1069" s="159"/>
      <c r="E1069" s="159" t="s">
        <v>122</v>
      </c>
      <c r="F1069" s="410"/>
      <c r="G1069" s="127">
        <f>1.5*Tabla32[[#This Row],[CANTIDAD]]</f>
        <v>1.5</v>
      </c>
    </row>
    <row r="1070" spans="1:7" x14ac:dyDescent="0.25">
      <c r="A1070" s="161">
        <v>44610</v>
      </c>
      <c r="B1070" s="162" t="s">
        <v>912</v>
      </c>
      <c r="C1070" s="162">
        <v>1</v>
      </c>
      <c r="D1070" s="162"/>
      <c r="E1070" s="162" t="s">
        <v>122</v>
      </c>
      <c r="F1070" s="409"/>
      <c r="G1070" s="125">
        <f>0.43*Tabla32[[#This Row],[CANTIDAD]]</f>
        <v>0.43</v>
      </c>
    </row>
    <row r="1071" spans="1:7" x14ac:dyDescent="0.25">
      <c r="A1071" s="164">
        <v>44610</v>
      </c>
      <c r="B1071" s="158" t="s">
        <v>191</v>
      </c>
      <c r="C1071" s="158">
        <v>1</v>
      </c>
      <c r="D1071" s="158"/>
      <c r="E1071" s="158" t="s">
        <v>122</v>
      </c>
      <c r="F1071" s="124"/>
      <c r="G1071" s="127">
        <f>1.5*Tabla32[[#This Row],[CANTIDAD]]</f>
        <v>1.5</v>
      </c>
    </row>
    <row r="1072" spans="1:7" x14ac:dyDescent="0.25">
      <c r="A1072" s="164">
        <v>44610</v>
      </c>
      <c r="B1072" s="158" t="s">
        <v>277</v>
      </c>
      <c r="C1072" s="158">
        <v>1</v>
      </c>
      <c r="D1072" s="158"/>
      <c r="E1072" s="158" t="s">
        <v>796</v>
      </c>
      <c r="F1072" s="124"/>
      <c r="G1072" s="126">
        <f>0.9*Tabla32[[#This Row],[CANTIDAD]]</f>
        <v>0.9</v>
      </c>
    </row>
    <row r="1073" spans="1:7" x14ac:dyDescent="0.25">
      <c r="A1073" s="164">
        <v>44610</v>
      </c>
      <c r="B1073" s="158" t="s">
        <v>922</v>
      </c>
      <c r="C1073" s="158">
        <v>1</v>
      </c>
      <c r="D1073" s="158"/>
      <c r="E1073" s="158" t="s">
        <v>796</v>
      </c>
      <c r="F1073" s="124"/>
      <c r="G1073" s="126">
        <v>2.8</v>
      </c>
    </row>
    <row r="1074" spans="1:7" x14ac:dyDescent="0.25">
      <c r="A1074" s="164">
        <v>44610</v>
      </c>
      <c r="B1074" s="158" t="s">
        <v>191</v>
      </c>
      <c r="C1074" s="158">
        <v>1</v>
      </c>
      <c r="D1074" s="158"/>
      <c r="E1074" s="158" t="s">
        <v>796</v>
      </c>
      <c r="F1074" s="124"/>
      <c r="G1074" s="127">
        <f>1.5*Tabla32[[#This Row],[CANTIDAD]]</f>
        <v>1.5</v>
      </c>
    </row>
    <row r="1075" spans="1:7" x14ac:dyDescent="0.25">
      <c r="A1075" s="163">
        <v>44610</v>
      </c>
      <c r="B1075" s="159" t="s">
        <v>219</v>
      </c>
      <c r="C1075" s="159">
        <v>1</v>
      </c>
      <c r="D1075" s="159"/>
      <c r="E1075" s="159" t="s">
        <v>800</v>
      </c>
      <c r="F1075" s="410"/>
      <c r="G1075" s="128">
        <f>0.9*Tabla32[[#This Row],[CANTIDAD]]</f>
        <v>0.9</v>
      </c>
    </row>
    <row r="1076" spans="1:7" x14ac:dyDescent="0.25">
      <c r="A1076" s="161">
        <v>44611</v>
      </c>
      <c r="B1076" s="162" t="s">
        <v>219</v>
      </c>
      <c r="C1076" s="162">
        <v>2</v>
      </c>
      <c r="D1076" s="162"/>
      <c r="E1076" s="162" t="s">
        <v>796</v>
      </c>
      <c r="F1076" s="409"/>
      <c r="G1076" s="125">
        <f>0.9*Tabla32[[#This Row],[CANTIDAD]]</f>
        <v>1.8</v>
      </c>
    </row>
    <row r="1077" spans="1:7" x14ac:dyDescent="0.25">
      <c r="A1077" s="164">
        <v>44611</v>
      </c>
      <c r="B1077" s="158" t="s">
        <v>191</v>
      </c>
      <c r="C1077" s="158">
        <v>2</v>
      </c>
      <c r="D1077" s="158"/>
      <c r="E1077" s="158" t="s">
        <v>796</v>
      </c>
      <c r="F1077" s="124"/>
      <c r="G1077" s="127">
        <f>1.5*Tabla32[[#This Row],[CANTIDAD]]</f>
        <v>3</v>
      </c>
    </row>
    <row r="1078" spans="1:7" x14ac:dyDescent="0.25">
      <c r="A1078" s="163">
        <v>44611</v>
      </c>
      <c r="B1078" s="159" t="s">
        <v>912</v>
      </c>
      <c r="C1078" s="159">
        <v>1</v>
      </c>
      <c r="D1078" s="159"/>
      <c r="E1078" s="159" t="s">
        <v>800</v>
      </c>
      <c r="F1078" s="410"/>
      <c r="G1078" s="127">
        <f>0.43*Tabla32[[#This Row],[CANTIDAD]]</f>
        <v>0.43</v>
      </c>
    </row>
    <row r="1079" spans="1:7" x14ac:dyDescent="0.25">
      <c r="A1079" s="161">
        <v>44612</v>
      </c>
      <c r="B1079" s="162" t="s">
        <v>125</v>
      </c>
      <c r="C1079" s="162">
        <v>1</v>
      </c>
      <c r="D1079" s="162"/>
      <c r="E1079" s="162" t="s">
        <v>122</v>
      </c>
      <c r="F1079" s="409"/>
      <c r="G1079" s="125">
        <v>1.5</v>
      </c>
    </row>
    <row r="1080" spans="1:7" x14ac:dyDescent="0.25">
      <c r="A1080" s="164">
        <v>44612</v>
      </c>
      <c r="B1080" s="158" t="s">
        <v>219</v>
      </c>
      <c r="C1080" s="158">
        <v>3</v>
      </c>
      <c r="D1080" s="158"/>
      <c r="E1080" s="158" t="s">
        <v>299</v>
      </c>
      <c r="F1080" s="124"/>
      <c r="G1080" s="125">
        <f>0.9*Tabla32[[#This Row],[CANTIDAD]]</f>
        <v>2.7</v>
      </c>
    </row>
    <row r="1081" spans="1:7" x14ac:dyDescent="0.25">
      <c r="A1081" s="164">
        <v>44612</v>
      </c>
      <c r="B1081" s="158" t="s">
        <v>186</v>
      </c>
      <c r="C1081" s="158">
        <v>2</v>
      </c>
      <c r="D1081" s="158"/>
      <c r="E1081" s="158" t="s">
        <v>299</v>
      </c>
      <c r="F1081" s="124"/>
      <c r="G1081" s="126">
        <f>0.9*Tabla32[[#This Row],[CANTIDAD]]</f>
        <v>1.8</v>
      </c>
    </row>
    <row r="1082" spans="1:7" x14ac:dyDescent="0.25">
      <c r="A1082" s="164">
        <v>44612</v>
      </c>
      <c r="B1082" s="158" t="s">
        <v>195</v>
      </c>
      <c r="C1082" s="158">
        <v>1</v>
      </c>
      <c r="D1082" s="158"/>
      <c r="E1082" s="158" t="s">
        <v>299</v>
      </c>
      <c r="F1082" s="124"/>
      <c r="G1082" s="126">
        <f>0.9*Tabla32[[#This Row],[CANTIDAD]]</f>
        <v>0.9</v>
      </c>
    </row>
    <row r="1083" spans="1:7" x14ac:dyDescent="0.25">
      <c r="A1083" s="164">
        <v>44612</v>
      </c>
      <c r="B1083" s="158" t="s">
        <v>923</v>
      </c>
      <c r="C1083" s="158">
        <v>1</v>
      </c>
      <c r="D1083" s="158"/>
      <c r="E1083" s="158" t="s">
        <v>299</v>
      </c>
      <c r="F1083" s="124"/>
      <c r="G1083" s="126">
        <v>2.2999999999999998</v>
      </c>
    </row>
    <row r="1084" spans="1:7" x14ac:dyDescent="0.25">
      <c r="A1084" s="164">
        <v>44612</v>
      </c>
      <c r="B1084" s="158" t="s">
        <v>221</v>
      </c>
      <c r="C1084" s="158">
        <v>2</v>
      </c>
      <c r="D1084" s="158"/>
      <c r="E1084" s="158" t="s">
        <v>299</v>
      </c>
      <c r="F1084" s="124"/>
      <c r="G1084" s="126">
        <f>0.95*Tabla32[[#This Row],[CANTIDAD]]</f>
        <v>1.9</v>
      </c>
    </row>
    <row r="1085" spans="1:7" x14ac:dyDescent="0.25">
      <c r="A1085" s="164">
        <v>44612</v>
      </c>
      <c r="B1085" s="158" t="s">
        <v>924</v>
      </c>
      <c r="C1085" s="158">
        <v>2</v>
      </c>
      <c r="D1085" s="158"/>
      <c r="E1085" s="158" t="s">
        <v>299</v>
      </c>
      <c r="F1085" s="124"/>
      <c r="G1085" s="126">
        <f>1.96*Tabla32[[#This Row],[CANTIDAD]]</f>
        <v>3.92</v>
      </c>
    </row>
    <row r="1086" spans="1:7" x14ac:dyDescent="0.25">
      <c r="A1086" s="164">
        <v>44612</v>
      </c>
      <c r="B1086" s="158" t="s">
        <v>138</v>
      </c>
      <c r="C1086" s="158">
        <v>5</v>
      </c>
      <c r="D1086" s="158"/>
      <c r="E1086" s="158" t="s">
        <v>299</v>
      </c>
      <c r="F1086" s="124"/>
      <c r="G1086" s="126">
        <f>4*Tabla32[[#This Row],[CANTIDAD]]</f>
        <v>20</v>
      </c>
    </row>
    <row r="1087" spans="1:7" x14ac:dyDescent="0.25">
      <c r="A1087" s="164">
        <v>44612</v>
      </c>
      <c r="B1087" s="158" t="s">
        <v>914</v>
      </c>
      <c r="C1087" s="158">
        <v>5</v>
      </c>
      <c r="D1087" s="158"/>
      <c r="E1087" s="158" t="s">
        <v>299</v>
      </c>
      <c r="F1087" s="124"/>
      <c r="G1087" s="126">
        <f>3.9*Tabla32[[#This Row],[CANTIDAD]]</f>
        <v>19.5</v>
      </c>
    </row>
    <row r="1088" spans="1:7" x14ac:dyDescent="0.25">
      <c r="A1088" s="164">
        <v>44612</v>
      </c>
      <c r="B1088" s="158" t="s">
        <v>131</v>
      </c>
      <c r="C1088" s="158">
        <v>1</v>
      </c>
      <c r="D1088" s="158"/>
      <c r="E1088" s="158" t="s">
        <v>299</v>
      </c>
      <c r="F1088" s="124"/>
      <c r="G1088" s="126">
        <v>3</v>
      </c>
    </row>
    <row r="1089" spans="1:7" x14ac:dyDescent="0.25">
      <c r="A1089" s="164">
        <v>44612</v>
      </c>
      <c r="B1089" s="158" t="s">
        <v>302</v>
      </c>
      <c r="C1089" s="158">
        <v>1</v>
      </c>
      <c r="D1089" s="158"/>
      <c r="E1089" s="158" t="s">
        <v>299</v>
      </c>
      <c r="F1089" s="124"/>
      <c r="G1089" s="126">
        <v>3</v>
      </c>
    </row>
    <row r="1090" spans="1:7" x14ac:dyDescent="0.25">
      <c r="A1090" s="164">
        <v>44612</v>
      </c>
      <c r="B1090" s="158" t="s">
        <v>549</v>
      </c>
      <c r="C1090" s="158">
        <v>0</v>
      </c>
      <c r="D1090" s="158"/>
      <c r="E1090" s="158" t="s">
        <v>299</v>
      </c>
      <c r="F1090" s="124"/>
      <c r="G1090" s="126">
        <v>3.8</v>
      </c>
    </row>
    <row r="1091" spans="1:7" x14ac:dyDescent="0.25">
      <c r="A1091" s="164">
        <v>44612</v>
      </c>
      <c r="B1091" s="158" t="s">
        <v>925</v>
      </c>
      <c r="C1091" s="158">
        <v>4</v>
      </c>
      <c r="D1091" s="158"/>
      <c r="E1091" s="158" t="s">
        <v>299</v>
      </c>
      <c r="F1091" s="124"/>
      <c r="G1091" s="126">
        <f>2.9*Tabla32[[#This Row],[CANTIDAD]]</f>
        <v>11.6</v>
      </c>
    </row>
    <row r="1092" spans="1:7" x14ac:dyDescent="0.25">
      <c r="A1092" s="164">
        <v>44612</v>
      </c>
      <c r="B1092" s="158" t="s">
        <v>661</v>
      </c>
      <c r="C1092" s="158">
        <v>3</v>
      </c>
      <c r="D1092" s="158"/>
      <c r="E1092" s="158" t="s">
        <v>299</v>
      </c>
      <c r="F1092" s="124"/>
      <c r="G1092" s="126">
        <f>2*Tabla32[[#This Row],[CANTIDAD]]</f>
        <v>6</v>
      </c>
    </row>
    <row r="1093" spans="1:7" x14ac:dyDescent="0.25">
      <c r="A1093" s="164">
        <v>44612</v>
      </c>
      <c r="B1093" s="158" t="s">
        <v>926</v>
      </c>
      <c r="C1093" s="158">
        <v>3</v>
      </c>
      <c r="D1093" s="158"/>
      <c r="E1093" s="158" t="s">
        <v>299</v>
      </c>
      <c r="F1093" s="124"/>
      <c r="G1093" s="126">
        <f>6*Tabla32[[#This Row],[CANTIDAD]]</f>
        <v>18</v>
      </c>
    </row>
    <row r="1094" spans="1:7" x14ac:dyDescent="0.25">
      <c r="A1094" s="164">
        <v>44612</v>
      </c>
      <c r="B1094" s="158" t="s">
        <v>219</v>
      </c>
      <c r="C1094" s="158">
        <v>3</v>
      </c>
      <c r="D1094" s="158"/>
      <c r="E1094" s="158" t="s">
        <v>796</v>
      </c>
      <c r="F1094" s="124"/>
      <c r="G1094" s="125">
        <f>0.9*Tabla32[[#This Row],[CANTIDAD]]</f>
        <v>2.7</v>
      </c>
    </row>
    <row r="1095" spans="1:7" x14ac:dyDescent="0.25">
      <c r="A1095" s="164">
        <v>44612</v>
      </c>
      <c r="B1095" s="158" t="s">
        <v>191</v>
      </c>
      <c r="C1095" s="158">
        <v>2</v>
      </c>
      <c r="D1095" s="158"/>
      <c r="E1095" s="158" t="s">
        <v>796</v>
      </c>
      <c r="F1095" s="124"/>
      <c r="G1095" s="127">
        <f>1.5*Tabla32[[#This Row],[CANTIDAD]]</f>
        <v>3</v>
      </c>
    </row>
    <row r="1096" spans="1:7" x14ac:dyDescent="0.25">
      <c r="A1096" s="164">
        <v>44612</v>
      </c>
      <c r="B1096" s="158" t="s">
        <v>219</v>
      </c>
      <c r="C1096" s="158">
        <v>1</v>
      </c>
      <c r="D1096" s="158"/>
      <c r="E1096" s="158" t="s">
        <v>800</v>
      </c>
      <c r="F1096" s="124"/>
      <c r="G1096" s="125">
        <f>0.9*Tabla32[[#This Row],[CANTIDAD]]</f>
        <v>0.9</v>
      </c>
    </row>
    <row r="1097" spans="1:7" x14ac:dyDescent="0.25">
      <c r="A1097" s="163">
        <v>44612</v>
      </c>
      <c r="B1097" s="159" t="s">
        <v>912</v>
      </c>
      <c r="C1097" s="159">
        <v>1</v>
      </c>
      <c r="D1097" s="159"/>
      <c r="E1097" s="159" t="s">
        <v>800</v>
      </c>
      <c r="F1097" s="410"/>
      <c r="G1097" s="127">
        <f>0.43*Tabla32[[#This Row],[CANTIDAD]]</f>
        <v>0.43</v>
      </c>
    </row>
    <row r="1098" spans="1:7" x14ac:dyDescent="0.25">
      <c r="A1098" s="161">
        <v>44613</v>
      </c>
      <c r="B1098" s="162" t="s">
        <v>219</v>
      </c>
      <c r="C1098" s="162">
        <v>2</v>
      </c>
      <c r="D1098" s="162"/>
      <c r="E1098" s="162" t="s">
        <v>122</v>
      </c>
      <c r="F1098" s="409"/>
      <c r="G1098" s="125">
        <f>0.9*Tabla32[[#This Row],[CANTIDAD]]</f>
        <v>1.8</v>
      </c>
    </row>
    <row r="1099" spans="1:7" x14ac:dyDescent="0.25">
      <c r="A1099" s="164">
        <v>44613</v>
      </c>
      <c r="B1099" s="158" t="s">
        <v>206</v>
      </c>
      <c r="C1099" s="158">
        <v>1</v>
      </c>
      <c r="D1099" s="158"/>
      <c r="E1099" s="158" t="s">
        <v>122</v>
      </c>
      <c r="F1099" s="124"/>
      <c r="G1099" s="126">
        <v>4.9000000000000004</v>
      </c>
    </row>
    <row r="1100" spans="1:7" x14ac:dyDescent="0.25">
      <c r="A1100" s="164">
        <v>44613</v>
      </c>
      <c r="B1100" s="158" t="s">
        <v>277</v>
      </c>
      <c r="C1100" s="158">
        <v>2</v>
      </c>
      <c r="D1100" s="158"/>
      <c r="E1100" s="158" t="s">
        <v>796</v>
      </c>
      <c r="F1100" s="124"/>
      <c r="G1100" s="126">
        <f>0.9*Tabla32[[#This Row],[CANTIDAD]]</f>
        <v>1.8</v>
      </c>
    </row>
    <row r="1101" spans="1:7" x14ac:dyDescent="0.25">
      <c r="A1101" s="164">
        <v>44613</v>
      </c>
      <c r="B1101" s="158" t="s">
        <v>219</v>
      </c>
      <c r="C1101" s="158">
        <v>1</v>
      </c>
      <c r="D1101" s="158"/>
      <c r="E1101" s="158" t="s">
        <v>796</v>
      </c>
      <c r="F1101" s="124"/>
      <c r="G1101" s="125">
        <f>0.9*Tabla32[[#This Row],[CANTIDAD]]</f>
        <v>0.9</v>
      </c>
    </row>
    <row r="1102" spans="1:7" x14ac:dyDescent="0.25">
      <c r="A1102" s="164">
        <v>44613</v>
      </c>
      <c r="B1102" s="158" t="s">
        <v>219</v>
      </c>
      <c r="C1102" s="158">
        <v>1</v>
      </c>
      <c r="D1102" s="158"/>
      <c r="E1102" s="158" t="s">
        <v>800</v>
      </c>
      <c r="F1102" s="124"/>
      <c r="G1102" s="125">
        <f>0.9*Tabla32[[#This Row],[CANTIDAD]]</f>
        <v>0.9</v>
      </c>
    </row>
    <row r="1103" spans="1:7" x14ac:dyDescent="0.25">
      <c r="A1103" s="163">
        <v>44613</v>
      </c>
      <c r="B1103" s="159" t="s">
        <v>912</v>
      </c>
      <c r="C1103" s="159">
        <v>1</v>
      </c>
      <c r="D1103" s="159"/>
      <c r="E1103" s="159" t="s">
        <v>800</v>
      </c>
      <c r="F1103" s="410"/>
      <c r="G1103" s="127">
        <f>0.43*Tabla32[[#This Row],[CANTIDAD]]</f>
        <v>0.43</v>
      </c>
    </row>
    <row r="1104" spans="1:7" x14ac:dyDescent="0.25">
      <c r="A1104" s="161">
        <v>44614</v>
      </c>
      <c r="B1104" s="162" t="s">
        <v>194</v>
      </c>
      <c r="C1104" s="162">
        <v>1</v>
      </c>
      <c r="D1104" s="162"/>
      <c r="E1104" s="162" t="s">
        <v>796</v>
      </c>
      <c r="F1104" s="409"/>
      <c r="G1104" s="125">
        <f>0.5*Tabla32[[#This Row],[CANTIDAD]]</f>
        <v>0.5</v>
      </c>
    </row>
    <row r="1105" spans="1:7" x14ac:dyDescent="0.25">
      <c r="A1105" s="164">
        <v>44614</v>
      </c>
      <c r="B1105" s="158" t="s">
        <v>186</v>
      </c>
      <c r="C1105" s="158">
        <v>2</v>
      </c>
      <c r="D1105" s="158"/>
      <c r="E1105" s="158" t="s">
        <v>796</v>
      </c>
      <c r="F1105" s="124"/>
      <c r="G1105" s="126">
        <f>0.9*Tabla32[[#This Row],[CANTIDAD]]</f>
        <v>1.8</v>
      </c>
    </row>
    <row r="1106" spans="1:7" x14ac:dyDescent="0.25">
      <c r="A1106" s="163">
        <v>44614</v>
      </c>
      <c r="B1106" s="159" t="s">
        <v>191</v>
      </c>
      <c r="C1106" s="159">
        <v>1</v>
      </c>
      <c r="D1106" s="159"/>
      <c r="E1106" s="159" t="s">
        <v>796</v>
      </c>
      <c r="F1106" s="410"/>
      <c r="G1106" s="127">
        <f>1.5*Tabla32[[#This Row],[CANTIDAD]]</f>
        <v>1.5</v>
      </c>
    </row>
    <row r="1107" spans="1:7" x14ac:dyDescent="0.25">
      <c r="A1107" s="161">
        <v>44615</v>
      </c>
      <c r="B1107" s="162" t="s">
        <v>801</v>
      </c>
      <c r="C1107" s="162">
        <v>1</v>
      </c>
      <c r="D1107" s="162"/>
      <c r="E1107" s="162" t="s">
        <v>122</v>
      </c>
      <c r="F1107" s="409"/>
      <c r="G1107" s="125">
        <f>1.9*Tabla32[[#This Row],[CANTIDAD]]</f>
        <v>1.9</v>
      </c>
    </row>
    <row r="1108" spans="1:7" x14ac:dyDescent="0.25">
      <c r="A1108" s="164">
        <v>44615</v>
      </c>
      <c r="B1108" s="158" t="s">
        <v>277</v>
      </c>
      <c r="C1108" s="158">
        <v>4</v>
      </c>
      <c r="D1108" s="158"/>
      <c r="E1108" s="158" t="s">
        <v>670</v>
      </c>
      <c r="F1108" s="124"/>
      <c r="G1108" s="126">
        <f>0.9*Tabla32[[#This Row],[CANTIDAD]]</f>
        <v>3.6</v>
      </c>
    </row>
    <row r="1109" spans="1:7" x14ac:dyDescent="0.25">
      <c r="A1109" s="164">
        <v>44615</v>
      </c>
      <c r="B1109" s="158" t="s">
        <v>219</v>
      </c>
      <c r="C1109" s="158">
        <v>3</v>
      </c>
      <c r="D1109" s="158"/>
      <c r="E1109" s="158" t="s">
        <v>796</v>
      </c>
      <c r="F1109" s="124"/>
      <c r="G1109" s="125">
        <f>0.9*Tabla32[[#This Row],[CANTIDAD]]</f>
        <v>2.7</v>
      </c>
    </row>
    <row r="1110" spans="1:7" x14ac:dyDescent="0.25">
      <c r="A1110" s="164">
        <v>44615</v>
      </c>
      <c r="B1110" s="158" t="s">
        <v>914</v>
      </c>
      <c r="C1110" s="158">
        <v>1</v>
      </c>
      <c r="D1110" s="158"/>
      <c r="E1110" s="158" t="s">
        <v>796</v>
      </c>
      <c r="F1110" s="124"/>
      <c r="G1110" s="126">
        <f>3.9*Tabla32[[#This Row],[CANTIDAD]]</f>
        <v>3.9</v>
      </c>
    </row>
    <row r="1111" spans="1:7" x14ac:dyDescent="0.25">
      <c r="A1111" s="164">
        <v>44615</v>
      </c>
      <c r="B1111" s="158" t="s">
        <v>927</v>
      </c>
      <c r="C1111" s="158">
        <v>1</v>
      </c>
      <c r="D1111" s="158"/>
      <c r="E1111" s="158" t="s">
        <v>796</v>
      </c>
      <c r="F1111" s="124"/>
      <c r="G1111" s="126">
        <v>7</v>
      </c>
    </row>
    <row r="1112" spans="1:7" x14ac:dyDescent="0.25">
      <c r="A1112" s="163">
        <v>44615</v>
      </c>
      <c r="B1112" s="159" t="s">
        <v>137</v>
      </c>
      <c r="C1112" s="159">
        <v>2</v>
      </c>
      <c r="D1112" s="159"/>
      <c r="E1112" s="159" t="s">
        <v>796</v>
      </c>
      <c r="F1112" s="410"/>
      <c r="G1112" s="127">
        <f>6*Tabla32[[#This Row],[CANTIDAD]]</f>
        <v>12</v>
      </c>
    </row>
    <row r="1113" spans="1:7" x14ac:dyDescent="0.25">
      <c r="A1113" s="161">
        <v>44616</v>
      </c>
      <c r="B1113" s="162" t="s">
        <v>912</v>
      </c>
      <c r="C1113" s="162">
        <v>1</v>
      </c>
      <c r="D1113" s="162"/>
      <c r="E1113" s="162" t="s">
        <v>122</v>
      </c>
      <c r="F1113" s="409"/>
      <c r="G1113" s="125">
        <f>0.43*Tabla32[[#This Row],[CANTIDAD]]</f>
        <v>0.43</v>
      </c>
    </row>
    <row r="1114" spans="1:7" x14ac:dyDescent="0.25">
      <c r="A1114" s="164">
        <v>44616</v>
      </c>
      <c r="B1114" s="158" t="s">
        <v>191</v>
      </c>
      <c r="C1114" s="158">
        <v>1</v>
      </c>
      <c r="D1114" s="158"/>
      <c r="E1114" s="158" t="s">
        <v>122</v>
      </c>
      <c r="F1114" s="124"/>
      <c r="G1114" s="127">
        <f>1.5*Tabla32[[#This Row],[CANTIDAD]]</f>
        <v>1.5</v>
      </c>
    </row>
    <row r="1115" spans="1:7" x14ac:dyDescent="0.25">
      <c r="A1115" s="164">
        <v>44616</v>
      </c>
      <c r="B1115" s="158" t="s">
        <v>277</v>
      </c>
      <c r="C1115" s="158">
        <v>1</v>
      </c>
      <c r="D1115" s="158"/>
      <c r="E1115" s="158" t="s">
        <v>670</v>
      </c>
      <c r="F1115" s="124"/>
      <c r="G1115" s="126">
        <f>0.9*Tabla32[[#This Row],[CANTIDAD]]</f>
        <v>0.9</v>
      </c>
    </row>
    <row r="1116" spans="1:7" x14ac:dyDescent="0.25">
      <c r="A1116" s="163">
        <v>44616</v>
      </c>
      <c r="B1116" s="159" t="s">
        <v>669</v>
      </c>
      <c r="C1116" s="159">
        <v>1</v>
      </c>
      <c r="D1116" s="159"/>
      <c r="E1116" s="159" t="s">
        <v>670</v>
      </c>
      <c r="F1116" s="410"/>
      <c r="G1116" s="127">
        <f>0.4*Tabla32[[#This Row],[CANTIDAD]]</f>
        <v>0.4</v>
      </c>
    </row>
    <row r="1117" spans="1:7" x14ac:dyDescent="0.25">
      <c r="A1117" s="161">
        <v>44617</v>
      </c>
      <c r="B1117" s="162" t="s">
        <v>923</v>
      </c>
      <c r="C1117" s="162">
        <v>1</v>
      </c>
      <c r="D1117" s="162"/>
      <c r="E1117" s="162" t="s">
        <v>122</v>
      </c>
      <c r="F1117" s="409"/>
      <c r="G1117" s="125">
        <v>2.2999999999999998</v>
      </c>
    </row>
    <row r="1118" spans="1:7" x14ac:dyDescent="0.25">
      <c r="A1118" s="164">
        <v>44617</v>
      </c>
      <c r="B1118" s="158" t="s">
        <v>219</v>
      </c>
      <c r="C1118" s="158">
        <v>9</v>
      </c>
      <c r="D1118" s="158"/>
      <c r="E1118" s="158" t="s">
        <v>796</v>
      </c>
      <c r="F1118" s="124"/>
      <c r="G1118" s="125">
        <f>0.9*Tabla32[[#This Row],[CANTIDAD]]</f>
        <v>8.1</v>
      </c>
    </row>
    <row r="1119" spans="1:7" x14ac:dyDescent="0.25">
      <c r="A1119" s="164">
        <v>44617</v>
      </c>
      <c r="B1119" s="158" t="s">
        <v>194</v>
      </c>
      <c r="C1119" s="158">
        <v>1</v>
      </c>
      <c r="D1119" s="158"/>
      <c r="E1119" s="158" t="s">
        <v>796</v>
      </c>
      <c r="F1119" s="124"/>
      <c r="G1119" s="126">
        <f>0.5*Tabla32[[#This Row],[CANTIDAD]]</f>
        <v>0.5</v>
      </c>
    </row>
    <row r="1120" spans="1:7" x14ac:dyDescent="0.25">
      <c r="A1120" s="164">
        <v>44617</v>
      </c>
      <c r="B1120" s="158" t="s">
        <v>186</v>
      </c>
      <c r="C1120" s="158">
        <v>1</v>
      </c>
      <c r="D1120" s="158"/>
      <c r="E1120" s="158" t="s">
        <v>796</v>
      </c>
      <c r="F1120" s="124"/>
      <c r="G1120" s="126">
        <f>0.9*Tabla32[[#This Row],[CANTIDAD]]</f>
        <v>0.9</v>
      </c>
    </row>
    <row r="1121" spans="1:7" x14ac:dyDescent="0.25">
      <c r="A1121" s="164">
        <v>44617</v>
      </c>
      <c r="B1121" s="158" t="s">
        <v>221</v>
      </c>
      <c r="C1121" s="158">
        <v>1</v>
      </c>
      <c r="D1121" s="158"/>
      <c r="E1121" s="158" t="s">
        <v>796</v>
      </c>
      <c r="F1121" s="124"/>
      <c r="G1121" s="126">
        <f>0.95*Tabla32[[#This Row],[CANTIDAD]]</f>
        <v>0.95</v>
      </c>
    </row>
    <row r="1122" spans="1:7" x14ac:dyDescent="0.25">
      <c r="A1122" s="164">
        <v>44617</v>
      </c>
      <c r="B1122" s="158" t="s">
        <v>191</v>
      </c>
      <c r="C1122" s="158">
        <v>1</v>
      </c>
      <c r="D1122" s="158"/>
      <c r="E1122" s="158" t="s">
        <v>796</v>
      </c>
      <c r="F1122" s="124"/>
      <c r="G1122" s="127">
        <f>1.5*Tabla32[[#This Row],[CANTIDAD]]</f>
        <v>1.5</v>
      </c>
    </row>
    <row r="1123" spans="1:7" x14ac:dyDescent="0.25">
      <c r="A1123" s="164">
        <v>44617</v>
      </c>
      <c r="B1123" s="158" t="s">
        <v>219</v>
      </c>
      <c r="C1123" s="158">
        <v>1</v>
      </c>
      <c r="D1123" s="158"/>
      <c r="E1123" s="158" t="s">
        <v>800</v>
      </c>
      <c r="F1123" s="124"/>
      <c r="G1123" s="125">
        <f>0.9*Tabla32[[#This Row],[CANTIDAD]]</f>
        <v>0.9</v>
      </c>
    </row>
    <row r="1124" spans="1:7" x14ac:dyDescent="0.25">
      <c r="A1124" s="164">
        <v>44617</v>
      </c>
      <c r="B1124" s="158" t="s">
        <v>912</v>
      </c>
      <c r="C1124" s="158">
        <v>1</v>
      </c>
      <c r="D1124" s="158"/>
      <c r="E1124" s="158" t="s">
        <v>800</v>
      </c>
      <c r="F1124" s="124"/>
      <c r="G1124" s="126">
        <f>0.43*Tabla32[[#This Row],[CANTIDAD]]</f>
        <v>0.43</v>
      </c>
    </row>
    <row r="1125" spans="1:7" x14ac:dyDescent="0.25">
      <c r="A1125" s="163">
        <v>44617</v>
      </c>
      <c r="B1125" s="159" t="s">
        <v>191</v>
      </c>
      <c r="C1125" s="159">
        <v>1</v>
      </c>
      <c r="D1125" s="159"/>
      <c r="E1125" s="159" t="s">
        <v>800</v>
      </c>
      <c r="F1125" s="410"/>
      <c r="G1125" s="127">
        <f>1.5*Tabla32[[#This Row],[CANTIDAD]]</f>
        <v>1.5</v>
      </c>
    </row>
    <row r="1126" spans="1:7" x14ac:dyDescent="0.25">
      <c r="A1126" s="161">
        <v>44618</v>
      </c>
      <c r="B1126" s="162" t="s">
        <v>912</v>
      </c>
      <c r="C1126" s="162">
        <v>1</v>
      </c>
      <c r="D1126" s="162"/>
      <c r="E1126" s="162" t="s">
        <v>122</v>
      </c>
      <c r="F1126" s="409"/>
      <c r="G1126" s="126">
        <f>0.43*Tabla32[[#This Row],[CANTIDAD]]</f>
        <v>0.43</v>
      </c>
    </row>
    <row r="1127" spans="1:7" x14ac:dyDescent="0.25">
      <c r="A1127" s="164">
        <v>44618</v>
      </c>
      <c r="B1127" s="158" t="s">
        <v>221</v>
      </c>
      <c r="C1127" s="158">
        <v>0</v>
      </c>
      <c r="D1127" s="158"/>
      <c r="E1127" s="158" t="s">
        <v>122</v>
      </c>
      <c r="F1127" s="124"/>
      <c r="G1127" s="87">
        <f>0.95*Tabla32[[#This Row],[CANTIDAD]]</f>
        <v>0</v>
      </c>
    </row>
    <row r="1128" spans="1:7" x14ac:dyDescent="0.25">
      <c r="A1128" s="164">
        <v>44618</v>
      </c>
      <c r="B1128" s="158" t="s">
        <v>191</v>
      </c>
      <c r="C1128" s="158">
        <v>2</v>
      </c>
      <c r="D1128" s="158"/>
      <c r="E1128" s="158" t="s">
        <v>122</v>
      </c>
      <c r="F1128" s="124"/>
      <c r="G1128" s="127">
        <f>1.5*Tabla32[[#This Row],[CANTIDAD]]</f>
        <v>3</v>
      </c>
    </row>
    <row r="1129" spans="1:7" x14ac:dyDescent="0.25">
      <c r="A1129" s="164">
        <v>44618</v>
      </c>
      <c r="B1129" s="158" t="s">
        <v>414</v>
      </c>
      <c r="C1129" s="158">
        <v>2</v>
      </c>
      <c r="D1129" s="158"/>
      <c r="E1129" s="158" t="s">
        <v>796</v>
      </c>
      <c r="F1129" s="124"/>
      <c r="G1129" s="126">
        <f>0.5*Tabla32[[#This Row],[CANTIDAD]]</f>
        <v>1</v>
      </c>
    </row>
    <row r="1130" spans="1:7" x14ac:dyDescent="0.25">
      <c r="A1130" s="164">
        <v>44618</v>
      </c>
      <c r="B1130" s="158" t="s">
        <v>914</v>
      </c>
      <c r="C1130" s="158">
        <v>1</v>
      </c>
      <c r="D1130" s="158"/>
      <c r="E1130" s="158" t="s">
        <v>796</v>
      </c>
      <c r="F1130" s="124"/>
      <c r="G1130" s="87">
        <f>3.9*Tabla32[[#This Row],[CANTIDAD]]</f>
        <v>3.9</v>
      </c>
    </row>
    <row r="1131" spans="1:7" x14ac:dyDescent="0.25">
      <c r="A1131" s="164">
        <v>44618</v>
      </c>
      <c r="B1131" s="158" t="s">
        <v>124</v>
      </c>
      <c r="C1131" s="158">
        <v>2</v>
      </c>
      <c r="D1131" s="158"/>
      <c r="E1131" s="158" t="s">
        <v>796</v>
      </c>
      <c r="F1131" s="124"/>
      <c r="G1131" s="87">
        <f>1.5*Tabla32[[#This Row],[CANTIDAD]]</f>
        <v>3</v>
      </c>
    </row>
    <row r="1132" spans="1:7" x14ac:dyDescent="0.25">
      <c r="A1132" s="164">
        <v>44618</v>
      </c>
      <c r="B1132" s="158" t="s">
        <v>191</v>
      </c>
      <c r="C1132" s="158">
        <v>1</v>
      </c>
      <c r="D1132" s="158"/>
      <c r="E1132" s="158" t="s">
        <v>796</v>
      </c>
      <c r="F1132" s="124"/>
      <c r="G1132" s="127">
        <f>1.5*Tabla32[[#This Row],[CANTIDAD]]</f>
        <v>1.5</v>
      </c>
    </row>
    <row r="1133" spans="1:7" x14ac:dyDescent="0.25">
      <c r="A1133" s="164">
        <v>44618</v>
      </c>
      <c r="B1133" s="158" t="s">
        <v>912</v>
      </c>
      <c r="C1133" s="158">
        <v>1</v>
      </c>
      <c r="D1133" s="158"/>
      <c r="E1133" s="158" t="s">
        <v>800</v>
      </c>
      <c r="F1133" s="124"/>
      <c r="G1133" s="126">
        <f>0.43*Tabla32[[#This Row],[CANTIDAD]]</f>
        <v>0.43</v>
      </c>
    </row>
    <row r="1134" spans="1:7" x14ac:dyDescent="0.25">
      <c r="A1134" s="163">
        <v>44618</v>
      </c>
      <c r="B1134" s="159" t="s">
        <v>191</v>
      </c>
      <c r="C1134" s="159">
        <v>1</v>
      </c>
      <c r="D1134" s="159"/>
      <c r="E1134" s="159" t="s">
        <v>800</v>
      </c>
      <c r="F1134" s="410"/>
      <c r="G1134" s="127">
        <f>1.5*Tabla32[[#This Row],[CANTIDAD]]</f>
        <v>1.5</v>
      </c>
    </row>
    <row r="1135" spans="1:7" x14ac:dyDescent="0.25">
      <c r="A1135" s="161">
        <v>44619</v>
      </c>
      <c r="B1135" s="162" t="s">
        <v>124</v>
      </c>
      <c r="C1135" s="162">
        <v>1</v>
      </c>
      <c r="D1135" s="162"/>
      <c r="E1135" s="162" t="s">
        <v>122</v>
      </c>
      <c r="F1135" s="409"/>
      <c r="G1135" s="87">
        <f>1.5*Tabla32[[#This Row],[CANTIDAD]]</f>
        <v>1.5</v>
      </c>
    </row>
    <row r="1136" spans="1:7" x14ac:dyDescent="0.25">
      <c r="A1136" s="164">
        <v>44619</v>
      </c>
      <c r="B1136" s="158" t="s">
        <v>277</v>
      </c>
      <c r="C1136" s="158">
        <v>2</v>
      </c>
      <c r="D1136" s="158"/>
      <c r="E1136" s="158" t="s">
        <v>670</v>
      </c>
      <c r="F1136" s="124"/>
      <c r="G1136" s="87">
        <f>0.9*Tabla32[[#This Row],[CANTIDAD]]</f>
        <v>1.8</v>
      </c>
    </row>
    <row r="1137" spans="1:11" x14ac:dyDescent="0.25">
      <c r="A1137" s="164">
        <v>44619</v>
      </c>
      <c r="B1137" s="158" t="s">
        <v>669</v>
      </c>
      <c r="C1137" s="158">
        <v>2</v>
      </c>
      <c r="D1137" s="158"/>
      <c r="E1137" s="158" t="s">
        <v>670</v>
      </c>
      <c r="F1137" s="124"/>
      <c r="G1137" s="87">
        <f>0.4*Tabla32[[#This Row],[CANTIDAD]]</f>
        <v>0.8</v>
      </c>
    </row>
    <row r="1138" spans="1:11" x14ac:dyDescent="0.25">
      <c r="A1138" s="164">
        <v>44619</v>
      </c>
      <c r="B1138" s="158" t="s">
        <v>194</v>
      </c>
      <c r="C1138" s="158">
        <v>1</v>
      </c>
      <c r="D1138" s="158"/>
      <c r="E1138" s="158" t="s">
        <v>670</v>
      </c>
      <c r="F1138" s="124"/>
      <c r="G1138" s="87">
        <f>0.5*Tabla32[[#This Row],[CANTIDAD]]</f>
        <v>0.5</v>
      </c>
    </row>
    <row r="1139" spans="1:11" x14ac:dyDescent="0.25">
      <c r="A1139" s="164">
        <v>44619</v>
      </c>
      <c r="B1139" s="158" t="s">
        <v>219</v>
      </c>
      <c r="C1139" s="158">
        <v>3</v>
      </c>
      <c r="D1139" s="158"/>
      <c r="E1139" s="158" t="s">
        <v>796</v>
      </c>
      <c r="F1139" s="124"/>
      <c r="G1139" s="125">
        <f>0.9*Tabla32[[#This Row],[CANTIDAD]]</f>
        <v>2.7</v>
      </c>
    </row>
    <row r="1140" spans="1:11" x14ac:dyDescent="0.25">
      <c r="A1140" s="164">
        <v>44619</v>
      </c>
      <c r="B1140" s="158" t="s">
        <v>133</v>
      </c>
      <c r="C1140" s="158">
        <v>2</v>
      </c>
      <c r="D1140" s="158"/>
      <c r="E1140" s="158" t="s">
        <v>796</v>
      </c>
      <c r="F1140" s="124"/>
      <c r="G1140" s="126">
        <v>6</v>
      </c>
    </row>
    <row r="1141" spans="1:11" x14ac:dyDescent="0.25">
      <c r="A1141" s="164">
        <v>44619</v>
      </c>
      <c r="B1141" s="158" t="s">
        <v>219</v>
      </c>
      <c r="C1141" s="158">
        <v>1</v>
      </c>
      <c r="D1141" s="158"/>
      <c r="E1141" s="158" t="s">
        <v>800</v>
      </c>
      <c r="F1141" s="124"/>
      <c r="G1141" s="125">
        <f>0.9*Tabla32[[#This Row],[CANTIDAD]]</f>
        <v>0.9</v>
      </c>
    </row>
    <row r="1142" spans="1:11" x14ac:dyDescent="0.25">
      <c r="A1142" s="164">
        <v>44619</v>
      </c>
      <c r="B1142" s="158" t="s">
        <v>912</v>
      </c>
      <c r="C1142" s="158">
        <v>1</v>
      </c>
      <c r="D1142" s="158"/>
      <c r="E1142" s="158" t="s">
        <v>800</v>
      </c>
      <c r="F1142" s="124"/>
      <c r="G1142" s="126">
        <f>0.43*Tabla32[[#This Row],[CANTIDAD]]</f>
        <v>0.43</v>
      </c>
    </row>
    <row r="1143" spans="1:11" x14ac:dyDescent="0.25">
      <c r="A1143" s="163">
        <v>44619</v>
      </c>
      <c r="B1143" s="159" t="s">
        <v>191</v>
      </c>
      <c r="C1143" s="159">
        <v>1</v>
      </c>
      <c r="D1143" s="159"/>
      <c r="E1143" s="159" t="s">
        <v>800</v>
      </c>
      <c r="F1143" s="410"/>
      <c r="G1143" s="127">
        <f>1.5*Tabla32[[#This Row],[CANTIDAD]]</f>
        <v>1.5</v>
      </c>
    </row>
    <row r="1144" spans="1:11" x14ac:dyDescent="0.25">
      <c r="A1144" s="161">
        <v>44620</v>
      </c>
      <c r="B1144" s="162" t="s">
        <v>801</v>
      </c>
      <c r="C1144" s="162">
        <v>2</v>
      </c>
      <c r="D1144" s="162"/>
      <c r="E1144" s="162" t="s">
        <v>122</v>
      </c>
      <c r="F1144" s="409"/>
      <c r="G1144" s="125">
        <f>1.9*Tabla32[[#This Row],[CANTIDAD]]</f>
        <v>3.8</v>
      </c>
    </row>
    <row r="1145" spans="1:11" x14ac:dyDescent="0.25">
      <c r="A1145" s="164">
        <v>44620</v>
      </c>
      <c r="B1145" s="158" t="s">
        <v>277</v>
      </c>
      <c r="C1145" s="158">
        <v>2</v>
      </c>
      <c r="D1145" s="158"/>
      <c r="E1145" s="158" t="s">
        <v>796</v>
      </c>
      <c r="F1145" s="124"/>
      <c r="G1145" s="126">
        <f>0.9*Tabla32[[#This Row],[CANTIDAD]]</f>
        <v>1.8</v>
      </c>
    </row>
    <row r="1146" spans="1:11" x14ac:dyDescent="0.25">
      <c r="A1146" s="164">
        <v>44620</v>
      </c>
      <c r="B1146" s="158" t="s">
        <v>219</v>
      </c>
      <c r="C1146" s="158">
        <v>0</v>
      </c>
      <c r="D1146" s="158"/>
      <c r="E1146" s="158" t="s">
        <v>796</v>
      </c>
      <c r="F1146" s="124"/>
      <c r="G1146" s="125">
        <f>0.9*Tabla32[[#This Row],[CANTIDAD]]</f>
        <v>0</v>
      </c>
    </row>
    <row r="1147" spans="1:11" x14ac:dyDescent="0.25">
      <c r="A1147" s="164">
        <v>44620</v>
      </c>
      <c r="B1147" s="158" t="s">
        <v>914</v>
      </c>
      <c r="C1147" s="158">
        <v>2</v>
      </c>
      <c r="D1147" s="158"/>
      <c r="E1147" s="158" t="s">
        <v>796</v>
      </c>
      <c r="F1147" s="124"/>
      <c r="G1147" s="126">
        <f>3.9*Tabla32[[#This Row],[CANTIDAD]]</f>
        <v>7.8</v>
      </c>
    </row>
    <row r="1148" spans="1:11" x14ac:dyDescent="0.25">
      <c r="A1148" s="163">
        <v>44620</v>
      </c>
      <c r="B1148" s="159" t="s">
        <v>128</v>
      </c>
      <c r="C1148" s="159">
        <v>1</v>
      </c>
      <c r="D1148" s="159"/>
      <c r="E1148" s="159" t="s">
        <v>796</v>
      </c>
      <c r="F1148" s="410"/>
      <c r="G1148" s="127">
        <v>6</v>
      </c>
    </row>
    <row r="1149" spans="1:11" x14ac:dyDescent="0.25">
      <c r="E1149" s="442" t="s">
        <v>501</v>
      </c>
      <c r="F1149" s="443"/>
      <c r="G1149" s="443">
        <f>SUBTOTAL(109,G998:G1148)</f>
        <v>461.02000000000004</v>
      </c>
    </row>
    <row r="1151" spans="1:11" ht="45.75" x14ac:dyDescent="0.65">
      <c r="K1151" s="262" t="s">
        <v>523</v>
      </c>
    </row>
    <row r="1154" spans="1:15" x14ac:dyDescent="0.25">
      <c r="A1154" s="155" t="s">
        <v>181</v>
      </c>
      <c r="B1154" s="156" t="s">
        <v>180</v>
      </c>
      <c r="C1154" s="156" t="s">
        <v>121</v>
      </c>
      <c r="D1154" s="156" t="s">
        <v>187</v>
      </c>
      <c r="E1154" s="156" t="s">
        <v>12</v>
      </c>
      <c r="F1154" s="460" t="s">
        <v>6</v>
      </c>
      <c r="G1154" s="157" t="s">
        <v>237</v>
      </c>
      <c r="I1154" s="470" t="s">
        <v>503</v>
      </c>
      <c r="J1154" s="470" t="s">
        <v>504</v>
      </c>
      <c r="K1154" s="470" t="s">
        <v>505</v>
      </c>
      <c r="L1154" s="470" t="s">
        <v>506</v>
      </c>
      <c r="M1154" s="470" t="s">
        <v>507</v>
      </c>
      <c r="N1154" s="470" t="s">
        <v>6</v>
      </c>
      <c r="O1154" s="470" t="s">
        <v>508</v>
      </c>
    </row>
    <row r="1155" spans="1:15" x14ac:dyDescent="0.25">
      <c r="A1155" s="148">
        <v>44621</v>
      </c>
      <c r="B1155" s="162" t="s">
        <v>1029</v>
      </c>
      <c r="C1155" s="149">
        <v>2</v>
      </c>
      <c r="D1155" s="149"/>
      <c r="E1155" s="162" t="s">
        <v>1023</v>
      </c>
      <c r="F1155" s="412"/>
      <c r="G1155" s="152">
        <f>1*Tabla33[[#This Row],[CANTIDAD]]</f>
        <v>2</v>
      </c>
      <c r="I1155" s="467">
        <v>44621</v>
      </c>
      <c r="J1155" s="464" t="s">
        <v>510</v>
      </c>
      <c r="K1155" s="366" t="s">
        <v>514</v>
      </c>
      <c r="L1155" s="450">
        <v>65.02</v>
      </c>
      <c r="M1155" s="366" t="s">
        <v>1120</v>
      </c>
      <c r="N1155" s="367"/>
      <c r="O1155" s="468">
        <v>14.78</v>
      </c>
    </row>
    <row r="1156" spans="1:15" x14ac:dyDescent="0.25">
      <c r="A1156" s="452">
        <v>44621</v>
      </c>
      <c r="B1156" s="158" t="s">
        <v>1036</v>
      </c>
      <c r="C1156" s="134">
        <v>1</v>
      </c>
      <c r="D1156" s="134"/>
      <c r="E1156" s="158" t="s">
        <v>1023</v>
      </c>
      <c r="F1156" s="453"/>
      <c r="G1156" s="153">
        <f>0.7*Tabla33[[#This Row],[CANTIDAD]]</f>
        <v>0.7</v>
      </c>
      <c r="I1156" s="467">
        <v>44621</v>
      </c>
      <c r="J1156" s="464" t="s">
        <v>510</v>
      </c>
      <c r="K1156" s="366" t="s">
        <v>514</v>
      </c>
      <c r="L1156" s="450">
        <v>20</v>
      </c>
      <c r="M1156" s="366" t="s">
        <v>1121</v>
      </c>
      <c r="N1156" s="367"/>
      <c r="O1156" s="468">
        <v>4.55</v>
      </c>
    </row>
    <row r="1157" spans="1:15" x14ac:dyDescent="0.25">
      <c r="A1157" s="334">
        <v>44621</v>
      </c>
      <c r="B1157" s="454" t="s">
        <v>1024</v>
      </c>
      <c r="C1157" s="454">
        <v>1</v>
      </c>
      <c r="D1157" s="454"/>
      <c r="E1157" s="158" t="s">
        <v>1023</v>
      </c>
      <c r="F1157" s="455"/>
      <c r="G1157" s="456">
        <v>11</v>
      </c>
      <c r="I1157" s="467">
        <v>44621</v>
      </c>
      <c r="J1157" s="464" t="s">
        <v>510</v>
      </c>
      <c r="K1157" s="366" t="s">
        <v>514</v>
      </c>
      <c r="L1157" s="466">
        <v>532.91999999999996</v>
      </c>
      <c r="M1157" s="464" t="s">
        <v>1123</v>
      </c>
      <c r="N1157" s="367"/>
      <c r="O1157" s="468">
        <v>121.12</v>
      </c>
    </row>
    <row r="1158" spans="1:15" x14ac:dyDescent="0.25">
      <c r="A1158" s="164">
        <v>44621</v>
      </c>
      <c r="B1158" s="158" t="s">
        <v>1029</v>
      </c>
      <c r="C1158" s="158">
        <v>1</v>
      </c>
      <c r="D1158" s="158"/>
      <c r="E1158" s="158" t="s">
        <v>800</v>
      </c>
      <c r="F1158" s="124"/>
      <c r="G1158" s="152">
        <f>1*Tabla33[[#This Row],[CANTIDAD]]</f>
        <v>1</v>
      </c>
      <c r="I1158" s="467">
        <v>44634</v>
      </c>
      <c r="J1158" s="464" t="s">
        <v>510</v>
      </c>
      <c r="K1158" s="366" t="s">
        <v>514</v>
      </c>
      <c r="L1158" s="450">
        <v>35</v>
      </c>
      <c r="M1158" s="464" t="s">
        <v>1122</v>
      </c>
      <c r="N1158" s="367"/>
      <c r="O1158" s="468">
        <v>8.27</v>
      </c>
    </row>
    <row r="1159" spans="1:15" x14ac:dyDescent="0.25">
      <c r="A1159" s="164">
        <v>44621</v>
      </c>
      <c r="B1159" s="158" t="s">
        <v>1036</v>
      </c>
      <c r="C1159" s="158">
        <v>1</v>
      </c>
      <c r="D1159" s="158"/>
      <c r="E1159" s="158" t="s">
        <v>800</v>
      </c>
      <c r="F1159" s="124"/>
      <c r="G1159" s="153">
        <f>0.7*Tabla33[[#This Row],[CANTIDAD]]</f>
        <v>0.7</v>
      </c>
      <c r="I1159" s="467">
        <v>44634</v>
      </c>
      <c r="J1159" s="464" t="s">
        <v>509</v>
      </c>
      <c r="K1159" s="366" t="s">
        <v>514</v>
      </c>
      <c r="L1159" s="368">
        <v>725</v>
      </c>
      <c r="M1159" s="366" t="s">
        <v>1124</v>
      </c>
      <c r="N1159" s="367"/>
      <c r="O1159" s="468">
        <v>725</v>
      </c>
    </row>
    <row r="1160" spans="1:15" x14ac:dyDescent="0.25">
      <c r="A1160" s="164">
        <v>44621</v>
      </c>
      <c r="B1160" s="158" t="s">
        <v>1025</v>
      </c>
      <c r="C1160" s="158">
        <v>1</v>
      </c>
      <c r="D1160" s="158"/>
      <c r="E1160" s="158" t="s">
        <v>800</v>
      </c>
      <c r="F1160" s="124"/>
      <c r="G1160" s="456">
        <f>1.7*Tabla33[[#This Row],[CANTIDAD]]</f>
        <v>1.7</v>
      </c>
      <c r="I1160" s="467">
        <v>44635</v>
      </c>
      <c r="J1160" s="464" t="s">
        <v>509</v>
      </c>
      <c r="K1160" s="366" t="s">
        <v>511</v>
      </c>
      <c r="L1160" s="474">
        <v>90</v>
      </c>
      <c r="M1160" s="366" t="s">
        <v>1125</v>
      </c>
      <c r="N1160" s="367"/>
      <c r="O1160" s="468">
        <v>90</v>
      </c>
    </row>
    <row r="1161" spans="1:15" x14ac:dyDescent="0.25">
      <c r="A1161" s="163">
        <v>44621</v>
      </c>
      <c r="B1161" s="159" t="s">
        <v>1038</v>
      </c>
      <c r="C1161" s="159">
        <v>1</v>
      </c>
      <c r="D1161" s="159"/>
      <c r="E1161" s="159" t="s">
        <v>800</v>
      </c>
      <c r="F1161" s="410"/>
      <c r="G1161" s="457">
        <f>10</f>
        <v>10</v>
      </c>
      <c r="I1161" s="467">
        <v>44635</v>
      </c>
      <c r="J1161" s="464" t="s">
        <v>509</v>
      </c>
      <c r="K1161" s="366" t="s">
        <v>511</v>
      </c>
      <c r="L1161" s="474">
        <v>27</v>
      </c>
      <c r="M1161" s="366" t="s">
        <v>1126</v>
      </c>
      <c r="N1161" s="367"/>
      <c r="O1161" s="468">
        <v>27</v>
      </c>
    </row>
    <row r="1162" spans="1:15" x14ac:dyDescent="0.25">
      <c r="A1162" s="161">
        <v>44622</v>
      </c>
      <c r="B1162" s="162" t="s">
        <v>1036</v>
      </c>
      <c r="C1162" s="162">
        <v>1</v>
      </c>
      <c r="D1162" s="162"/>
      <c r="E1162" s="162" t="s">
        <v>1023</v>
      </c>
      <c r="F1162" s="409"/>
      <c r="G1162" s="458">
        <f>0.7*Tabla33[[#This Row],[CANTIDAD]]</f>
        <v>0.7</v>
      </c>
      <c r="I1162" s="467">
        <v>44636</v>
      </c>
      <c r="J1162" s="366" t="s">
        <v>510</v>
      </c>
      <c r="K1162" s="366" t="s">
        <v>514</v>
      </c>
      <c r="L1162" s="450">
        <v>1278.82</v>
      </c>
      <c r="M1162" s="366" t="s">
        <v>1127</v>
      </c>
      <c r="N1162" s="465"/>
      <c r="O1162" s="468">
        <v>90</v>
      </c>
    </row>
    <row r="1163" spans="1:15" x14ac:dyDescent="0.25">
      <c r="A1163" s="164">
        <v>44622</v>
      </c>
      <c r="B1163" s="158" t="s">
        <v>1025</v>
      </c>
      <c r="C1163" s="158">
        <v>1</v>
      </c>
      <c r="D1163" s="158"/>
      <c r="E1163" s="158" t="s">
        <v>1023</v>
      </c>
      <c r="F1163" s="124"/>
      <c r="G1163" s="456">
        <f>1.7*Tabla33[[#This Row],[CANTIDAD]]</f>
        <v>1.7</v>
      </c>
      <c r="I1163" s="467">
        <v>44636</v>
      </c>
      <c r="J1163" s="366" t="s">
        <v>510</v>
      </c>
      <c r="K1163" s="366" t="s">
        <v>514</v>
      </c>
      <c r="L1163" s="450">
        <v>394.5</v>
      </c>
      <c r="M1163" s="464" t="s">
        <v>1128</v>
      </c>
      <c r="N1163" s="465"/>
      <c r="O1163" s="469">
        <v>90</v>
      </c>
    </row>
    <row r="1164" spans="1:15" x14ac:dyDescent="0.25">
      <c r="A1164" s="164">
        <v>44622</v>
      </c>
      <c r="B1164" s="158" t="s">
        <v>1026</v>
      </c>
      <c r="C1164" s="158">
        <v>2</v>
      </c>
      <c r="D1164" s="158"/>
      <c r="E1164" s="158" t="s">
        <v>1023</v>
      </c>
      <c r="F1164" s="124"/>
      <c r="G1164" s="456">
        <f>0.9*Tabla33[[#This Row],[CANTIDAD]]</f>
        <v>1.8</v>
      </c>
      <c r="I1164" s="467">
        <v>44636</v>
      </c>
      <c r="J1164" s="366" t="s">
        <v>510</v>
      </c>
      <c r="K1164" s="366" t="s">
        <v>514</v>
      </c>
      <c r="L1164" s="450">
        <v>131.01</v>
      </c>
      <c r="M1164" s="464" t="s">
        <v>1129</v>
      </c>
      <c r="N1164" s="465"/>
      <c r="O1164" s="468">
        <v>1890</v>
      </c>
    </row>
    <row r="1165" spans="1:15" x14ac:dyDescent="0.25">
      <c r="A1165" s="164">
        <v>44622</v>
      </c>
      <c r="B1165" s="158" t="s">
        <v>1029</v>
      </c>
      <c r="C1165" s="158">
        <v>1</v>
      </c>
      <c r="D1165" s="158"/>
      <c r="E1165" s="158" t="s">
        <v>1023</v>
      </c>
      <c r="F1165" s="124"/>
      <c r="G1165" s="152">
        <f>1*Tabla33[[#This Row],[CANTIDAD]]</f>
        <v>1</v>
      </c>
      <c r="I1165" s="467">
        <v>44641</v>
      </c>
      <c r="J1165" s="366" t="s">
        <v>509</v>
      </c>
      <c r="K1165" s="366" t="s">
        <v>511</v>
      </c>
      <c r="L1165" s="368">
        <v>90</v>
      </c>
      <c r="M1165" s="366" t="s">
        <v>1130</v>
      </c>
      <c r="N1165" s="465"/>
      <c r="O1165" s="468">
        <v>90</v>
      </c>
    </row>
    <row r="1166" spans="1:15" x14ac:dyDescent="0.25">
      <c r="A1166" s="164">
        <v>44622</v>
      </c>
      <c r="B1166" s="158" t="s">
        <v>1029</v>
      </c>
      <c r="C1166" s="158">
        <v>1</v>
      </c>
      <c r="D1166" s="158"/>
      <c r="E1166" s="158" t="s">
        <v>1023</v>
      </c>
      <c r="F1166" s="124"/>
      <c r="G1166" s="152">
        <f>1*Tabla33[[#This Row],[CANTIDAD]]</f>
        <v>1</v>
      </c>
      <c r="I1166" s="467">
        <v>44651</v>
      </c>
      <c r="J1166" s="366" t="s">
        <v>509</v>
      </c>
      <c r="K1166" s="366" t="s">
        <v>511</v>
      </c>
      <c r="L1166" s="368">
        <v>90</v>
      </c>
      <c r="M1166" s="366" t="s">
        <v>1130</v>
      </c>
      <c r="N1166" s="465"/>
      <c r="O1166" s="468">
        <v>90</v>
      </c>
    </row>
    <row r="1167" spans="1:15" x14ac:dyDescent="0.25">
      <c r="A1167" s="163">
        <v>44622</v>
      </c>
      <c r="B1167" s="159" t="s">
        <v>1025</v>
      </c>
      <c r="C1167" s="159">
        <v>1</v>
      </c>
      <c r="D1167" s="159"/>
      <c r="E1167" s="159" t="s">
        <v>1023</v>
      </c>
      <c r="F1167" s="410"/>
      <c r="G1167" s="457">
        <f>1.7*Tabla33[[#This Row],[CANTIDAD]]</f>
        <v>1.7</v>
      </c>
      <c r="I1167" s="467">
        <v>44651</v>
      </c>
      <c r="J1167" s="366" t="s">
        <v>510</v>
      </c>
      <c r="K1167" s="366" t="s">
        <v>514</v>
      </c>
      <c r="L1167" s="450">
        <v>30</v>
      </c>
      <c r="M1167" s="366" t="s">
        <v>1122</v>
      </c>
      <c r="N1167" s="465"/>
      <c r="O1167" s="468">
        <v>6.85</v>
      </c>
    </row>
    <row r="1168" spans="1:15" x14ac:dyDescent="0.25">
      <c r="A1168" s="161">
        <v>44623</v>
      </c>
      <c r="B1168" s="162" t="s">
        <v>1029</v>
      </c>
      <c r="C1168" s="162">
        <v>1</v>
      </c>
      <c r="D1168" s="162"/>
      <c r="E1168" s="162" t="s">
        <v>1027</v>
      </c>
      <c r="F1168" s="409"/>
      <c r="G1168" s="152">
        <f>1*Tabla33[[#This Row],[CANTIDAD]]</f>
        <v>1</v>
      </c>
      <c r="I1168" s="467">
        <v>44651</v>
      </c>
      <c r="J1168" s="471" t="s">
        <v>509</v>
      </c>
      <c r="K1168" s="471" t="s">
        <v>514</v>
      </c>
      <c r="L1168" s="475">
        <v>900</v>
      </c>
      <c r="M1168" s="370" t="s">
        <v>1124</v>
      </c>
      <c r="N1168" s="472"/>
      <c r="O1168" s="473">
        <v>900</v>
      </c>
    </row>
    <row r="1169" spans="1:15" x14ac:dyDescent="0.25">
      <c r="A1169" s="164">
        <v>44623</v>
      </c>
      <c r="B1169" s="158" t="s">
        <v>1046</v>
      </c>
      <c r="C1169" s="158">
        <v>2</v>
      </c>
      <c r="D1169" s="158"/>
      <c r="E1169" s="158" t="s">
        <v>130</v>
      </c>
      <c r="F1169" s="124"/>
      <c r="G1169" s="456">
        <f>1*Tabla33[[#This Row],[CANTIDAD]]</f>
        <v>2</v>
      </c>
      <c r="I1169" s="476"/>
      <c r="J1169" s="370"/>
      <c r="K1169" s="370"/>
      <c r="L1169" s="428"/>
      <c r="M1169" s="370" t="s">
        <v>501</v>
      </c>
      <c r="N1169" s="372"/>
      <c r="O1169" s="477">
        <f>SUBTOTAL(109,O1155:O1168)</f>
        <v>4147.57</v>
      </c>
    </row>
    <row r="1170" spans="1:15" x14ac:dyDescent="0.25">
      <c r="A1170" s="163">
        <v>44623</v>
      </c>
      <c r="B1170" s="159" t="s">
        <v>1029</v>
      </c>
      <c r="C1170" s="159">
        <v>1</v>
      </c>
      <c r="D1170" s="159"/>
      <c r="E1170" s="159" t="s">
        <v>800</v>
      </c>
      <c r="F1170" s="410"/>
      <c r="G1170" s="459">
        <f>1*Tabla33[[#This Row],[CANTIDAD]]</f>
        <v>1</v>
      </c>
    </row>
    <row r="1171" spans="1:15" x14ac:dyDescent="0.25">
      <c r="A1171" s="161">
        <v>44624</v>
      </c>
      <c r="B1171" s="162" t="s">
        <v>1026</v>
      </c>
      <c r="C1171" s="162">
        <v>2</v>
      </c>
      <c r="D1171" s="162"/>
      <c r="E1171" s="162" t="s">
        <v>130</v>
      </c>
      <c r="F1171" s="409"/>
      <c r="G1171" s="415">
        <f>0.9*Tabla33[[#This Row],[CANTIDAD]]</f>
        <v>1.8</v>
      </c>
    </row>
    <row r="1172" spans="1:15" x14ac:dyDescent="0.25">
      <c r="A1172" s="163">
        <v>44624</v>
      </c>
      <c r="B1172" s="159" t="s">
        <v>1028</v>
      </c>
      <c r="C1172" s="159">
        <v>6</v>
      </c>
      <c r="D1172" s="159"/>
      <c r="E1172" s="159" t="s">
        <v>130</v>
      </c>
      <c r="F1172" s="410"/>
      <c r="G1172" s="457">
        <f>0.6*Tabla33[[#This Row],[CANTIDAD]]</f>
        <v>3.5999999999999996</v>
      </c>
    </row>
    <row r="1173" spans="1:15" x14ac:dyDescent="0.25">
      <c r="A1173" s="161">
        <v>44625</v>
      </c>
      <c r="B1173" s="162" t="s">
        <v>1036</v>
      </c>
      <c r="C1173" s="162">
        <v>2</v>
      </c>
      <c r="D1173" s="162"/>
      <c r="E1173" s="162" t="s">
        <v>1023</v>
      </c>
      <c r="F1173" s="409"/>
      <c r="G1173" s="458">
        <f>0.7*Tabla33[[#This Row],[CANTIDAD]]</f>
        <v>1.4</v>
      </c>
    </row>
    <row r="1174" spans="1:15" x14ac:dyDescent="0.25">
      <c r="A1174" s="164">
        <v>44625</v>
      </c>
      <c r="B1174" s="158" t="s">
        <v>1026</v>
      </c>
      <c r="C1174" s="158">
        <v>2</v>
      </c>
      <c r="D1174" s="158"/>
      <c r="E1174" s="158" t="s">
        <v>130</v>
      </c>
      <c r="F1174" s="124"/>
      <c r="G1174" s="456">
        <f>0.9*Tabla33[[#This Row],[CANTIDAD]]</f>
        <v>1.8</v>
      </c>
    </row>
    <row r="1175" spans="1:15" x14ac:dyDescent="0.25">
      <c r="A1175" s="164">
        <v>44625</v>
      </c>
      <c r="B1175" s="158" t="s">
        <v>1029</v>
      </c>
      <c r="C1175" s="158">
        <v>1</v>
      </c>
      <c r="D1175" s="158"/>
      <c r="E1175" s="158" t="s">
        <v>800</v>
      </c>
      <c r="F1175" s="124"/>
      <c r="G1175" s="152">
        <f>1*Tabla33[[#This Row],[CANTIDAD]]</f>
        <v>1</v>
      </c>
    </row>
    <row r="1176" spans="1:15" x14ac:dyDescent="0.25">
      <c r="A1176" s="163">
        <v>44625</v>
      </c>
      <c r="B1176" s="159" t="s">
        <v>1036</v>
      </c>
      <c r="C1176" s="159">
        <v>1</v>
      </c>
      <c r="D1176" s="159"/>
      <c r="E1176" s="159" t="s">
        <v>800</v>
      </c>
      <c r="F1176" s="410"/>
      <c r="G1176" s="394">
        <f>0.7*Tabla33[[#This Row],[CANTIDAD]]</f>
        <v>0.7</v>
      </c>
    </row>
    <row r="1177" spans="1:15" x14ac:dyDescent="0.25">
      <c r="A1177" s="161">
        <v>44626</v>
      </c>
      <c r="B1177" s="162" t="s">
        <v>1026</v>
      </c>
      <c r="C1177" s="162">
        <v>2</v>
      </c>
      <c r="D1177" s="162"/>
      <c r="E1177" s="162" t="s">
        <v>130</v>
      </c>
      <c r="F1177" s="409"/>
      <c r="G1177" s="415">
        <f>0.9*Tabla33[[#This Row],[CANTIDAD]]</f>
        <v>1.8</v>
      </c>
    </row>
    <row r="1178" spans="1:15" x14ac:dyDescent="0.25">
      <c r="A1178" s="164">
        <v>44626</v>
      </c>
      <c r="B1178" s="158" t="s">
        <v>1029</v>
      </c>
      <c r="C1178" s="158">
        <v>1</v>
      </c>
      <c r="D1178" s="158"/>
      <c r="E1178" s="158" t="s">
        <v>130</v>
      </c>
      <c r="F1178" s="124"/>
      <c r="G1178" s="152">
        <f>1*Tabla33[[#This Row],[CANTIDAD]]</f>
        <v>1</v>
      </c>
    </row>
    <row r="1179" spans="1:15" x14ac:dyDescent="0.25">
      <c r="A1179" s="164">
        <v>44626</v>
      </c>
      <c r="B1179" s="158" t="s">
        <v>1041</v>
      </c>
      <c r="C1179" s="158">
        <v>1</v>
      </c>
      <c r="D1179" s="158"/>
      <c r="E1179" s="158" t="s">
        <v>130</v>
      </c>
      <c r="F1179" s="124"/>
      <c r="G1179" s="456">
        <f>0.6*Tabla33[[#This Row],[CANTIDAD]]</f>
        <v>0.6</v>
      </c>
    </row>
    <row r="1180" spans="1:15" x14ac:dyDescent="0.25">
      <c r="A1180" s="164">
        <v>44626</v>
      </c>
      <c r="B1180" s="158" t="s">
        <v>1036</v>
      </c>
      <c r="C1180" s="158">
        <v>1</v>
      </c>
      <c r="D1180" s="158"/>
      <c r="E1180" s="158" t="s">
        <v>130</v>
      </c>
      <c r="F1180" s="124"/>
      <c r="G1180" s="153">
        <f>0.7*Tabla33[[#This Row],[CANTIDAD]]</f>
        <v>0.7</v>
      </c>
    </row>
    <row r="1181" spans="1:15" x14ac:dyDescent="0.25">
      <c r="A1181" s="163">
        <v>44626</v>
      </c>
      <c r="B1181" s="159" t="s">
        <v>1025</v>
      </c>
      <c r="C1181" s="159">
        <v>1</v>
      </c>
      <c r="D1181" s="159"/>
      <c r="E1181" s="159" t="s">
        <v>130</v>
      </c>
      <c r="F1181" s="410"/>
      <c r="G1181" s="457">
        <f>1.7*Tabla33[[#This Row],[CANTIDAD]]</f>
        <v>1.7</v>
      </c>
    </row>
    <row r="1182" spans="1:15" x14ac:dyDescent="0.25">
      <c r="A1182" s="161">
        <v>44627</v>
      </c>
      <c r="B1182" s="162" t="s">
        <v>1033</v>
      </c>
      <c r="C1182" s="162">
        <v>2</v>
      </c>
      <c r="D1182" s="162"/>
      <c r="E1182" s="162" t="s">
        <v>130</v>
      </c>
      <c r="F1182" s="409"/>
      <c r="G1182" s="415">
        <f>1*Tabla33[[#This Row],[CANTIDAD]]</f>
        <v>2</v>
      </c>
    </row>
    <row r="1183" spans="1:15" x14ac:dyDescent="0.25">
      <c r="A1183" s="164">
        <v>44627</v>
      </c>
      <c r="B1183" s="158" t="s">
        <v>1046</v>
      </c>
      <c r="C1183" s="158">
        <v>3</v>
      </c>
      <c r="D1183" s="158"/>
      <c r="E1183" s="158" t="s">
        <v>130</v>
      </c>
      <c r="F1183" s="124"/>
      <c r="G1183" s="456">
        <f>1*Tabla33[[#This Row],[CANTIDAD]]</f>
        <v>3</v>
      </c>
    </row>
    <row r="1184" spans="1:15" x14ac:dyDescent="0.25">
      <c r="A1184" s="164">
        <v>44627</v>
      </c>
      <c r="B1184" s="158" t="s">
        <v>1046</v>
      </c>
      <c r="C1184" s="158">
        <v>2</v>
      </c>
      <c r="D1184" s="158"/>
      <c r="E1184" s="158" t="s">
        <v>130</v>
      </c>
      <c r="F1184" s="124"/>
      <c r="G1184" s="456">
        <f>1*Tabla33[[#This Row],[CANTIDAD]]</f>
        <v>2</v>
      </c>
    </row>
    <row r="1185" spans="1:7" x14ac:dyDescent="0.25">
      <c r="A1185" s="164">
        <v>44627</v>
      </c>
      <c r="B1185" s="158" t="s">
        <v>914</v>
      </c>
      <c r="C1185" s="158">
        <v>1</v>
      </c>
      <c r="D1185" s="158"/>
      <c r="E1185" s="158" t="s">
        <v>130</v>
      </c>
      <c r="F1185" s="124"/>
      <c r="G1185" s="456">
        <v>4.2</v>
      </c>
    </row>
    <row r="1186" spans="1:7" x14ac:dyDescent="0.25">
      <c r="A1186" s="164">
        <v>44627</v>
      </c>
      <c r="B1186" s="158" t="s">
        <v>1030</v>
      </c>
      <c r="C1186" s="158">
        <v>1</v>
      </c>
      <c r="D1186" s="158"/>
      <c r="E1186" s="158" t="s">
        <v>800</v>
      </c>
      <c r="F1186" s="124"/>
      <c r="G1186" s="456">
        <v>1.5</v>
      </c>
    </row>
    <row r="1187" spans="1:7" x14ac:dyDescent="0.25">
      <c r="A1187" s="164">
        <v>44627</v>
      </c>
      <c r="B1187" s="158" t="s">
        <v>1036</v>
      </c>
      <c r="C1187" s="158">
        <v>1</v>
      </c>
      <c r="D1187" s="158"/>
      <c r="E1187" s="158" t="s">
        <v>800</v>
      </c>
      <c r="F1187" s="124"/>
      <c r="G1187" s="153">
        <f>0.7*Tabla33[[#This Row],[CANTIDAD]]</f>
        <v>0.7</v>
      </c>
    </row>
    <row r="1188" spans="1:7" x14ac:dyDescent="0.25">
      <c r="A1188" s="163">
        <v>44627</v>
      </c>
      <c r="B1188" s="159" t="s">
        <v>1025</v>
      </c>
      <c r="C1188" s="159">
        <v>1</v>
      </c>
      <c r="D1188" s="159"/>
      <c r="E1188" s="159" t="s">
        <v>800</v>
      </c>
      <c r="F1188" s="410"/>
      <c r="G1188" s="457">
        <f>1.7*Tabla33[[#This Row],[CANTIDAD]]</f>
        <v>1.7</v>
      </c>
    </row>
    <row r="1189" spans="1:7" x14ac:dyDescent="0.25">
      <c r="A1189" s="161">
        <v>44628</v>
      </c>
      <c r="B1189" s="162" t="s">
        <v>1026</v>
      </c>
      <c r="C1189" s="162">
        <v>2</v>
      </c>
      <c r="D1189" s="162"/>
      <c r="E1189" s="162" t="s">
        <v>1031</v>
      </c>
      <c r="F1189" s="409"/>
      <c r="G1189" s="415">
        <f>0.9*Tabla33[[#This Row],[CANTIDAD]]</f>
        <v>1.8</v>
      </c>
    </row>
    <row r="1190" spans="1:7" x14ac:dyDescent="0.25">
      <c r="A1190" s="164">
        <v>44628</v>
      </c>
      <c r="B1190" s="158" t="s">
        <v>1032</v>
      </c>
      <c r="C1190" s="158">
        <v>1</v>
      </c>
      <c r="D1190" s="158"/>
      <c r="E1190" s="158" t="s">
        <v>1031</v>
      </c>
      <c r="F1190" s="124"/>
      <c r="G1190" s="456">
        <f>0.6*Tabla33[[#This Row],[CANTIDAD]]</f>
        <v>0.6</v>
      </c>
    </row>
    <row r="1191" spans="1:7" x14ac:dyDescent="0.25">
      <c r="A1191" s="164">
        <v>44628</v>
      </c>
      <c r="B1191" s="158" t="s">
        <v>1033</v>
      </c>
      <c r="C1191" s="158">
        <v>2</v>
      </c>
      <c r="D1191" s="158"/>
      <c r="E1191" s="158" t="s">
        <v>1031</v>
      </c>
      <c r="F1191" s="124"/>
      <c r="G1191" s="456">
        <f>1*Tabla33[[#This Row],[CANTIDAD]]</f>
        <v>2</v>
      </c>
    </row>
    <row r="1192" spans="1:7" x14ac:dyDescent="0.25">
      <c r="A1192" s="164">
        <v>44628</v>
      </c>
      <c r="B1192" s="158" t="s">
        <v>1026</v>
      </c>
      <c r="C1192" s="158">
        <v>2</v>
      </c>
      <c r="D1192" s="158"/>
      <c r="E1192" s="158" t="s">
        <v>130</v>
      </c>
      <c r="F1192" s="124"/>
      <c r="G1192" s="456">
        <f>0.9*Tabla33[[#This Row],[CANTIDAD]]</f>
        <v>1.8</v>
      </c>
    </row>
    <row r="1193" spans="1:7" x14ac:dyDescent="0.25">
      <c r="A1193" s="164">
        <v>44628</v>
      </c>
      <c r="B1193" s="158" t="s">
        <v>1029</v>
      </c>
      <c r="C1193" s="158">
        <v>4</v>
      </c>
      <c r="D1193" s="158"/>
      <c r="E1193" s="158" t="s">
        <v>130</v>
      </c>
      <c r="F1193" s="124"/>
      <c r="G1193" s="152">
        <f>1*Tabla33[[#This Row],[CANTIDAD]]</f>
        <v>4</v>
      </c>
    </row>
    <row r="1194" spans="1:7" x14ac:dyDescent="0.25">
      <c r="A1194" s="164">
        <v>44628</v>
      </c>
      <c r="B1194" s="158" t="s">
        <v>1037</v>
      </c>
      <c r="C1194" s="158">
        <v>2</v>
      </c>
      <c r="D1194" s="158"/>
      <c r="E1194" s="158" t="s">
        <v>130</v>
      </c>
      <c r="F1194" s="124"/>
      <c r="G1194" s="456">
        <f>1.5*Tabla33[[#This Row],[CANTIDAD]]</f>
        <v>3</v>
      </c>
    </row>
    <row r="1195" spans="1:7" x14ac:dyDescent="0.25">
      <c r="A1195" s="164">
        <v>44628</v>
      </c>
      <c r="B1195" s="158" t="s">
        <v>1029</v>
      </c>
      <c r="C1195" s="158">
        <v>1</v>
      </c>
      <c r="D1195" s="158"/>
      <c r="E1195" s="158" t="s">
        <v>800</v>
      </c>
      <c r="F1195" s="124"/>
      <c r="G1195" s="152">
        <f>1*Tabla33[[#This Row],[CANTIDAD]]</f>
        <v>1</v>
      </c>
    </row>
    <row r="1196" spans="1:7" x14ac:dyDescent="0.25">
      <c r="A1196" s="164">
        <v>44628</v>
      </c>
      <c r="B1196" s="158" t="s">
        <v>1036</v>
      </c>
      <c r="C1196" s="158">
        <v>1</v>
      </c>
      <c r="D1196" s="158"/>
      <c r="E1196" s="158" t="s">
        <v>800</v>
      </c>
      <c r="F1196" s="124"/>
      <c r="G1196" s="153">
        <f>0.7*Tabla33[[#This Row],[CANTIDAD]]</f>
        <v>0.7</v>
      </c>
    </row>
    <row r="1197" spans="1:7" x14ac:dyDescent="0.25">
      <c r="A1197" s="163">
        <v>44628</v>
      </c>
      <c r="B1197" s="159" t="s">
        <v>1025</v>
      </c>
      <c r="C1197" s="159">
        <v>1</v>
      </c>
      <c r="D1197" s="159"/>
      <c r="E1197" s="159" t="s">
        <v>800</v>
      </c>
      <c r="F1197" s="410"/>
      <c r="G1197" s="457">
        <f>1.7*Tabla33[[#This Row],[CANTIDAD]]</f>
        <v>1.7</v>
      </c>
    </row>
    <row r="1198" spans="1:7" x14ac:dyDescent="0.25">
      <c r="A1198" s="161">
        <v>44629</v>
      </c>
      <c r="B1198" s="162" t="s">
        <v>1036</v>
      </c>
      <c r="C1198" s="162">
        <v>1</v>
      </c>
      <c r="D1198" s="162"/>
      <c r="E1198" s="162" t="s">
        <v>1023</v>
      </c>
      <c r="F1198" s="409"/>
      <c r="G1198" s="458">
        <f>0.7*Tabla33[[#This Row],[CANTIDAD]]</f>
        <v>0.7</v>
      </c>
    </row>
    <row r="1199" spans="1:7" x14ac:dyDescent="0.25">
      <c r="A1199" s="164">
        <v>44629</v>
      </c>
      <c r="B1199" s="158" t="s">
        <v>1026</v>
      </c>
      <c r="C1199" s="158">
        <v>1</v>
      </c>
      <c r="D1199" s="158"/>
      <c r="E1199" s="158" t="s">
        <v>130</v>
      </c>
      <c r="F1199" s="124"/>
      <c r="G1199" s="456">
        <f>0.9*Tabla33[[#This Row],[CANTIDAD]]</f>
        <v>0.9</v>
      </c>
    </row>
    <row r="1200" spans="1:7" x14ac:dyDescent="0.25">
      <c r="A1200" s="164">
        <v>44629</v>
      </c>
      <c r="B1200" s="158" t="s">
        <v>1029</v>
      </c>
      <c r="C1200" s="158">
        <v>1</v>
      </c>
      <c r="D1200" s="158"/>
      <c r="E1200" s="158" t="s">
        <v>130</v>
      </c>
      <c r="F1200" s="124"/>
      <c r="G1200" s="152">
        <f>1*Tabla33[[#This Row],[CANTIDAD]]</f>
        <v>1</v>
      </c>
    </row>
    <row r="1201" spans="1:7" x14ac:dyDescent="0.25">
      <c r="A1201" s="164">
        <v>44629</v>
      </c>
      <c r="B1201" s="158" t="s">
        <v>1028</v>
      </c>
      <c r="C1201" s="158">
        <v>1</v>
      </c>
      <c r="D1201" s="158"/>
      <c r="E1201" s="158" t="s">
        <v>130</v>
      </c>
      <c r="F1201" s="124"/>
      <c r="G1201" s="456">
        <f>0.6*Tabla33[[#This Row],[CANTIDAD]]</f>
        <v>0.6</v>
      </c>
    </row>
    <row r="1202" spans="1:7" x14ac:dyDescent="0.25">
      <c r="A1202" s="163">
        <v>44629</v>
      </c>
      <c r="B1202" s="159" t="s">
        <v>914</v>
      </c>
      <c r="C1202" s="159">
        <v>1</v>
      </c>
      <c r="D1202" s="159"/>
      <c r="E1202" s="159" t="s">
        <v>130</v>
      </c>
      <c r="F1202" s="410"/>
      <c r="G1202" s="457">
        <v>4.2</v>
      </c>
    </row>
    <row r="1203" spans="1:7" x14ac:dyDescent="0.25">
      <c r="A1203" s="161">
        <v>44630</v>
      </c>
      <c r="B1203" s="162" t="s">
        <v>1036</v>
      </c>
      <c r="C1203" s="162">
        <v>1</v>
      </c>
      <c r="D1203" s="162"/>
      <c r="E1203" s="162" t="s">
        <v>1023</v>
      </c>
      <c r="F1203" s="409"/>
      <c r="G1203" s="458">
        <f>0.7*Tabla33[[#This Row],[CANTIDAD]]</f>
        <v>0.7</v>
      </c>
    </row>
    <row r="1204" spans="1:7" x14ac:dyDescent="0.25">
      <c r="A1204" s="164">
        <v>44630</v>
      </c>
      <c r="B1204" s="158" t="s">
        <v>1025</v>
      </c>
      <c r="C1204" s="158">
        <v>1</v>
      </c>
      <c r="D1204" s="158"/>
      <c r="E1204" s="158" t="s">
        <v>1023</v>
      </c>
      <c r="F1204" s="124"/>
      <c r="G1204" s="456">
        <f>1.7*Tabla33[[#This Row],[CANTIDAD]]</f>
        <v>1.7</v>
      </c>
    </row>
    <row r="1205" spans="1:7" x14ac:dyDescent="0.25">
      <c r="A1205" s="164">
        <v>44630</v>
      </c>
      <c r="B1205" s="158" t="s">
        <v>1026</v>
      </c>
      <c r="C1205" s="158">
        <v>4</v>
      </c>
      <c r="D1205" s="158"/>
      <c r="E1205" s="158" t="s">
        <v>130</v>
      </c>
      <c r="F1205" s="124"/>
      <c r="G1205" s="456">
        <f>0.9*Tabla33[[#This Row],[CANTIDAD]]</f>
        <v>3.6</v>
      </c>
    </row>
    <row r="1206" spans="1:7" x14ac:dyDescent="0.25">
      <c r="A1206" s="164">
        <v>44630</v>
      </c>
      <c r="B1206" s="158" t="s">
        <v>1029</v>
      </c>
      <c r="C1206" s="158">
        <v>1</v>
      </c>
      <c r="D1206" s="158"/>
      <c r="E1206" s="158" t="s">
        <v>130</v>
      </c>
      <c r="F1206" s="124"/>
      <c r="G1206" s="152">
        <f>1*Tabla33[[#This Row],[CANTIDAD]]</f>
        <v>1</v>
      </c>
    </row>
    <row r="1207" spans="1:7" x14ac:dyDescent="0.25">
      <c r="A1207" s="163">
        <v>44630</v>
      </c>
      <c r="B1207" s="159" t="s">
        <v>1025</v>
      </c>
      <c r="C1207" s="159">
        <v>1</v>
      </c>
      <c r="D1207" s="159"/>
      <c r="E1207" s="159" t="s">
        <v>130</v>
      </c>
      <c r="F1207" s="410"/>
      <c r="G1207" s="457">
        <f>1.7*Tabla33[[#This Row],[CANTIDAD]]</f>
        <v>1.7</v>
      </c>
    </row>
    <row r="1208" spans="1:7" x14ac:dyDescent="0.25">
      <c r="A1208" s="161">
        <v>44631</v>
      </c>
      <c r="B1208" s="162" t="s">
        <v>1025</v>
      </c>
      <c r="C1208" s="162">
        <v>1</v>
      </c>
      <c r="D1208" s="162"/>
      <c r="E1208" s="162" t="s">
        <v>1023</v>
      </c>
      <c r="F1208" s="409"/>
      <c r="G1208" s="415">
        <f>1.7*Tabla33[[#This Row],[CANTIDAD]]</f>
        <v>1.7</v>
      </c>
    </row>
    <row r="1209" spans="1:7" x14ac:dyDescent="0.25">
      <c r="A1209" s="164">
        <v>44631</v>
      </c>
      <c r="B1209" s="158" t="s">
        <v>1032</v>
      </c>
      <c r="C1209" s="158">
        <v>1</v>
      </c>
      <c r="D1209" s="158"/>
      <c r="E1209" s="158" t="s">
        <v>670</v>
      </c>
      <c r="F1209" s="124"/>
      <c r="G1209" s="456">
        <f>0.6*Tabla33[[#This Row],[CANTIDAD]]</f>
        <v>0.6</v>
      </c>
    </row>
    <row r="1210" spans="1:7" x14ac:dyDescent="0.25">
      <c r="A1210" s="164">
        <v>44631</v>
      </c>
      <c r="B1210" s="158" t="s">
        <v>1033</v>
      </c>
      <c r="C1210" s="158">
        <v>1</v>
      </c>
      <c r="D1210" s="158"/>
      <c r="E1210" s="158" t="s">
        <v>1031</v>
      </c>
      <c r="F1210" s="124"/>
      <c r="G1210" s="456">
        <f>1*Tabla33[[#This Row],[CANTIDAD]]</f>
        <v>1</v>
      </c>
    </row>
    <row r="1211" spans="1:7" x14ac:dyDescent="0.25">
      <c r="A1211" s="164">
        <v>44631</v>
      </c>
      <c r="B1211" s="158" t="s">
        <v>1026</v>
      </c>
      <c r="C1211" s="158">
        <v>4</v>
      </c>
      <c r="D1211" s="158"/>
      <c r="E1211" s="158" t="s">
        <v>130</v>
      </c>
      <c r="F1211" s="124"/>
      <c r="G1211" s="456">
        <f>0.9*Tabla33[[#This Row],[CANTIDAD]]</f>
        <v>3.6</v>
      </c>
    </row>
    <row r="1212" spans="1:7" x14ac:dyDescent="0.25">
      <c r="A1212" s="164">
        <v>44631</v>
      </c>
      <c r="B1212" s="158" t="s">
        <v>1029</v>
      </c>
      <c r="C1212" s="158">
        <v>4</v>
      </c>
      <c r="D1212" s="158"/>
      <c r="E1212" s="158" t="s">
        <v>130</v>
      </c>
      <c r="F1212" s="124"/>
      <c r="G1212" s="152">
        <f>1*Tabla33[[#This Row],[CANTIDAD]]</f>
        <v>4</v>
      </c>
    </row>
    <row r="1213" spans="1:7" x14ac:dyDescent="0.25">
      <c r="A1213" s="164">
        <v>44631</v>
      </c>
      <c r="B1213" s="158" t="s">
        <v>1034</v>
      </c>
      <c r="C1213" s="158">
        <v>1</v>
      </c>
      <c r="D1213" s="158"/>
      <c r="E1213" s="158" t="s">
        <v>130</v>
      </c>
      <c r="F1213" s="124"/>
      <c r="G1213" s="126">
        <v>2.9</v>
      </c>
    </row>
    <row r="1214" spans="1:7" x14ac:dyDescent="0.25">
      <c r="A1214" s="164">
        <v>44631</v>
      </c>
      <c r="B1214" s="158" t="s">
        <v>1025</v>
      </c>
      <c r="C1214" s="158">
        <v>3</v>
      </c>
      <c r="D1214" s="158"/>
      <c r="E1214" s="158" t="s">
        <v>130</v>
      </c>
      <c r="F1214" s="124"/>
      <c r="G1214" s="456">
        <f>1.7*Tabla33[[#This Row],[CANTIDAD]]</f>
        <v>5.0999999999999996</v>
      </c>
    </row>
    <row r="1215" spans="1:7" x14ac:dyDescent="0.25">
      <c r="A1215" s="164">
        <v>44631</v>
      </c>
      <c r="B1215" s="158" t="s">
        <v>1029</v>
      </c>
      <c r="C1215" s="158">
        <v>1</v>
      </c>
      <c r="D1215" s="158"/>
      <c r="E1215" s="158" t="s">
        <v>800</v>
      </c>
      <c r="F1215" s="124"/>
      <c r="G1215" s="152">
        <f>1*Tabla33[[#This Row],[CANTIDAD]]</f>
        <v>1</v>
      </c>
    </row>
    <row r="1216" spans="1:7" x14ac:dyDescent="0.25">
      <c r="A1216" s="164">
        <v>44631</v>
      </c>
      <c r="B1216" s="158" t="s">
        <v>1029</v>
      </c>
      <c r="C1216" s="158">
        <v>1</v>
      </c>
      <c r="D1216" s="158"/>
      <c r="E1216" s="158" t="s">
        <v>800</v>
      </c>
      <c r="F1216" s="124"/>
      <c r="G1216" s="152">
        <f>1*Tabla33[[#This Row],[CANTIDAD]]</f>
        <v>1</v>
      </c>
    </row>
    <row r="1217" spans="1:7" x14ac:dyDescent="0.25">
      <c r="A1217" s="164">
        <v>44631</v>
      </c>
      <c r="B1217" s="158" t="s">
        <v>1036</v>
      </c>
      <c r="C1217" s="158">
        <v>1</v>
      </c>
      <c r="D1217" s="158"/>
      <c r="E1217" s="158" t="s">
        <v>800</v>
      </c>
      <c r="F1217" s="124"/>
      <c r="G1217" s="153">
        <f>0.7*Tabla33[[#This Row],[CANTIDAD]]</f>
        <v>0.7</v>
      </c>
    </row>
    <row r="1218" spans="1:7" x14ac:dyDescent="0.25">
      <c r="A1218" s="163">
        <v>44631</v>
      </c>
      <c r="B1218" s="159" t="s">
        <v>1025</v>
      </c>
      <c r="C1218" s="159">
        <v>1</v>
      </c>
      <c r="D1218" s="159"/>
      <c r="E1218" s="159" t="s">
        <v>800</v>
      </c>
      <c r="F1218" s="410"/>
      <c r="G1218" s="457">
        <f>1.7*Tabla33[[#This Row],[CANTIDAD]]</f>
        <v>1.7</v>
      </c>
    </row>
    <row r="1219" spans="1:7" x14ac:dyDescent="0.25">
      <c r="A1219" s="161">
        <v>44632</v>
      </c>
      <c r="B1219" s="162" t="s">
        <v>413</v>
      </c>
      <c r="C1219" s="162">
        <v>1</v>
      </c>
      <c r="D1219" s="162"/>
      <c r="E1219" s="162" t="s">
        <v>1023</v>
      </c>
      <c r="F1219" s="409"/>
      <c r="G1219" s="125">
        <v>5.2</v>
      </c>
    </row>
    <row r="1220" spans="1:7" x14ac:dyDescent="0.25">
      <c r="A1220" s="164">
        <v>44632</v>
      </c>
      <c r="B1220" s="158" t="s">
        <v>1026</v>
      </c>
      <c r="C1220" s="158">
        <v>1</v>
      </c>
      <c r="D1220" s="158"/>
      <c r="E1220" s="158" t="s">
        <v>670</v>
      </c>
      <c r="F1220" s="124"/>
      <c r="G1220" s="456">
        <f>0.9*Tabla33[[#This Row],[CANTIDAD]]</f>
        <v>0.9</v>
      </c>
    </row>
    <row r="1221" spans="1:7" x14ac:dyDescent="0.25">
      <c r="A1221" s="164">
        <v>44632</v>
      </c>
      <c r="B1221" s="158" t="s">
        <v>1032</v>
      </c>
      <c r="C1221" s="158">
        <v>1</v>
      </c>
      <c r="D1221" s="158"/>
      <c r="E1221" s="158" t="s">
        <v>1031</v>
      </c>
      <c r="F1221" s="124"/>
      <c r="G1221" s="456">
        <f>0.6*Tabla33[[#This Row],[CANTIDAD]]</f>
        <v>0.6</v>
      </c>
    </row>
    <row r="1222" spans="1:7" x14ac:dyDescent="0.25">
      <c r="A1222" s="164">
        <v>44632</v>
      </c>
      <c r="B1222" s="158" t="s">
        <v>1026</v>
      </c>
      <c r="C1222" s="158">
        <v>1</v>
      </c>
      <c r="D1222" s="158"/>
      <c r="E1222" s="158" t="s">
        <v>130</v>
      </c>
      <c r="F1222" s="124"/>
      <c r="G1222" s="456">
        <f>0.9*Tabla33[[#This Row],[CANTIDAD]]</f>
        <v>0.9</v>
      </c>
    </row>
    <row r="1223" spans="1:7" x14ac:dyDescent="0.25">
      <c r="A1223" s="164">
        <v>44632</v>
      </c>
      <c r="B1223" s="158" t="s">
        <v>914</v>
      </c>
      <c r="C1223" s="158">
        <v>1</v>
      </c>
      <c r="D1223" s="158"/>
      <c r="E1223" s="158" t="s">
        <v>800</v>
      </c>
      <c r="F1223" s="124"/>
      <c r="G1223" s="456">
        <v>4.2</v>
      </c>
    </row>
    <row r="1224" spans="1:7" x14ac:dyDescent="0.25">
      <c r="A1224" s="164">
        <v>44632</v>
      </c>
      <c r="B1224" s="158" t="s">
        <v>1025</v>
      </c>
      <c r="C1224" s="158">
        <v>1</v>
      </c>
      <c r="D1224" s="158"/>
      <c r="E1224" s="158" t="s">
        <v>800</v>
      </c>
      <c r="F1224" s="124"/>
      <c r="G1224" s="456">
        <f>1.7*Tabla33[[#This Row],[CANTIDAD]]</f>
        <v>1.7</v>
      </c>
    </row>
    <row r="1225" spans="1:7" x14ac:dyDescent="0.25">
      <c r="A1225" s="164">
        <v>44632</v>
      </c>
      <c r="B1225" s="158" t="s">
        <v>1029</v>
      </c>
      <c r="C1225" s="158">
        <v>1</v>
      </c>
      <c r="D1225" s="158"/>
      <c r="E1225" s="158" t="s">
        <v>800</v>
      </c>
      <c r="F1225" s="124"/>
      <c r="G1225" s="152">
        <f>1*Tabla33[[#This Row],[CANTIDAD]]</f>
        <v>1</v>
      </c>
    </row>
    <row r="1226" spans="1:7" x14ac:dyDescent="0.25">
      <c r="A1226" s="164">
        <v>44632</v>
      </c>
      <c r="B1226" s="158" t="s">
        <v>1036</v>
      </c>
      <c r="C1226" s="158">
        <v>1</v>
      </c>
      <c r="D1226" s="158"/>
      <c r="E1226" s="158" t="s">
        <v>800</v>
      </c>
      <c r="F1226" s="124"/>
      <c r="G1226" s="153">
        <f>0.7*Tabla33[[#This Row],[CANTIDAD]]</f>
        <v>0.7</v>
      </c>
    </row>
    <row r="1227" spans="1:7" x14ac:dyDescent="0.25">
      <c r="A1227" s="163">
        <v>44632</v>
      </c>
      <c r="B1227" s="159" t="s">
        <v>1025</v>
      </c>
      <c r="C1227" s="159">
        <v>1</v>
      </c>
      <c r="D1227" s="159"/>
      <c r="E1227" s="159" t="s">
        <v>800</v>
      </c>
      <c r="F1227" s="410"/>
      <c r="G1227" s="457">
        <f>1.7*Tabla33[[#This Row],[CANTIDAD]]</f>
        <v>1.7</v>
      </c>
    </row>
    <row r="1228" spans="1:7" x14ac:dyDescent="0.25">
      <c r="A1228" s="161">
        <v>44633</v>
      </c>
      <c r="B1228" s="162" t="s">
        <v>1033</v>
      </c>
      <c r="C1228" s="162">
        <v>1</v>
      </c>
      <c r="D1228" s="162"/>
      <c r="E1228" s="162" t="s">
        <v>1023</v>
      </c>
      <c r="F1228" s="409"/>
      <c r="G1228" s="415">
        <f>1*Tabla33[[#This Row],[CANTIDAD]]</f>
        <v>1</v>
      </c>
    </row>
    <row r="1229" spans="1:7" x14ac:dyDescent="0.25">
      <c r="A1229" s="164">
        <v>44633</v>
      </c>
      <c r="B1229" s="158" t="s">
        <v>1036</v>
      </c>
      <c r="C1229" s="158">
        <v>1</v>
      </c>
      <c r="D1229" s="158"/>
      <c r="E1229" s="158" t="s">
        <v>1023</v>
      </c>
      <c r="F1229" s="124"/>
      <c r="G1229" s="153">
        <f>0.7*Tabla33[[#This Row],[CANTIDAD]]</f>
        <v>0.7</v>
      </c>
    </row>
    <row r="1230" spans="1:7" x14ac:dyDescent="0.25">
      <c r="A1230" s="164">
        <v>44633</v>
      </c>
      <c r="B1230" s="158" t="s">
        <v>1025</v>
      </c>
      <c r="C1230" s="158">
        <v>1</v>
      </c>
      <c r="D1230" s="158"/>
      <c r="E1230" s="158" t="s">
        <v>1023</v>
      </c>
      <c r="F1230" s="124"/>
      <c r="G1230" s="456">
        <f>1.7*Tabla33[[#This Row],[CANTIDAD]]</f>
        <v>1.7</v>
      </c>
    </row>
    <row r="1231" spans="1:7" x14ac:dyDescent="0.25">
      <c r="A1231" s="164">
        <v>44633</v>
      </c>
      <c r="B1231" s="158" t="s">
        <v>1026</v>
      </c>
      <c r="C1231" s="158">
        <v>2</v>
      </c>
      <c r="D1231" s="158"/>
      <c r="E1231" s="158" t="s">
        <v>130</v>
      </c>
      <c r="F1231" s="124"/>
      <c r="G1231" s="456">
        <f>0.9*Tabla33[[#This Row],[CANTIDAD]]</f>
        <v>1.8</v>
      </c>
    </row>
    <row r="1232" spans="1:7" x14ac:dyDescent="0.25">
      <c r="A1232" s="164">
        <v>44633</v>
      </c>
      <c r="B1232" s="158" t="s">
        <v>1029</v>
      </c>
      <c r="C1232" s="158">
        <v>3</v>
      </c>
      <c r="D1232" s="158"/>
      <c r="E1232" s="158" t="s">
        <v>130</v>
      </c>
      <c r="F1232" s="124"/>
      <c r="G1232" s="152">
        <f>1*Tabla33[[#This Row],[CANTIDAD]]</f>
        <v>3</v>
      </c>
    </row>
    <row r="1233" spans="1:7" x14ac:dyDescent="0.25">
      <c r="A1233" s="164">
        <v>44633</v>
      </c>
      <c r="B1233" s="158" t="s">
        <v>1025</v>
      </c>
      <c r="C1233" s="158">
        <v>1</v>
      </c>
      <c r="D1233" s="158"/>
      <c r="E1233" s="158" t="s">
        <v>800</v>
      </c>
      <c r="F1233" s="124"/>
      <c r="G1233" s="456">
        <f>1.7*Tabla33[[#This Row],[CANTIDAD]]</f>
        <v>1.7</v>
      </c>
    </row>
    <row r="1234" spans="1:7" x14ac:dyDescent="0.25">
      <c r="A1234" s="163">
        <v>44633</v>
      </c>
      <c r="B1234" s="159" t="s">
        <v>1029</v>
      </c>
      <c r="C1234" s="159">
        <v>1</v>
      </c>
      <c r="D1234" s="159"/>
      <c r="E1234" s="159" t="s">
        <v>800</v>
      </c>
      <c r="F1234" s="410"/>
      <c r="G1234" s="459">
        <f>1*Tabla33[[#This Row],[CANTIDAD]]</f>
        <v>1</v>
      </c>
    </row>
    <row r="1235" spans="1:7" x14ac:dyDescent="0.25">
      <c r="A1235" s="161">
        <v>44634</v>
      </c>
      <c r="B1235" s="162" t="s">
        <v>1036</v>
      </c>
      <c r="C1235" s="162">
        <v>1</v>
      </c>
      <c r="D1235" s="162"/>
      <c r="E1235" s="162" t="s">
        <v>1023</v>
      </c>
      <c r="F1235" s="409"/>
      <c r="G1235" s="458">
        <f>0.7*Tabla33[[#This Row],[CANTIDAD]]</f>
        <v>0.7</v>
      </c>
    </row>
    <row r="1236" spans="1:7" x14ac:dyDescent="0.25">
      <c r="A1236" s="164">
        <v>44634</v>
      </c>
      <c r="B1236" s="158" t="s">
        <v>1026</v>
      </c>
      <c r="C1236" s="158">
        <v>1</v>
      </c>
      <c r="D1236" s="158"/>
      <c r="E1236" s="158" t="s">
        <v>130</v>
      </c>
      <c r="F1236" s="124"/>
      <c r="G1236" s="456">
        <f>0.9*Tabla33[[#This Row],[CANTIDAD]]</f>
        <v>0.9</v>
      </c>
    </row>
    <row r="1237" spans="1:7" x14ac:dyDescent="0.25">
      <c r="A1237" s="164">
        <v>44634</v>
      </c>
      <c r="B1237" s="158" t="s">
        <v>1033</v>
      </c>
      <c r="C1237" s="158">
        <v>1</v>
      </c>
      <c r="D1237" s="158"/>
      <c r="E1237" s="158" t="s">
        <v>130</v>
      </c>
      <c r="F1237" s="124"/>
      <c r="G1237" s="456">
        <f>1*Tabla33[[#This Row],[CANTIDAD]]</f>
        <v>1</v>
      </c>
    </row>
    <row r="1238" spans="1:7" x14ac:dyDescent="0.25">
      <c r="A1238" s="164">
        <v>44634</v>
      </c>
      <c r="B1238" s="158" t="s">
        <v>1029</v>
      </c>
      <c r="C1238" s="158">
        <v>1</v>
      </c>
      <c r="D1238" s="158"/>
      <c r="E1238" s="158" t="s">
        <v>800</v>
      </c>
      <c r="F1238" s="124"/>
      <c r="G1238" s="152">
        <f>1*Tabla33[[#This Row],[CANTIDAD]]</f>
        <v>1</v>
      </c>
    </row>
    <row r="1239" spans="1:7" x14ac:dyDescent="0.25">
      <c r="A1239" s="164">
        <v>44634</v>
      </c>
      <c r="B1239" s="158" t="s">
        <v>1036</v>
      </c>
      <c r="C1239" s="158">
        <v>1</v>
      </c>
      <c r="D1239" s="158"/>
      <c r="E1239" s="158" t="s">
        <v>800</v>
      </c>
      <c r="F1239" s="124"/>
      <c r="G1239" s="153">
        <f>0.7*Tabla33[[#This Row],[CANTIDAD]]</f>
        <v>0.7</v>
      </c>
    </row>
    <row r="1240" spans="1:7" x14ac:dyDescent="0.25">
      <c r="A1240" s="163">
        <v>44634</v>
      </c>
      <c r="B1240" s="159" t="s">
        <v>1025</v>
      </c>
      <c r="C1240" s="159">
        <v>1</v>
      </c>
      <c r="D1240" s="159"/>
      <c r="E1240" s="159" t="s">
        <v>800</v>
      </c>
      <c r="F1240" s="410"/>
      <c r="G1240" s="457">
        <f>1.7*Tabla33[[#This Row],[CANTIDAD]]</f>
        <v>1.7</v>
      </c>
    </row>
    <row r="1241" spans="1:7" x14ac:dyDescent="0.25">
      <c r="A1241" s="161">
        <v>44635</v>
      </c>
      <c r="B1241" s="162" t="s">
        <v>1029</v>
      </c>
      <c r="C1241" s="162">
        <v>6</v>
      </c>
      <c r="D1241" s="162"/>
      <c r="E1241" s="162" t="s">
        <v>130</v>
      </c>
      <c r="F1241" s="409"/>
      <c r="G1241" s="152">
        <f>1*Tabla33[[#This Row],[CANTIDAD]]</f>
        <v>6</v>
      </c>
    </row>
    <row r="1242" spans="1:7" x14ac:dyDescent="0.25">
      <c r="A1242" s="164">
        <v>44635</v>
      </c>
      <c r="B1242" s="158" t="s">
        <v>1028</v>
      </c>
      <c r="C1242" s="158">
        <v>1</v>
      </c>
      <c r="D1242" s="158"/>
      <c r="E1242" s="158" t="s">
        <v>130</v>
      </c>
      <c r="F1242" s="124"/>
      <c r="G1242" s="456">
        <f>0.6*Tabla33[[#This Row],[CANTIDAD]]</f>
        <v>0.6</v>
      </c>
    </row>
    <row r="1243" spans="1:7" x14ac:dyDescent="0.25">
      <c r="A1243" s="164">
        <v>44635</v>
      </c>
      <c r="B1243" s="158" t="s">
        <v>1035</v>
      </c>
      <c r="C1243" s="158">
        <v>2</v>
      </c>
      <c r="D1243" s="158"/>
      <c r="E1243" s="158" t="s">
        <v>130</v>
      </c>
      <c r="F1243" s="124"/>
      <c r="G1243" s="126">
        <f>0.6*2</f>
        <v>1.2</v>
      </c>
    </row>
    <row r="1244" spans="1:7" x14ac:dyDescent="0.25">
      <c r="A1244" s="164">
        <v>44635</v>
      </c>
      <c r="B1244" s="158" t="s">
        <v>1025</v>
      </c>
      <c r="C1244" s="158">
        <v>1</v>
      </c>
      <c r="D1244" s="158"/>
      <c r="E1244" s="158" t="s">
        <v>130</v>
      </c>
      <c r="F1244" s="124"/>
      <c r="G1244" s="456">
        <f>1.7*Tabla33[[#This Row],[CANTIDAD]]</f>
        <v>1.7</v>
      </c>
    </row>
    <row r="1245" spans="1:7" x14ac:dyDescent="0.25">
      <c r="A1245" s="164">
        <v>44635</v>
      </c>
      <c r="B1245" s="158" t="s">
        <v>1038</v>
      </c>
      <c r="C1245" s="158">
        <v>1</v>
      </c>
      <c r="D1245" s="158"/>
      <c r="E1245" s="158" t="s">
        <v>130</v>
      </c>
      <c r="F1245" s="124"/>
      <c r="G1245" s="456">
        <f>10</f>
        <v>10</v>
      </c>
    </row>
    <row r="1246" spans="1:7" x14ac:dyDescent="0.25">
      <c r="A1246" s="163">
        <v>44635</v>
      </c>
      <c r="B1246" s="159" t="s">
        <v>1029</v>
      </c>
      <c r="C1246" s="159">
        <v>1</v>
      </c>
      <c r="D1246" s="159"/>
      <c r="E1246" s="159" t="s">
        <v>800</v>
      </c>
      <c r="F1246" s="410"/>
      <c r="G1246" s="459">
        <f>1*Tabla33[[#This Row],[CANTIDAD]]</f>
        <v>1</v>
      </c>
    </row>
    <row r="1247" spans="1:7" x14ac:dyDescent="0.25">
      <c r="A1247" s="161">
        <v>44636</v>
      </c>
      <c r="B1247" s="162" t="s">
        <v>1026</v>
      </c>
      <c r="C1247" s="162">
        <v>1</v>
      </c>
      <c r="D1247" s="162"/>
      <c r="E1247" s="162" t="s">
        <v>130</v>
      </c>
      <c r="F1247" s="409"/>
      <c r="G1247" s="415">
        <f>0.9*Tabla33[[#This Row],[CANTIDAD]]</f>
        <v>0.9</v>
      </c>
    </row>
    <row r="1248" spans="1:7" x14ac:dyDescent="0.25">
      <c r="A1248" s="163">
        <v>44636</v>
      </c>
      <c r="B1248" s="159" t="s">
        <v>1029</v>
      </c>
      <c r="C1248" s="159">
        <v>3</v>
      </c>
      <c r="D1248" s="159"/>
      <c r="E1248" s="159" t="s">
        <v>130</v>
      </c>
      <c r="F1248" s="410"/>
      <c r="G1248" s="459">
        <f>1*Tabla33[[#This Row],[CANTIDAD]]</f>
        <v>3</v>
      </c>
    </row>
    <row r="1249" spans="1:7" x14ac:dyDescent="0.25">
      <c r="A1249" s="161">
        <v>44637</v>
      </c>
      <c r="B1249" s="162" t="s">
        <v>1036</v>
      </c>
      <c r="C1249" s="162">
        <v>2</v>
      </c>
      <c r="D1249" s="162"/>
      <c r="E1249" s="162" t="s">
        <v>1023</v>
      </c>
      <c r="F1249" s="409"/>
      <c r="G1249" s="458">
        <f>0.7*Tabla33[[#This Row],[CANTIDAD]]</f>
        <v>1.4</v>
      </c>
    </row>
    <row r="1250" spans="1:7" x14ac:dyDescent="0.25">
      <c r="A1250" s="164">
        <v>44637</v>
      </c>
      <c r="B1250" s="158" t="s">
        <v>1039</v>
      </c>
      <c r="C1250" s="158">
        <v>1</v>
      </c>
      <c r="D1250" s="158"/>
      <c r="E1250" s="158" t="s">
        <v>1027</v>
      </c>
      <c r="F1250" s="124"/>
      <c r="G1250" s="126">
        <v>1</v>
      </c>
    </row>
    <row r="1251" spans="1:7" x14ac:dyDescent="0.25">
      <c r="A1251" s="164">
        <v>44637</v>
      </c>
      <c r="B1251" s="158" t="s">
        <v>914</v>
      </c>
      <c r="C1251" s="158">
        <v>1</v>
      </c>
      <c r="D1251" s="158"/>
      <c r="E1251" s="158" t="s">
        <v>1027</v>
      </c>
      <c r="F1251" s="124"/>
      <c r="G1251" s="456">
        <v>4.2</v>
      </c>
    </row>
    <row r="1252" spans="1:7" x14ac:dyDescent="0.25">
      <c r="A1252" s="163">
        <v>44637</v>
      </c>
      <c r="B1252" s="159" t="s">
        <v>804</v>
      </c>
      <c r="C1252" s="159">
        <v>1</v>
      </c>
      <c r="D1252" s="159"/>
      <c r="E1252" s="159" t="s">
        <v>130</v>
      </c>
      <c r="F1252" s="410"/>
      <c r="G1252" s="127">
        <v>1.5</v>
      </c>
    </row>
    <row r="1253" spans="1:7" x14ac:dyDescent="0.25">
      <c r="A1253" s="161">
        <v>44638</v>
      </c>
      <c r="B1253" s="162" t="s">
        <v>1036</v>
      </c>
      <c r="C1253" s="162">
        <v>1</v>
      </c>
      <c r="D1253" s="162"/>
      <c r="E1253" s="162" t="s">
        <v>1023</v>
      </c>
      <c r="F1253" s="409"/>
      <c r="G1253" s="458">
        <f>0.7*Tabla33[[#This Row],[CANTIDAD]]</f>
        <v>0.7</v>
      </c>
    </row>
    <row r="1254" spans="1:7" x14ac:dyDescent="0.25">
      <c r="A1254" s="164">
        <v>44638</v>
      </c>
      <c r="B1254" s="158" t="s">
        <v>1026</v>
      </c>
      <c r="C1254" s="158">
        <v>1</v>
      </c>
      <c r="D1254" s="158"/>
      <c r="E1254" s="158" t="s">
        <v>670</v>
      </c>
      <c r="F1254" s="124"/>
      <c r="G1254" s="456">
        <f>0.9*Tabla33[[#This Row],[CANTIDAD]]</f>
        <v>0.9</v>
      </c>
    </row>
    <row r="1255" spans="1:7" x14ac:dyDescent="0.25">
      <c r="A1255" s="164">
        <v>44638</v>
      </c>
      <c r="B1255" s="158" t="s">
        <v>1029</v>
      </c>
      <c r="C1255" s="158">
        <v>5</v>
      </c>
      <c r="D1255" s="158"/>
      <c r="E1255" s="158" t="s">
        <v>130</v>
      </c>
      <c r="F1255" s="124"/>
      <c r="G1255" s="152">
        <f>1*Tabla33[[#This Row],[CANTIDAD]]</f>
        <v>5</v>
      </c>
    </row>
    <row r="1256" spans="1:7" x14ac:dyDescent="0.25">
      <c r="A1256" s="164">
        <v>44638</v>
      </c>
      <c r="B1256" s="158" t="s">
        <v>1036</v>
      </c>
      <c r="C1256" s="158">
        <v>1</v>
      </c>
      <c r="D1256" s="158"/>
      <c r="E1256" s="158" t="s">
        <v>130</v>
      </c>
      <c r="F1256" s="124"/>
      <c r="G1256" s="153">
        <f>0.7*Tabla33[[#This Row],[CANTIDAD]]</f>
        <v>0.7</v>
      </c>
    </row>
    <row r="1257" spans="1:7" x14ac:dyDescent="0.25">
      <c r="A1257" s="163">
        <v>44638</v>
      </c>
      <c r="B1257" s="159" t="s">
        <v>804</v>
      </c>
      <c r="C1257" s="159">
        <v>1</v>
      </c>
      <c r="D1257" s="159"/>
      <c r="E1257" s="159" t="s">
        <v>130</v>
      </c>
      <c r="F1257" s="410"/>
      <c r="G1257" s="127">
        <v>1.5</v>
      </c>
    </row>
    <row r="1258" spans="1:7" x14ac:dyDescent="0.25">
      <c r="A1258" s="161">
        <v>44639</v>
      </c>
      <c r="B1258" s="162" t="s">
        <v>662</v>
      </c>
      <c r="C1258" s="162">
        <v>1</v>
      </c>
      <c r="D1258" s="162"/>
      <c r="E1258" s="162" t="s">
        <v>130</v>
      </c>
      <c r="F1258" s="409"/>
      <c r="G1258" s="125">
        <v>3</v>
      </c>
    </row>
    <row r="1259" spans="1:7" x14ac:dyDescent="0.25">
      <c r="A1259" s="163">
        <v>44639</v>
      </c>
      <c r="B1259" s="159" t="s">
        <v>1040</v>
      </c>
      <c r="C1259" s="159">
        <v>1</v>
      </c>
      <c r="D1259" s="159"/>
      <c r="E1259" s="159" t="s">
        <v>800</v>
      </c>
      <c r="F1259" s="410"/>
      <c r="G1259" s="127">
        <v>2.9</v>
      </c>
    </row>
    <row r="1260" spans="1:7" x14ac:dyDescent="0.25">
      <c r="A1260" s="161">
        <v>44640</v>
      </c>
      <c r="B1260" s="162" t="s">
        <v>1036</v>
      </c>
      <c r="C1260" s="162">
        <v>2</v>
      </c>
      <c r="D1260" s="162"/>
      <c r="E1260" s="162" t="s">
        <v>1023</v>
      </c>
      <c r="F1260" s="409"/>
      <c r="G1260" s="458">
        <f>0.7*Tabla33[[#This Row],[CANTIDAD]]</f>
        <v>1.4</v>
      </c>
    </row>
    <row r="1261" spans="1:7" x14ac:dyDescent="0.25">
      <c r="A1261" s="164">
        <v>44640</v>
      </c>
      <c r="B1261" s="158" t="s">
        <v>1026</v>
      </c>
      <c r="C1261" s="158">
        <v>2</v>
      </c>
      <c r="D1261" s="158"/>
      <c r="E1261" s="158" t="s">
        <v>130</v>
      </c>
      <c r="F1261" s="124"/>
      <c r="G1261" s="456">
        <f>0.9*Tabla33[[#This Row],[CANTIDAD]]</f>
        <v>1.8</v>
      </c>
    </row>
    <row r="1262" spans="1:7" x14ac:dyDescent="0.25">
      <c r="A1262" s="164">
        <v>44640</v>
      </c>
      <c r="B1262" s="158" t="s">
        <v>1033</v>
      </c>
      <c r="C1262" s="158">
        <v>1</v>
      </c>
      <c r="D1262" s="158"/>
      <c r="E1262" s="158" t="s">
        <v>130</v>
      </c>
      <c r="F1262" s="124"/>
      <c r="G1262" s="456">
        <f>1*Tabla33[[#This Row],[CANTIDAD]]</f>
        <v>1</v>
      </c>
    </row>
    <row r="1263" spans="1:7" x14ac:dyDescent="0.25">
      <c r="A1263" s="164">
        <v>44640</v>
      </c>
      <c r="B1263" s="158" t="s">
        <v>1037</v>
      </c>
      <c r="C1263" s="158">
        <v>2</v>
      </c>
      <c r="D1263" s="158"/>
      <c r="E1263" s="158" t="s">
        <v>130</v>
      </c>
      <c r="F1263" s="124"/>
      <c r="G1263" s="456">
        <f>1.5*Tabla33[[#This Row],[CANTIDAD]]</f>
        <v>3</v>
      </c>
    </row>
    <row r="1264" spans="1:7" x14ac:dyDescent="0.25">
      <c r="A1264" s="164">
        <v>44640</v>
      </c>
      <c r="B1264" s="158" t="s">
        <v>131</v>
      </c>
      <c r="C1264" s="158">
        <v>1</v>
      </c>
      <c r="D1264" s="158"/>
      <c r="E1264" s="158" t="s">
        <v>130</v>
      </c>
      <c r="F1264" s="124"/>
      <c r="G1264" s="126">
        <v>3</v>
      </c>
    </row>
    <row r="1265" spans="1:7" x14ac:dyDescent="0.25">
      <c r="A1265" s="164">
        <v>44640</v>
      </c>
      <c r="B1265" s="158" t="s">
        <v>1025</v>
      </c>
      <c r="C1265" s="158">
        <v>1</v>
      </c>
      <c r="D1265" s="158"/>
      <c r="E1265" s="158" t="s">
        <v>130</v>
      </c>
      <c r="F1265" s="124"/>
      <c r="G1265" s="456">
        <f>1.7*Tabla33[[#This Row],[CANTIDAD]]</f>
        <v>1.7</v>
      </c>
    </row>
    <row r="1266" spans="1:7" x14ac:dyDescent="0.25">
      <c r="A1266" s="164">
        <v>44640</v>
      </c>
      <c r="B1266" s="158" t="s">
        <v>1029</v>
      </c>
      <c r="C1266" s="158">
        <v>1</v>
      </c>
      <c r="D1266" s="158"/>
      <c r="E1266" s="158" t="s">
        <v>800</v>
      </c>
      <c r="F1266" s="124"/>
      <c r="G1266" s="152">
        <f>1*Tabla33[[#This Row],[CANTIDAD]]</f>
        <v>1</v>
      </c>
    </row>
    <row r="1267" spans="1:7" x14ac:dyDescent="0.25">
      <c r="A1267" s="164">
        <v>44640</v>
      </c>
      <c r="B1267" s="158" t="s">
        <v>1036</v>
      </c>
      <c r="C1267" s="158">
        <v>1</v>
      </c>
      <c r="D1267" s="158"/>
      <c r="E1267" s="158" t="s">
        <v>800</v>
      </c>
      <c r="F1267" s="124"/>
      <c r="G1267" s="153">
        <f>0.7*Tabla33[[#This Row],[CANTIDAD]]</f>
        <v>0.7</v>
      </c>
    </row>
    <row r="1268" spans="1:7" x14ac:dyDescent="0.25">
      <c r="A1268" s="163">
        <v>44640</v>
      </c>
      <c r="B1268" s="159" t="s">
        <v>1040</v>
      </c>
      <c r="C1268" s="159">
        <v>1</v>
      </c>
      <c r="D1268" s="159"/>
      <c r="E1268" s="159" t="s">
        <v>800</v>
      </c>
      <c r="F1268" s="410"/>
      <c r="G1268" s="127">
        <v>2.9</v>
      </c>
    </row>
    <row r="1269" spans="1:7" x14ac:dyDescent="0.25">
      <c r="A1269" s="161">
        <v>44641</v>
      </c>
      <c r="B1269" s="162" t="s">
        <v>1026</v>
      </c>
      <c r="C1269" s="162">
        <v>1</v>
      </c>
      <c r="D1269" s="162"/>
      <c r="E1269" s="162" t="s">
        <v>130</v>
      </c>
      <c r="F1269" s="409"/>
      <c r="G1269" s="415">
        <f>0.9*Tabla33[[#This Row],[CANTIDAD]]</f>
        <v>0.9</v>
      </c>
    </row>
    <row r="1270" spans="1:7" x14ac:dyDescent="0.25">
      <c r="A1270" s="164">
        <v>44641</v>
      </c>
      <c r="B1270" s="158" t="s">
        <v>1029</v>
      </c>
      <c r="C1270" s="158">
        <v>8</v>
      </c>
      <c r="D1270" s="158"/>
      <c r="E1270" s="158" t="s">
        <v>130</v>
      </c>
      <c r="F1270" s="124"/>
      <c r="G1270" s="152">
        <f>1*Tabla33[[#This Row],[CANTIDAD]]</f>
        <v>8</v>
      </c>
    </row>
    <row r="1271" spans="1:7" x14ac:dyDescent="0.25">
      <c r="A1271" s="164">
        <v>44641</v>
      </c>
      <c r="B1271" s="158" t="s">
        <v>1042</v>
      </c>
      <c r="C1271" s="158">
        <v>2</v>
      </c>
      <c r="D1271" s="158"/>
      <c r="E1271" s="158" t="s">
        <v>130</v>
      </c>
      <c r="F1271" s="124"/>
      <c r="G1271" s="456">
        <f>1*Tabla33[[#This Row],[CANTIDAD]]</f>
        <v>2</v>
      </c>
    </row>
    <row r="1272" spans="1:7" x14ac:dyDescent="0.25">
      <c r="A1272" s="164">
        <v>44641</v>
      </c>
      <c r="B1272" s="158" t="s">
        <v>1025</v>
      </c>
      <c r="C1272" s="158">
        <v>4</v>
      </c>
      <c r="D1272" s="158"/>
      <c r="E1272" s="158" t="s">
        <v>130</v>
      </c>
      <c r="F1272" s="124"/>
      <c r="G1272" s="456">
        <f>1.7*Tabla33[[#This Row],[CANTIDAD]]</f>
        <v>6.8</v>
      </c>
    </row>
    <row r="1273" spans="1:7" x14ac:dyDescent="0.25">
      <c r="A1273" s="163">
        <v>44641</v>
      </c>
      <c r="B1273" s="159" t="s">
        <v>1036</v>
      </c>
      <c r="C1273" s="159">
        <v>1</v>
      </c>
      <c r="D1273" s="159"/>
      <c r="E1273" s="159" t="s">
        <v>800</v>
      </c>
      <c r="F1273" s="410"/>
      <c r="G1273" s="394">
        <f>0.7*Tabla33[[#This Row],[CANTIDAD]]</f>
        <v>0.7</v>
      </c>
    </row>
    <row r="1274" spans="1:7" x14ac:dyDescent="0.25">
      <c r="A1274" s="161">
        <v>44642</v>
      </c>
      <c r="B1274" s="162" t="s">
        <v>1026</v>
      </c>
      <c r="C1274" s="162">
        <v>1</v>
      </c>
      <c r="D1274" s="162"/>
      <c r="E1274" s="162" t="s">
        <v>670</v>
      </c>
      <c r="F1274" s="409"/>
      <c r="G1274" s="415">
        <f>0.9*Tabla33[[#This Row],[CANTIDAD]]</f>
        <v>0.9</v>
      </c>
    </row>
    <row r="1275" spans="1:7" x14ac:dyDescent="0.25">
      <c r="A1275" s="164">
        <v>44642</v>
      </c>
      <c r="B1275" s="158" t="s">
        <v>1029</v>
      </c>
      <c r="C1275" s="158">
        <v>1</v>
      </c>
      <c r="D1275" s="158"/>
      <c r="E1275" s="158" t="s">
        <v>800</v>
      </c>
      <c r="F1275" s="124"/>
      <c r="G1275" s="152">
        <f>1*Tabla33[[#This Row],[CANTIDAD]]</f>
        <v>1</v>
      </c>
    </row>
    <row r="1276" spans="1:7" x14ac:dyDescent="0.25">
      <c r="A1276" s="164">
        <v>44642</v>
      </c>
      <c r="B1276" s="158" t="s">
        <v>1036</v>
      </c>
      <c r="C1276" s="158">
        <v>1</v>
      </c>
      <c r="D1276" s="158"/>
      <c r="E1276" s="158" t="s">
        <v>800</v>
      </c>
      <c r="F1276" s="124"/>
      <c r="G1276" s="153">
        <f>0.7*Tabla33[[#This Row],[CANTIDAD]]</f>
        <v>0.7</v>
      </c>
    </row>
    <row r="1277" spans="1:7" x14ac:dyDescent="0.25">
      <c r="A1277" s="164">
        <v>44642</v>
      </c>
      <c r="B1277" s="158" t="s">
        <v>1040</v>
      </c>
      <c r="C1277" s="158">
        <v>1</v>
      </c>
      <c r="D1277" s="158"/>
      <c r="E1277" s="158" t="s">
        <v>800</v>
      </c>
      <c r="F1277" s="124"/>
      <c r="G1277" s="126">
        <v>2.9</v>
      </c>
    </row>
    <row r="1278" spans="1:7" x14ac:dyDescent="0.25">
      <c r="A1278" s="164">
        <v>44642</v>
      </c>
      <c r="B1278" s="158" t="s">
        <v>1036</v>
      </c>
      <c r="C1278" s="158">
        <v>1</v>
      </c>
      <c r="D1278" s="158"/>
      <c r="E1278" s="158" t="s">
        <v>1023</v>
      </c>
      <c r="F1278" s="124"/>
      <c r="G1278" s="153">
        <f>0.7*Tabla33[[#This Row],[CANTIDAD]]</f>
        <v>0.7</v>
      </c>
    </row>
    <row r="1279" spans="1:7" x14ac:dyDescent="0.25">
      <c r="A1279" s="164">
        <v>44642</v>
      </c>
      <c r="B1279" s="158" t="s">
        <v>1026</v>
      </c>
      <c r="C1279" s="158">
        <v>3</v>
      </c>
      <c r="D1279" s="158"/>
      <c r="E1279" s="158" t="s">
        <v>670</v>
      </c>
      <c r="F1279" s="124"/>
      <c r="G1279" s="456">
        <f>0.9*Tabla33[[#This Row],[CANTIDAD]]</f>
        <v>2.7</v>
      </c>
    </row>
    <row r="1280" spans="1:7" x14ac:dyDescent="0.25">
      <c r="A1280" s="164">
        <v>44642</v>
      </c>
      <c r="B1280" s="158" t="s">
        <v>1033</v>
      </c>
      <c r="C1280" s="158">
        <v>1</v>
      </c>
      <c r="D1280" s="158"/>
      <c r="E1280" s="158" t="s">
        <v>670</v>
      </c>
      <c r="F1280" s="124"/>
      <c r="G1280" s="456">
        <f>1*Tabla33[[#This Row],[CANTIDAD]]</f>
        <v>1</v>
      </c>
    </row>
    <row r="1281" spans="1:7" x14ac:dyDescent="0.25">
      <c r="A1281" s="164">
        <v>44642</v>
      </c>
      <c r="B1281" s="158" t="s">
        <v>1026</v>
      </c>
      <c r="C1281" s="158">
        <v>1</v>
      </c>
      <c r="D1281" s="158"/>
      <c r="E1281" s="158" t="s">
        <v>130</v>
      </c>
      <c r="F1281" s="124"/>
      <c r="G1281" s="456">
        <f>0.9*Tabla33[[#This Row],[CANTIDAD]]</f>
        <v>0.9</v>
      </c>
    </row>
    <row r="1282" spans="1:7" x14ac:dyDescent="0.25">
      <c r="A1282" s="164">
        <v>44642</v>
      </c>
      <c r="B1282" s="158" t="s">
        <v>1026</v>
      </c>
      <c r="C1282" s="158">
        <v>1</v>
      </c>
      <c r="D1282" s="158"/>
      <c r="E1282" s="158" t="s">
        <v>130</v>
      </c>
      <c r="F1282" s="124"/>
      <c r="G1282" s="456">
        <f>0.9*Tabla33[[#This Row],[CANTIDAD]]</f>
        <v>0.9</v>
      </c>
    </row>
    <row r="1283" spans="1:7" x14ac:dyDescent="0.25">
      <c r="A1283" s="164">
        <v>44642</v>
      </c>
      <c r="B1283" s="158" t="s">
        <v>1029</v>
      </c>
      <c r="C1283" s="158">
        <v>2</v>
      </c>
      <c r="D1283" s="158"/>
      <c r="E1283" s="158" t="s">
        <v>130</v>
      </c>
      <c r="F1283" s="124"/>
      <c r="G1283" s="152">
        <f>1*Tabla33[[#This Row],[CANTIDAD]]</f>
        <v>2</v>
      </c>
    </row>
    <row r="1284" spans="1:7" x14ac:dyDescent="0.25">
      <c r="A1284" s="163">
        <v>44642</v>
      </c>
      <c r="B1284" s="159" t="s">
        <v>1025</v>
      </c>
      <c r="C1284" s="159">
        <v>2</v>
      </c>
      <c r="D1284" s="159"/>
      <c r="E1284" s="159" t="s">
        <v>130</v>
      </c>
      <c r="F1284" s="410"/>
      <c r="G1284" s="457">
        <f>1.7*Tabla33[[#This Row],[CANTIDAD]]</f>
        <v>3.4</v>
      </c>
    </row>
    <row r="1285" spans="1:7" x14ac:dyDescent="0.25">
      <c r="A1285" s="161">
        <v>44644</v>
      </c>
      <c r="B1285" s="162" t="s">
        <v>1036</v>
      </c>
      <c r="C1285" s="162">
        <v>1</v>
      </c>
      <c r="D1285" s="162"/>
      <c r="E1285" s="162" t="s">
        <v>1023</v>
      </c>
      <c r="F1285" s="409"/>
      <c r="G1285" s="458">
        <f>0.7*Tabla33[[#This Row],[CANTIDAD]]</f>
        <v>0.7</v>
      </c>
    </row>
    <row r="1286" spans="1:7" x14ac:dyDescent="0.25">
      <c r="A1286" s="164">
        <v>44644</v>
      </c>
      <c r="B1286" s="158" t="s">
        <v>1025</v>
      </c>
      <c r="C1286" s="158">
        <v>1</v>
      </c>
      <c r="D1286" s="158"/>
      <c r="E1286" s="158" t="s">
        <v>1023</v>
      </c>
      <c r="F1286" s="124"/>
      <c r="G1286" s="456">
        <f>1.7*Tabla33[[#This Row],[CANTIDAD]]</f>
        <v>1.7</v>
      </c>
    </row>
    <row r="1287" spans="1:7" x14ac:dyDescent="0.25">
      <c r="A1287" s="164">
        <v>44644</v>
      </c>
      <c r="B1287" s="158" t="s">
        <v>1043</v>
      </c>
      <c r="C1287" s="158">
        <v>1</v>
      </c>
      <c r="D1287" s="158"/>
      <c r="E1287" s="158" t="s">
        <v>1027</v>
      </c>
      <c r="F1287" s="124"/>
      <c r="G1287" s="126">
        <v>1.74</v>
      </c>
    </row>
    <row r="1288" spans="1:7" x14ac:dyDescent="0.25">
      <c r="A1288" s="164">
        <v>44644</v>
      </c>
      <c r="B1288" s="158" t="s">
        <v>138</v>
      </c>
      <c r="C1288" s="158">
        <v>1</v>
      </c>
      <c r="D1288" s="158"/>
      <c r="E1288" s="158" t="s">
        <v>1027</v>
      </c>
      <c r="F1288" s="124"/>
      <c r="G1288" s="126">
        <v>5.6</v>
      </c>
    </row>
    <row r="1289" spans="1:7" x14ac:dyDescent="0.25">
      <c r="A1289" s="164">
        <v>44644</v>
      </c>
      <c r="B1289" s="158" t="s">
        <v>1026</v>
      </c>
      <c r="C1289" s="158">
        <v>1</v>
      </c>
      <c r="D1289" s="158"/>
      <c r="E1289" s="158" t="s">
        <v>670</v>
      </c>
      <c r="F1289" s="124"/>
      <c r="G1289" s="456">
        <f>0.9*Tabla33[[#This Row],[CANTIDAD]]</f>
        <v>0.9</v>
      </c>
    </row>
    <row r="1290" spans="1:7" x14ac:dyDescent="0.25">
      <c r="A1290" s="164">
        <v>44644</v>
      </c>
      <c r="B1290" s="158" t="s">
        <v>1026</v>
      </c>
      <c r="C1290" s="158">
        <v>2</v>
      </c>
      <c r="D1290" s="158"/>
      <c r="E1290" s="158" t="s">
        <v>130</v>
      </c>
      <c r="F1290" s="124"/>
      <c r="G1290" s="456">
        <f>0.9*Tabla33[[#This Row],[CANTIDAD]]</f>
        <v>1.8</v>
      </c>
    </row>
    <row r="1291" spans="1:7" x14ac:dyDescent="0.25">
      <c r="A1291" s="164">
        <v>44644</v>
      </c>
      <c r="B1291" s="158" t="s">
        <v>1029</v>
      </c>
      <c r="C1291" s="158">
        <v>4</v>
      </c>
      <c r="D1291" s="158"/>
      <c r="E1291" s="158" t="s">
        <v>130</v>
      </c>
      <c r="F1291" s="124"/>
      <c r="G1291" s="152">
        <f>1*Tabla33[[#This Row],[CANTIDAD]]</f>
        <v>4</v>
      </c>
    </row>
    <row r="1292" spans="1:7" x14ac:dyDescent="0.25">
      <c r="A1292" s="163">
        <v>44644</v>
      </c>
      <c r="B1292" s="159" t="s">
        <v>1033</v>
      </c>
      <c r="C1292" s="159">
        <v>1</v>
      </c>
      <c r="D1292" s="159"/>
      <c r="E1292" s="159" t="s">
        <v>130</v>
      </c>
      <c r="F1292" s="410"/>
      <c r="G1292" s="457">
        <f>1*Tabla33[[#This Row],[CANTIDAD]]</f>
        <v>1</v>
      </c>
    </row>
    <row r="1293" spans="1:7" x14ac:dyDescent="0.25">
      <c r="A1293" s="161">
        <v>44645</v>
      </c>
      <c r="B1293" s="162" t="s">
        <v>1044</v>
      </c>
      <c r="C1293" s="162">
        <v>1</v>
      </c>
      <c r="D1293" s="162"/>
      <c r="E1293" s="162" t="s">
        <v>1023</v>
      </c>
      <c r="F1293" s="409"/>
      <c r="G1293" s="125">
        <v>1.1000000000000001</v>
      </c>
    </row>
    <row r="1294" spans="1:7" x14ac:dyDescent="0.25">
      <c r="A1294" s="164">
        <v>44645</v>
      </c>
      <c r="B1294" s="158" t="s">
        <v>1044</v>
      </c>
      <c r="C1294" s="158">
        <v>1</v>
      </c>
      <c r="D1294" s="158"/>
      <c r="E1294" s="158" t="s">
        <v>1023</v>
      </c>
      <c r="F1294" s="124"/>
      <c r="G1294" s="126">
        <v>1.1000000000000001</v>
      </c>
    </row>
    <row r="1295" spans="1:7" x14ac:dyDescent="0.25">
      <c r="A1295" s="164">
        <v>44645</v>
      </c>
      <c r="B1295" s="158" t="s">
        <v>1045</v>
      </c>
      <c r="C1295" s="158">
        <v>1</v>
      </c>
      <c r="D1295" s="158"/>
      <c r="E1295" s="158" t="s">
        <v>1023</v>
      </c>
      <c r="F1295" s="124"/>
      <c r="G1295" s="126">
        <v>8</v>
      </c>
    </row>
    <row r="1296" spans="1:7" x14ac:dyDescent="0.25">
      <c r="A1296" s="164">
        <v>44645</v>
      </c>
      <c r="B1296" s="158" t="s">
        <v>1025</v>
      </c>
      <c r="C1296" s="158">
        <v>1</v>
      </c>
      <c r="D1296" s="158"/>
      <c r="E1296" s="158" t="s">
        <v>1023</v>
      </c>
      <c r="F1296" s="124"/>
      <c r="G1296" s="456">
        <f>1.7*Tabla33[[#This Row],[CANTIDAD]]</f>
        <v>1.7</v>
      </c>
    </row>
    <row r="1297" spans="1:7" x14ac:dyDescent="0.25">
      <c r="A1297" s="164">
        <v>44645</v>
      </c>
      <c r="B1297" s="158" t="s">
        <v>1026</v>
      </c>
      <c r="C1297" s="158">
        <v>3</v>
      </c>
      <c r="D1297" s="158"/>
      <c r="E1297" s="158" t="s">
        <v>130</v>
      </c>
      <c r="F1297" s="124"/>
      <c r="G1297" s="456">
        <f>0.9*Tabla33[[#This Row],[CANTIDAD]]</f>
        <v>2.7</v>
      </c>
    </row>
    <row r="1298" spans="1:7" x14ac:dyDescent="0.25">
      <c r="A1298" s="164">
        <v>44645</v>
      </c>
      <c r="B1298" s="158" t="s">
        <v>1029</v>
      </c>
      <c r="C1298" s="158">
        <v>1</v>
      </c>
      <c r="D1298" s="158"/>
      <c r="E1298" s="158" t="s">
        <v>800</v>
      </c>
      <c r="F1298" s="124"/>
      <c r="G1298" s="152">
        <f>1*Tabla33[[#This Row],[CANTIDAD]]</f>
        <v>1</v>
      </c>
    </row>
    <row r="1299" spans="1:7" x14ac:dyDescent="0.25">
      <c r="A1299" s="163">
        <v>44645</v>
      </c>
      <c r="B1299" s="159" t="s">
        <v>1025</v>
      </c>
      <c r="C1299" s="159">
        <v>1</v>
      </c>
      <c r="D1299" s="159"/>
      <c r="E1299" s="159" t="s">
        <v>800</v>
      </c>
      <c r="F1299" s="410"/>
      <c r="G1299" s="457">
        <f>1.7*Tabla33[[#This Row],[CANTIDAD]]</f>
        <v>1.7</v>
      </c>
    </row>
    <row r="1300" spans="1:7" x14ac:dyDescent="0.25">
      <c r="A1300" s="161">
        <v>44646</v>
      </c>
      <c r="B1300" s="162" t="s">
        <v>1045</v>
      </c>
      <c r="C1300" s="162">
        <v>1</v>
      </c>
      <c r="D1300" s="162"/>
      <c r="E1300" s="162" t="s">
        <v>1023</v>
      </c>
      <c r="F1300" s="409"/>
      <c r="G1300" s="125">
        <v>8</v>
      </c>
    </row>
    <row r="1301" spans="1:7" x14ac:dyDescent="0.25">
      <c r="A1301" s="164">
        <v>44646</v>
      </c>
      <c r="B1301" s="158" t="s">
        <v>1026</v>
      </c>
      <c r="C1301" s="158">
        <v>1</v>
      </c>
      <c r="D1301" s="158"/>
      <c r="E1301" s="158" t="s">
        <v>130</v>
      </c>
      <c r="F1301" s="124"/>
      <c r="G1301" s="456">
        <f>0.9*Tabla33[[#This Row],[CANTIDAD]]</f>
        <v>0.9</v>
      </c>
    </row>
    <row r="1302" spans="1:7" x14ac:dyDescent="0.25">
      <c r="A1302" s="164">
        <v>44646</v>
      </c>
      <c r="B1302" s="158" t="s">
        <v>1037</v>
      </c>
      <c r="C1302" s="158">
        <v>4</v>
      </c>
      <c r="D1302" s="158"/>
      <c r="E1302" s="158" t="s">
        <v>130</v>
      </c>
      <c r="F1302" s="124"/>
      <c r="G1302" s="456">
        <f>1.5*Tabla33[[#This Row],[CANTIDAD]]</f>
        <v>6</v>
      </c>
    </row>
    <row r="1303" spans="1:7" x14ac:dyDescent="0.25">
      <c r="A1303" s="164">
        <v>44646</v>
      </c>
      <c r="B1303" s="158" t="s">
        <v>133</v>
      </c>
      <c r="C1303" s="158">
        <v>1</v>
      </c>
      <c r="D1303" s="158"/>
      <c r="E1303" s="158" t="s">
        <v>130</v>
      </c>
      <c r="F1303" s="124"/>
      <c r="G1303" s="126">
        <v>3.5</v>
      </c>
    </row>
    <row r="1304" spans="1:7" x14ac:dyDescent="0.25">
      <c r="A1304" s="164">
        <v>44646</v>
      </c>
      <c r="B1304" s="158" t="s">
        <v>1025</v>
      </c>
      <c r="C1304" s="158">
        <v>1</v>
      </c>
      <c r="D1304" s="158"/>
      <c r="E1304" s="158" t="s">
        <v>130</v>
      </c>
      <c r="F1304" s="124"/>
      <c r="G1304" s="456">
        <f>1.7*Tabla33[[#This Row],[CANTIDAD]]</f>
        <v>1.7</v>
      </c>
    </row>
    <row r="1305" spans="1:7" x14ac:dyDescent="0.25">
      <c r="A1305" s="164">
        <v>44646</v>
      </c>
      <c r="B1305" s="158" t="s">
        <v>1029</v>
      </c>
      <c r="C1305" s="158">
        <v>1</v>
      </c>
      <c r="D1305" s="158"/>
      <c r="E1305" s="158" t="s">
        <v>800</v>
      </c>
      <c r="F1305" s="124"/>
      <c r="G1305" s="152">
        <f>1*Tabla33[[#This Row],[CANTIDAD]]</f>
        <v>1</v>
      </c>
    </row>
    <row r="1306" spans="1:7" x14ac:dyDescent="0.25">
      <c r="A1306" s="163">
        <v>44646</v>
      </c>
      <c r="B1306" s="159" t="s">
        <v>1036</v>
      </c>
      <c r="C1306" s="159">
        <v>1</v>
      </c>
      <c r="D1306" s="159"/>
      <c r="E1306" s="159" t="s">
        <v>800</v>
      </c>
      <c r="F1306" s="410"/>
      <c r="G1306" s="394">
        <f>0.7*Tabla33[[#This Row],[CANTIDAD]]</f>
        <v>0.7</v>
      </c>
    </row>
    <row r="1307" spans="1:7" x14ac:dyDescent="0.25">
      <c r="A1307" s="161">
        <v>44647</v>
      </c>
      <c r="B1307" s="162" t="s">
        <v>1036</v>
      </c>
      <c r="C1307" s="162">
        <v>1</v>
      </c>
      <c r="D1307" s="162"/>
      <c r="E1307" s="162" t="s">
        <v>1023</v>
      </c>
      <c r="F1307" s="409"/>
      <c r="G1307" s="458">
        <f>0.7*Tabla33[[#This Row],[CANTIDAD]]</f>
        <v>0.7</v>
      </c>
    </row>
    <row r="1308" spans="1:7" x14ac:dyDescent="0.25">
      <c r="A1308" s="164">
        <v>44647</v>
      </c>
      <c r="B1308" s="158" t="s">
        <v>1026</v>
      </c>
      <c r="C1308" s="158">
        <v>3</v>
      </c>
      <c r="D1308" s="158"/>
      <c r="E1308" s="158" t="s">
        <v>130</v>
      </c>
      <c r="F1308" s="124"/>
      <c r="G1308" s="456">
        <f>0.9*Tabla33[[#This Row],[CANTIDAD]]</f>
        <v>2.7</v>
      </c>
    </row>
    <row r="1309" spans="1:7" x14ac:dyDescent="0.25">
      <c r="A1309" s="164">
        <v>44647</v>
      </c>
      <c r="B1309" s="158" t="s">
        <v>1029</v>
      </c>
      <c r="C1309" s="158">
        <v>2</v>
      </c>
      <c r="D1309" s="158"/>
      <c r="E1309" s="158" t="s">
        <v>130</v>
      </c>
      <c r="F1309" s="124"/>
      <c r="G1309" s="152">
        <f>1*Tabla33[[#This Row],[CANTIDAD]]</f>
        <v>2</v>
      </c>
    </row>
    <row r="1310" spans="1:7" x14ac:dyDescent="0.25">
      <c r="A1310" s="164">
        <v>44647</v>
      </c>
      <c r="B1310" s="158" t="s">
        <v>1037</v>
      </c>
      <c r="C1310" s="158">
        <v>2</v>
      </c>
      <c r="D1310" s="158"/>
      <c r="E1310" s="158" t="s">
        <v>130</v>
      </c>
      <c r="F1310" s="124"/>
      <c r="G1310" s="456">
        <f>1.5*Tabla33[[#This Row],[CANTIDAD]]</f>
        <v>3</v>
      </c>
    </row>
    <row r="1311" spans="1:7" x14ac:dyDescent="0.25">
      <c r="A1311" s="163">
        <v>44647</v>
      </c>
      <c r="B1311" s="159" t="s">
        <v>1040</v>
      </c>
      <c r="C1311" s="159">
        <v>1</v>
      </c>
      <c r="D1311" s="159"/>
      <c r="E1311" s="159" t="s">
        <v>800</v>
      </c>
      <c r="F1311" s="410"/>
      <c r="G1311" s="127">
        <v>2.9</v>
      </c>
    </row>
    <row r="1312" spans="1:7" x14ac:dyDescent="0.25">
      <c r="A1312" s="161">
        <v>44648</v>
      </c>
      <c r="B1312" s="162" t="s">
        <v>1037</v>
      </c>
      <c r="C1312" s="162">
        <v>4</v>
      </c>
      <c r="D1312" s="162"/>
      <c r="E1312" s="162" t="s">
        <v>130</v>
      </c>
      <c r="F1312" s="409"/>
      <c r="G1312" s="415">
        <f>1.5*Tabla33[[#This Row],[CANTIDAD]]</f>
        <v>6</v>
      </c>
    </row>
    <row r="1313" spans="1:7" x14ac:dyDescent="0.25">
      <c r="A1313" s="163">
        <v>44648</v>
      </c>
      <c r="B1313" s="159" t="s">
        <v>1040</v>
      </c>
      <c r="C1313" s="159">
        <v>1</v>
      </c>
      <c r="D1313" s="159"/>
      <c r="E1313" s="159" t="s">
        <v>800</v>
      </c>
      <c r="F1313" s="410"/>
      <c r="G1313" s="127">
        <v>2.9</v>
      </c>
    </row>
    <row r="1314" spans="1:7" x14ac:dyDescent="0.25">
      <c r="A1314" s="171">
        <v>44649</v>
      </c>
      <c r="B1314" s="172" t="s">
        <v>1026</v>
      </c>
      <c r="C1314" s="172">
        <v>2</v>
      </c>
      <c r="D1314" s="172"/>
      <c r="E1314" s="172" t="s">
        <v>130</v>
      </c>
      <c r="F1314" s="411"/>
      <c r="G1314" s="459">
        <f>0.9*Tabla33[[#This Row],[CANTIDAD]]</f>
        <v>1.8</v>
      </c>
    </row>
    <row r="1315" spans="1:7" x14ac:dyDescent="0.25">
      <c r="A1315" s="170">
        <v>44651</v>
      </c>
      <c r="B1315" s="15" t="s">
        <v>1025</v>
      </c>
      <c r="C1315" s="15">
        <v>2</v>
      </c>
      <c r="E1315" s="15" t="s">
        <v>1023</v>
      </c>
      <c r="G1315" s="87">
        <v>1.7</v>
      </c>
    </row>
    <row r="1316" spans="1:7" x14ac:dyDescent="0.25">
      <c r="A1316" s="170"/>
      <c r="E1316" s="15" t="s">
        <v>501</v>
      </c>
      <c r="G1316" s="87">
        <f>SUBTOTAL(109,G1155:G1315)</f>
        <v>339.43999999999977</v>
      </c>
    </row>
    <row r="1317" spans="1:7" x14ac:dyDescent="0.25">
      <c r="A1317" s="170"/>
    </row>
    <row r="1318" spans="1:7" x14ac:dyDescent="0.25">
      <c r="A1318" s="170"/>
    </row>
    <row r="1319" spans="1:7" x14ac:dyDescent="0.25">
      <c r="A1319" s="170"/>
    </row>
    <row r="1320" spans="1:7" x14ac:dyDescent="0.25">
      <c r="A1320" s="170"/>
    </row>
    <row r="1321" spans="1:7" x14ac:dyDescent="0.25">
      <c r="A1321" s="170"/>
    </row>
    <row r="1322" spans="1:7" x14ac:dyDescent="0.25">
      <c r="A1322" s="170"/>
    </row>
    <row r="1323" spans="1:7" x14ac:dyDescent="0.25">
      <c r="A1323" s="170"/>
    </row>
    <row r="1324" spans="1:7" x14ac:dyDescent="0.25">
      <c r="A1324" s="170"/>
    </row>
    <row r="1325" spans="1:7" x14ac:dyDescent="0.25">
      <c r="A1325" s="170"/>
    </row>
    <row r="1326" spans="1:7" x14ac:dyDescent="0.25">
      <c r="A1326" s="170"/>
    </row>
    <row r="1327" spans="1:7" x14ac:dyDescent="0.25">
      <c r="A1327" s="170"/>
    </row>
    <row r="1328" spans="1:7" x14ac:dyDescent="0.25">
      <c r="A1328" s="170"/>
    </row>
    <row r="1329" spans="1:1" x14ac:dyDescent="0.25">
      <c r="A1329" s="170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horizontalDpi="360" verticalDpi="360" r:id="rId1"/>
  <tableParts count="18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VENTAS</vt:lpstr>
      <vt:lpstr>COMPRAS</vt:lpstr>
      <vt:lpstr>CONSUMOS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NEW-PC</cp:lastModifiedBy>
  <cp:lastPrinted>2022-03-08T15:35:36Z</cp:lastPrinted>
  <dcterms:created xsi:type="dcterms:W3CDTF">2021-08-10T12:57:30Z</dcterms:created>
  <dcterms:modified xsi:type="dcterms:W3CDTF">2022-04-08T12:05:58Z</dcterms:modified>
</cp:coreProperties>
</file>