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 AGOSTO 2022\"/>
    </mc:Choice>
  </mc:AlternateContent>
  <bookViews>
    <workbookView xWindow="9585" yWindow="-15" windowWidth="9630" windowHeight="11400" tabRatio="599" firstSheet="21" activeTab="21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U82" i="121" l="1"/>
  <c r="Q82" i="121" l="1"/>
  <c r="K50" i="123"/>
  <c r="Q81" i="125" l="1"/>
  <c r="Q80" i="125"/>
  <c r="U80" i="125"/>
  <c r="U79" i="125"/>
  <c r="Q79" i="125"/>
  <c r="Q78" i="125"/>
  <c r="U78" i="125"/>
  <c r="B71" i="124" l="1"/>
  <c r="B70" i="124"/>
  <c r="R66" i="124"/>
  <c r="R65" i="124"/>
  <c r="U82" i="124"/>
  <c r="Q82" i="124"/>
  <c r="R68" i="124"/>
  <c r="U81" i="124"/>
  <c r="Q81" i="124"/>
  <c r="U80" i="124"/>
  <c r="Q79" i="124"/>
  <c r="U78" i="124"/>
  <c r="Q78" i="124"/>
  <c r="R64" i="124"/>
  <c r="B71" i="123" l="1"/>
  <c r="U81" i="123"/>
  <c r="Q81" i="123"/>
  <c r="U80" i="123"/>
  <c r="Q80" i="123"/>
  <c r="U79" i="123"/>
  <c r="Q79" i="123"/>
  <c r="U78" i="123"/>
  <c r="Q78" i="123"/>
  <c r="R64" i="123"/>
  <c r="B71" i="122" l="1"/>
  <c r="R64" i="122"/>
  <c r="R68" i="122"/>
  <c r="R67" i="122"/>
  <c r="R66" i="122"/>
  <c r="R65" i="122"/>
  <c r="R73" i="122"/>
  <c r="U79" i="122"/>
  <c r="U78" i="122"/>
  <c r="Q78" i="122"/>
  <c r="K50" i="114" l="1"/>
  <c r="B70" i="121"/>
  <c r="R64" i="121"/>
  <c r="Q81" i="121"/>
  <c r="R68" i="121"/>
  <c r="U80" i="121"/>
  <c r="Q80" i="121"/>
  <c r="Q79" i="121" l="1"/>
  <c r="U79" i="121"/>
  <c r="Q78" i="121"/>
  <c r="B70" i="120" l="1"/>
  <c r="Q81" i="120"/>
  <c r="R68" i="120"/>
  <c r="Q82" i="120"/>
  <c r="U81" i="120"/>
  <c r="R74" i="120"/>
  <c r="Q80" i="120"/>
  <c r="U80" i="120"/>
  <c r="Q79" i="120"/>
  <c r="U79" i="120"/>
  <c r="U78" i="120"/>
  <c r="Q78" i="120"/>
  <c r="Q79" i="119" l="1"/>
  <c r="Q80" i="119"/>
  <c r="Q82" i="119"/>
  <c r="U81" i="119"/>
  <c r="Q81" i="119"/>
  <c r="U80" i="119"/>
  <c r="U79" i="119"/>
  <c r="Q78" i="119"/>
  <c r="U78" i="119"/>
  <c r="K50" i="113" l="1"/>
  <c r="Q78" i="113"/>
  <c r="Q82" i="113" l="1"/>
  <c r="B71" i="118" l="1"/>
  <c r="B70" i="118"/>
  <c r="Q82" i="118"/>
  <c r="U81" i="118"/>
  <c r="Q81" i="118"/>
  <c r="U80" i="118"/>
  <c r="Q80" i="118"/>
  <c r="Q79" i="118"/>
  <c r="U79" i="118"/>
  <c r="U78" i="118"/>
  <c r="Q78" i="118"/>
  <c r="B70" i="117" l="1"/>
  <c r="Q82" i="117"/>
  <c r="U81" i="117"/>
  <c r="Q81" i="117"/>
  <c r="U80" i="117"/>
  <c r="Q80" i="117"/>
  <c r="U79" i="117"/>
  <c r="Q79" i="117"/>
  <c r="Q78" i="117"/>
  <c r="U78" i="117"/>
  <c r="B71" i="116" l="1"/>
  <c r="B70" i="116"/>
  <c r="Q82" i="116"/>
  <c r="U82" i="116" l="1"/>
  <c r="U81" i="116"/>
  <c r="U80" i="116"/>
  <c r="Q80" i="116"/>
  <c r="Q79" i="116"/>
  <c r="U78" i="116"/>
  <c r="Q78" i="116"/>
  <c r="B71" i="115" l="1"/>
  <c r="B70" i="115"/>
  <c r="Q82" i="115"/>
  <c r="U81" i="115"/>
  <c r="Q81" i="115"/>
  <c r="U80" i="115"/>
  <c r="Q80" i="115"/>
  <c r="U79" i="115"/>
  <c r="Q79" i="115"/>
  <c r="U78" i="115"/>
  <c r="Q78" i="115"/>
  <c r="U78" i="114" l="1"/>
  <c r="Q78" i="114"/>
  <c r="B70" i="114"/>
  <c r="R68" i="114"/>
  <c r="Q82" i="114"/>
  <c r="R69" i="114"/>
  <c r="Q81" i="114"/>
  <c r="U81" i="114"/>
  <c r="Q80" i="114"/>
  <c r="U80" i="114"/>
  <c r="U79" i="114"/>
  <c r="Q79" i="114"/>
  <c r="B70" i="113" l="1"/>
  <c r="R64" i="113"/>
  <c r="R68" i="113"/>
  <c r="U81" i="113"/>
  <c r="Q81" i="113"/>
  <c r="U80" i="113"/>
  <c r="Q80" i="113"/>
  <c r="Q79" i="113"/>
  <c r="U79" i="113"/>
  <c r="U78" i="113"/>
  <c r="B71" i="112"/>
  <c r="B70" i="112"/>
  <c r="Q82" i="112" l="1"/>
  <c r="U81" i="112"/>
  <c r="Q81" i="112"/>
  <c r="U80" i="112"/>
  <c r="Q80" i="112"/>
  <c r="U79" i="112"/>
  <c r="Q79" i="112"/>
  <c r="U78" i="112"/>
  <c r="Q78" i="112"/>
  <c r="B48" i="110" l="1"/>
  <c r="R68" i="111" l="1"/>
  <c r="Q81" i="111"/>
  <c r="U80" i="111"/>
  <c r="Q80" i="111"/>
  <c r="Q78" i="111"/>
  <c r="U78" i="111"/>
  <c r="Q79" i="110" l="1"/>
  <c r="U79" i="110"/>
  <c r="B70" i="110"/>
  <c r="R66" i="110"/>
  <c r="Q82" i="110"/>
  <c r="R65" i="110"/>
  <c r="U81" i="110"/>
  <c r="Q81" i="110"/>
  <c r="U80" i="110"/>
  <c r="Q80" i="110"/>
  <c r="R68" i="110"/>
  <c r="U78" i="110"/>
  <c r="Q78" i="110"/>
  <c r="D55" i="40" l="1"/>
  <c r="B71" i="40"/>
  <c r="B70" i="40"/>
  <c r="U82" i="40" l="1"/>
  <c r="Q82" i="40"/>
  <c r="Q81" i="40"/>
  <c r="U80" i="40"/>
  <c r="Q80" i="40"/>
  <c r="Q79" i="40"/>
  <c r="U78" i="40"/>
  <c r="Q78" i="40"/>
  <c r="B71" i="139" l="1"/>
  <c r="B70" i="139"/>
  <c r="B71" i="138"/>
  <c r="Q82" i="139"/>
  <c r="U82" i="139"/>
  <c r="Q81" i="139" l="1"/>
  <c r="Q80" i="139"/>
  <c r="U80" i="139"/>
  <c r="Q79" i="139"/>
  <c r="U79" i="139"/>
  <c r="Q78" i="139"/>
  <c r="U78" i="139"/>
  <c r="V27" i="139"/>
  <c r="Y27" i="139" s="1"/>
  <c r="Y28" i="139"/>
  <c r="V28" i="139"/>
  <c r="B70" i="138" l="1"/>
  <c r="U81" i="138"/>
  <c r="Q82" i="138"/>
  <c r="T44" i="138"/>
  <c r="Q81" i="138"/>
  <c r="R74" i="138"/>
  <c r="Q80" i="138"/>
  <c r="U80" i="138"/>
  <c r="U79" i="138"/>
  <c r="Q79" i="138"/>
  <c r="Q78" i="138"/>
  <c r="U79" i="137" l="1"/>
  <c r="U78" i="137"/>
  <c r="Q78" i="137"/>
  <c r="B70" i="137"/>
  <c r="Q82" i="137"/>
  <c r="U81" i="137"/>
  <c r="Q81" i="137"/>
  <c r="U80" i="137"/>
  <c r="Q80" i="137"/>
  <c r="Q79" i="137"/>
  <c r="B70" i="136" l="1"/>
  <c r="B71" i="136"/>
  <c r="B71" i="135"/>
  <c r="B70" i="135"/>
  <c r="R64" i="136"/>
  <c r="R68" i="136"/>
  <c r="Q82" i="136"/>
  <c r="Q81" i="136"/>
  <c r="R65" i="136"/>
  <c r="U80" i="136"/>
  <c r="Q80" i="136"/>
  <c r="U79" i="136"/>
  <c r="Q79" i="136"/>
  <c r="U78" i="136"/>
  <c r="Q78" i="136"/>
  <c r="K37" i="135" l="1"/>
  <c r="P109" i="135"/>
  <c r="P110" i="135"/>
  <c r="B62" i="135" l="1"/>
  <c r="I49" i="135"/>
  <c r="I53" i="135"/>
  <c r="P109" i="139" l="1"/>
  <c r="P107" i="139"/>
  <c r="R74" i="134" l="1"/>
  <c r="Q108" i="134" l="1"/>
  <c r="Q107" i="134"/>
  <c r="Q105" i="134"/>
  <c r="Q104" i="134"/>
  <c r="K37" i="133" l="1"/>
  <c r="P107" i="133"/>
  <c r="R74" i="133" l="1"/>
  <c r="R73" i="133"/>
  <c r="P103" i="133"/>
  <c r="K37" i="132" l="1"/>
  <c r="K29" i="132"/>
  <c r="Q110" i="132" l="1"/>
  <c r="Q109" i="132"/>
  <c r="R74" i="132"/>
  <c r="L36" i="131"/>
  <c r="L35" i="131"/>
  <c r="L30" i="131"/>
  <c r="L29" i="131"/>
  <c r="R65" i="131"/>
  <c r="B62" i="131" l="1"/>
  <c r="R64" i="131"/>
  <c r="R74" i="131"/>
  <c r="R70" i="131"/>
  <c r="B70" i="130"/>
  <c r="R74" i="130" l="1"/>
  <c r="I56" i="130"/>
  <c r="R71" i="130"/>
  <c r="R70" i="130"/>
  <c r="Q111" i="129"/>
  <c r="I56" i="129" l="1"/>
  <c r="J49" i="129"/>
  <c r="I49" i="129"/>
  <c r="R74" i="129"/>
  <c r="K37" i="128" l="1"/>
  <c r="I49" i="128" l="1"/>
  <c r="R67" i="128"/>
  <c r="R70" i="128"/>
  <c r="R74" i="128"/>
  <c r="K37" i="127" l="1"/>
  <c r="R74" i="127"/>
  <c r="B63" i="127"/>
  <c r="I49" i="127" l="1"/>
  <c r="R73" i="127"/>
  <c r="K35" i="126" l="1"/>
  <c r="K29" i="126"/>
  <c r="I50" i="126"/>
  <c r="R74" i="126"/>
  <c r="P108" i="126"/>
  <c r="P104" i="126"/>
  <c r="P103" i="126"/>
  <c r="R108" i="125" l="1"/>
  <c r="Q103" i="124" l="1"/>
  <c r="Q104" i="124"/>
  <c r="Q112" i="124"/>
  <c r="Q111" i="124"/>
  <c r="Q110" i="124"/>
  <c r="B24" i="123"/>
  <c r="R110" i="123"/>
  <c r="L31" i="122" l="1"/>
  <c r="Q110" i="122"/>
  <c r="P109" i="121" l="1"/>
  <c r="P107" i="121" l="1"/>
  <c r="L39" i="120" l="1"/>
  <c r="L37" i="118" l="1"/>
  <c r="Q113" i="117" l="1"/>
  <c r="Q112" i="117"/>
  <c r="Q111" i="117"/>
  <c r="Q110" i="117"/>
  <c r="Q109" i="117"/>
  <c r="Q108" i="117"/>
  <c r="Q107" i="117"/>
  <c r="Q106" i="117"/>
  <c r="Q105" i="117"/>
  <c r="Q104" i="117"/>
  <c r="L39" i="116" l="1"/>
  <c r="P111" i="116" l="1"/>
  <c r="P110" i="116" l="1"/>
  <c r="P109" i="116"/>
  <c r="P101" i="116"/>
  <c r="Q103" i="113" l="1"/>
  <c r="Q109" i="110" l="1"/>
  <c r="Q107" i="110"/>
  <c r="Q108" i="110"/>
  <c r="Q104" i="110"/>
  <c r="Q103" i="110"/>
  <c r="B22" i="113"/>
  <c r="P104" i="40" l="1"/>
  <c r="L39" i="137" l="1"/>
  <c r="Q107" i="137"/>
  <c r="B38" i="137"/>
  <c r="P102" i="136" l="1"/>
  <c r="P101" i="136"/>
  <c r="P103" i="135" l="1"/>
  <c r="B14" i="135" l="1"/>
  <c r="L29" i="133" l="1"/>
  <c r="P101" i="133" l="1"/>
  <c r="P100" i="133" l="1"/>
  <c r="B70" i="132"/>
  <c r="Q108" i="132" l="1"/>
  <c r="B70" i="131"/>
  <c r="P108" i="131" l="1"/>
  <c r="P104" i="130" l="1"/>
  <c r="P103" i="130"/>
  <c r="Q102" i="129"/>
  <c r="Q109" i="129" l="1"/>
  <c r="B70" i="128" l="1"/>
  <c r="R107" i="128" l="1"/>
  <c r="B70" i="127" l="1"/>
  <c r="B14" i="127" l="1"/>
  <c r="B40" i="125" l="1"/>
  <c r="R107" i="125" l="1"/>
  <c r="L39" i="124"/>
  <c r="Q109" i="124"/>
  <c r="Q108" i="124"/>
  <c r="L39" i="123" l="1"/>
  <c r="B70" i="123"/>
  <c r="R107" i="123" l="1"/>
  <c r="Q109" i="122" l="1"/>
  <c r="R69" i="119" l="1"/>
  <c r="B70" i="119"/>
  <c r="Q109" i="119"/>
  <c r="Q107" i="119"/>
  <c r="B70" i="111" l="1"/>
  <c r="P104" i="116" l="1"/>
  <c r="Q106" i="115" l="1"/>
  <c r="Q107" i="114" l="1"/>
  <c r="Q109" i="113" l="1"/>
  <c r="Q104" i="113"/>
  <c r="P105" i="112" l="1"/>
  <c r="P106" i="112"/>
  <c r="P104" i="112"/>
  <c r="P102" i="112"/>
  <c r="Q106" i="110" l="1"/>
  <c r="Q105" i="110"/>
  <c r="L39" i="110"/>
  <c r="Q101" i="110" l="1"/>
  <c r="L31" i="40" l="1"/>
  <c r="P107" i="40" l="1"/>
  <c r="P107" i="138" l="1"/>
  <c r="P101" i="138"/>
  <c r="P109" i="138" l="1"/>
  <c r="L37" i="137"/>
  <c r="L39" i="135" l="1"/>
  <c r="P105" i="135" l="1"/>
  <c r="P104" i="135"/>
  <c r="B19" i="135"/>
  <c r="P108" i="135" l="1"/>
  <c r="J13" i="135"/>
  <c r="J12" i="135"/>
  <c r="J14" i="135"/>
  <c r="L39" i="134"/>
  <c r="L31" i="134"/>
  <c r="T90" i="134" l="1"/>
  <c r="T91" i="134"/>
  <c r="T92" i="134"/>
  <c r="T93" i="134"/>
  <c r="L39" i="133"/>
  <c r="Q100" i="132" l="1"/>
  <c r="B18" i="132"/>
  <c r="Q107" i="132" l="1"/>
  <c r="P107" i="130" l="1"/>
  <c r="L33" i="127" l="1"/>
  <c r="L41" i="127"/>
  <c r="L39" i="126" l="1"/>
  <c r="P109" i="126" l="1"/>
  <c r="L39" i="125" l="1"/>
  <c r="R106" i="125" l="1"/>
  <c r="R102" i="125"/>
  <c r="B14" i="125"/>
  <c r="R103" i="125" l="1"/>
  <c r="R103" i="123" l="1"/>
  <c r="R109" i="123" l="1"/>
  <c r="L29" i="122" l="1"/>
  <c r="Q105" i="122" l="1"/>
  <c r="Q104" i="122" l="1"/>
  <c r="L31" i="119" l="1"/>
  <c r="L39" i="119"/>
  <c r="Q105" i="119" l="1"/>
  <c r="P105" i="118" l="1"/>
  <c r="P108" i="118"/>
  <c r="L29" i="116" l="1"/>
  <c r="P108" i="116"/>
  <c r="L29" i="115" l="1"/>
  <c r="Q110" i="115" l="1"/>
  <c r="B14" i="113" l="1"/>
  <c r="B14" i="112" l="1"/>
  <c r="B14" i="111" l="1"/>
  <c r="P105" i="40" l="1"/>
  <c r="P106" i="40"/>
  <c r="P103" i="138" l="1"/>
  <c r="Q110" i="137"/>
  <c r="P108" i="136" l="1"/>
  <c r="Q110" i="134" l="1"/>
  <c r="Q111" i="134"/>
  <c r="Q103" i="134"/>
  <c r="Q102" i="134"/>
  <c r="Q106" i="134"/>
  <c r="Q109" i="134"/>
  <c r="P106" i="133" l="1"/>
  <c r="P109" i="131" l="1"/>
  <c r="S82" i="131"/>
  <c r="T82" i="131" s="1"/>
  <c r="P108" i="130" l="1"/>
  <c r="P109" i="130"/>
  <c r="P98" i="127" l="1"/>
  <c r="Q98" i="127"/>
  <c r="P111" i="127"/>
  <c r="P110" i="127"/>
  <c r="P109" i="127"/>
  <c r="P108" i="127"/>
  <c r="P107" i="127"/>
  <c r="P106" i="127"/>
  <c r="P105" i="127"/>
  <c r="P104" i="127"/>
  <c r="P103" i="127"/>
  <c r="P101" i="127"/>
  <c r="P102" i="127"/>
  <c r="B50" i="127" l="1"/>
  <c r="B70" i="126" l="1"/>
  <c r="B70" i="125" l="1"/>
  <c r="R109" i="125"/>
  <c r="L37" i="124" l="1"/>
  <c r="L29" i="124"/>
  <c r="R104" i="123" l="1"/>
  <c r="R108" i="123"/>
  <c r="R106" i="123" l="1"/>
  <c r="R105" i="123"/>
  <c r="B70" i="122" l="1"/>
  <c r="P103" i="121"/>
  <c r="L29" i="121"/>
  <c r="F58" i="121" l="1"/>
  <c r="Q108" i="120" l="1"/>
  <c r="Q108" i="119" l="1"/>
  <c r="P111" i="118" l="1"/>
  <c r="L37" i="116" l="1"/>
  <c r="L37" i="115" l="1"/>
  <c r="Q109" i="115"/>
  <c r="Q107" i="115" l="1"/>
  <c r="Q103" i="115"/>
  <c r="Q111" i="114" l="1"/>
  <c r="Q110" i="113" l="1"/>
  <c r="P107" i="112" l="1"/>
  <c r="Q103" i="111" l="1"/>
  <c r="P108" i="40" l="1"/>
  <c r="P103" i="40"/>
  <c r="P100" i="40"/>
  <c r="L35" i="136" l="1"/>
  <c r="L29" i="136"/>
  <c r="P111" i="136"/>
  <c r="P110" i="136"/>
  <c r="P107" i="136"/>
  <c r="L29" i="132" l="1"/>
  <c r="L37" i="132"/>
  <c r="P104" i="131" l="1"/>
  <c r="P100" i="130" l="1"/>
  <c r="P101" i="130"/>
  <c r="R109" i="128" l="1"/>
  <c r="R102" i="128"/>
  <c r="P105" i="126" l="1"/>
  <c r="P107" i="126"/>
  <c r="R104" i="125" l="1"/>
  <c r="R105" i="125"/>
  <c r="R101" i="125"/>
  <c r="L31" i="124" l="1"/>
  <c r="L31" i="123" l="1"/>
  <c r="P111" i="121" l="1"/>
  <c r="P108" i="121"/>
  <c r="P110" i="121"/>
  <c r="P102" i="121" l="1"/>
  <c r="Q109" i="120" l="1"/>
  <c r="Q110" i="120" l="1"/>
  <c r="Q104" i="120"/>
  <c r="Q106" i="119" l="1"/>
  <c r="Q104" i="119" l="1"/>
  <c r="L29" i="118"/>
  <c r="P112" i="118"/>
  <c r="J12" i="118" l="1"/>
  <c r="J13" i="118"/>
  <c r="J15" i="118"/>
  <c r="J17" i="118"/>
  <c r="J18" i="118"/>
  <c r="J21" i="118"/>
  <c r="J23" i="118"/>
  <c r="P103" i="116" l="1"/>
  <c r="Q108" i="115"/>
  <c r="Q105" i="115"/>
  <c r="Q113" i="114" l="1"/>
  <c r="Q112" i="114"/>
  <c r="Q110" i="114"/>
  <c r="Q109" i="114"/>
  <c r="Q105" i="114" l="1"/>
  <c r="L39" i="113"/>
  <c r="L31" i="113"/>
  <c r="Q107" i="113" l="1"/>
  <c r="Q106" i="113"/>
  <c r="P100" i="112" l="1"/>
  <c r="P108" i="112"/>
  <c r="P109" i="112"/>
  <c r="P103" i="112"/>
  <c r="P101" i="112"/>
  <c r="Q98" i="112"/>
  <c r="Q104" i="111" l="1"/>
  <c r="L37" i="110" l="1"/>
  <c r="P102" i="40" l="1"/>
  <c r="P101" i="40"/>
  <c r="L37" i="40"/>
  <c r="L29" i="40"/>
  <c r="L37" i="136" l="1"/>
  <c r="L37" i="135" l="1"/>
  <c r="L29" i="135"/>
  <c r="P107" i="135"/>
  <c r="P101" i="135"/>
  <c r="L37" i="134" l="1"/>
  <c r="L29" i="134"/>
  <c r="B14" i="134"/>
  <c r="L37" i="133" l="1"/>
  <c r="P104" i="133" l="1"/>
  <c r="P102" i="133"/>
  <c r="L37" i="131" l="1"/>
  <c r="P110" i="131" l="1"/>
  <c r="P107" i="131"/>
  <c r="P106" i="131"/>
  <c r="P105" i="131"/>
  <c r="P103" i="131"/>
  <c r="P102" i="131"/>
  <c r="P101" i="131"/>
  <c r="Q112" i="129" l="1"/>
  <c r="Q110" i="129"/>
  <c r="Q108" i="129"/>
  <c r="Q107" i="129"/>
  <c r="Q106" i="129"/>
  <c r="Q105" i="129"/>
  <c r="Q103" i="129"/>
  <c r="L29" i="128" l="1"/>
  <c r="L37" i="128"/>
  <c r="R108" i="128" l="1"/>
  <c r="R110" i="128"/>
  <c r="P106" i="126" l="1"/>
  <c r="R102" i="123" l="1"/>
  <c r="Q111" i="122" l="1"/>
  <c r="Q108" i="122"/>
  <c r="Q107" i="122"/>
  <c r="Q106" i="122"/>
  <c r="Q103" i="122"/>
  <c r="Q102" i="122"/>
  <c r="L37" i="121" l="1"/>
  <c r="P105" i="121" l="1"/>
  <c r="Q107" i="120" l="1"/>
  <c r="Q106" i="120"/>
  <c r="Q105" i="120"/>
  <c r="Q103" i="120"/>
  <c r="L37" i="119" l="1"/>
  <c r="L29" i="119"/>
  <c r="Q111" i="119" l="1"/>
  <c r="Q110" i="119"/>
  <c r="P110" i="118" l="1"/>
  <c r="P109" i="118"/>
  <c r="P107" i="118"/>
  <c r="P106" i="118"/>
  <c r="P101" i="118"/>
  <c r="P107" i="116" l="1"/>
  <c r="P106" i="116"/>
  <c r="P105" i="116"/>
  <c r="P102" i="116"/>
  <c r="L29" i="114" l="1"/>
  <c r="Q106" i="114"/>
  <c r="Q108" i="114" l="1"/>
  <c r="L29" i="113"/>
  <c r="Q105" i="113" l="1"/>
  <c r="Q112" i="113" l="1"/>
  <c r="Q111" i="113"/>
  <c r="Q107" i="111" l="1"/>
  <c r="Q109" i="111"/>
  <c r="Q108" i="111"/>
  <c r="L29" i="110" l="1"/>
  <c r="Q110" i="110"/>
  <c r="P109" i="40" l="1"/>
  <c r="L29" i="139" l="1"/>
  <c r="L37" i="139"/>
  <c r="P110" i="139"/>
  <c r="P108" i="139"/>
  <c r="P106" i="139" l="1"/>
  <c r="P105" i="139"/>
  <c r="P104" i="139"/>
  <c r="P103" i="139"/>
  <c r="P102" i="139"/>
  <c r="P101" i="139"/>
  <c r="L29" i="138"/>
  <c r="L37" i="138"/>
  <c r="P110" i="138" l="1"/>
  <c r="P108" i="138"/>
  <c r="P106" i="138"/>
  <c r="P105" i="138"/>
  <c r="P104" i="138"/>
  <c r="Q109" i="137" l="1"/>
  <c r="L29" i="137"/>
  <c r="Q108" i="137"/>
  <c r="Q106" i="137"/>
  <c r="Q105" i="137"/>
  <c r="Q103" i="137"/>
  <c r="P109" i="136" l="1"/>
  <c r="P106" i="136"/>
  <c r="P105" i="136"/>
  <c r="P104" i="136"/>
  <c r="P103" i="136"/>
  <c r="P106" i="135" l="1"/>
  <c r="P102" i="135"/>
  <c r="Q98" i="134"/>
  <c r="P98" i="134"/>
  <c r="P105" i="133" l="1"/>
  <c r="P109" i="133" l="1"/>
  <c r="P108" i="133"/>
  <c r="Q106" i="132" l="1"/>
  <c r="Q105" i="132"/>
  <c r="Q104" i="132"/>
  <c r="P106" i="130" l="1"/>
  <c r="P105" i="130"/>
  <c r="B14" i="129"/>
  <c r="R106" i="128"/>
  <c r="R105" i="128"/>
  <c r="R101" i="128"/>
  <c r="R104" i="128"/>
  <c r="R103" i="128"/>
  <c r="L37" i="127" l="1"/>
  <c r="L29" i="127" l="1"/>
  <c r="L29" i="126" l="1"/>
  <c r="L37" i="126"/>
  <c r="P110" i="126"/>
  <c r="L29" i="125"/>
  <c r="L37" i="125"/>
  <c r="R100" i="125"/>
  <c r="Q105" i="124" l="1"/>
  <c r="Q107" i="124"/>
  <c r="Q106" i="124"/>
  <c r="R111" i="123" l="1"/>
  <c r="R101" i="123"/>
  <c r="L37" i="123"/>
  <c r="L29" i="123"/>
  <c r="L37" i="122"/>
  <c r="J13" i="122"/>
  <c r="B30" i="122"/>
  <c r="L30" i="122" s="1"/>
  <c r="P106" i="121"/>
  <c r="P104" i="121"/>
  <c r="P101" i="121"/>
  <c r="L37" i="120"/>
  <c r="L29" i="120"/>
  <c r="Q102" i="119" l="1"/>
  <c r="L37" i="117" l="1"/>
  <c r="L29" i="117"/>
  <c r="Q111" i="115" l="1"/>
  <c r="Q104" i="115" l="1"/>
  <c r="Q102" i="115" l="1"/>
  <c r="Q108" i="113" l="1"/>
  <c r="L29" i="112" l="1"/>
  <c r="L37" i="112"/>
  <c r="L29" i="111" l="1"/>
  <c r="L37" i="111"/>
  <c r="Q106" i="111" l="1"/>
  <c r="B14" i="131" l="1"/>
  <c r="L37" i="114" l="1"/>
  <c r="Q102" i="110" l="1"/>
  <c r="Q98" i="138" l="1"/>
  <c r="B16" i="132" l="1"/>
  <c r="Q101" i="120" l="1"/>
  <c r="B30" i="40" l="1"/>
  <c r="L30" i="40" s="1"/>
  <c r="P102" i="138" l="1"/>
  <c r="L37" i="130" l="1"/>
  <c r="L31" i="130"/>
  <c r="L29" i="130"/>
  <c r="Q98" i="120" l="1"/>
  <c r="L37" i="113" l="1"/>
  <c r="Q98" i="113"/>
  <c r="L39" i="40" l="1"/>
  <c r="L29" i="129" l="1"/>
  <c r="L37" i="129"/>
  <c r="Q98" i="119" l="1"/>
  <c r="Q98" i="111" l="1"/>
  <c r="Q102" i="111"/>
  <c r="Q101" i="111"/>
  <c r="Q100" i="111"/>
  <c r="Q98" i="40" l="1"/>
  <c r="B22" i="119" l="1"/>
  <c r="Q101" i="134" l="1"/>
  <c r="Q100" i="134"/>
  <c r="Q103" i="132" l="1"/>
  <c r="Q102" i="132"/>
  <c r="Q101" i="132"/>
  <c r="Q104" i="129" l="1"/>
  <c r="P101" i="126" l="1"/>
  <c r="Q98" i="126" l="1"/>
  <c r="P102" i="126"/>
  <c r="Q98" i="121" l="1"/>
  <c r="Q101" i="115" l="1"/>
  <c r="Q102" i="113" l="1"/>
  <c r="Q98" i="139" l="1"/>
  <c r="Q104" i="137" l="1"/>
  <c r="Q102" i="137"/>
  <c r="Q101" i="137"/>
  <c r="Q98" i="137"/>
  <c r="Q98" i="136" l="1"/>
  <c r="Q98" i="135" l="1"/>
  <c r="Q98" i="133" l="1"/>
  <c r="Q98" i="132" l="1"/>
  <c r="Q98" i="131" l="1"/>
  <c r="P102" i="130" l="1"/>
  <c r="Q98" i="130"/>
  <c r="Q98" i="129" l="1"/>
  <c r="Q98" i="128" l="1"/>
  <c r="Q98" i="125" l="1"/>
  <c r="Q102" i="124" l="1"/>
  <c r="Q101" i="124"/>
  <c r="Q98" i="124"/>
  <c r="Q98" i="123" l="1"/>
  <c r="Q98" i="122" l="1"/>
  <c r="Q102" i="120" l="1"/>
  <c r="Q103" i="119" l="1"/>
  <c r="P104" i="118" l="1"/>
  <c r="Q98" i="118"/>
  <c r="Q98" i="117" l="1"/>
  <c r="Q98" i="116" l="1"/>
  <c r="Q98" i="115" l="1"/>
  <c r="Q104" i="114" l="1"/>
  <c r="Q103" i="114"/>
  <c r="Q98" i="114"/>
  <c r="Q105" i="111" l="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B55" i="139" s="1"/>
  <c r="J55" i="139" s="1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T69" i="139"/>
  <c r="B54" i="139" s="1"/>
  <c r="J54" i="139" s="1"/>
  <c r="R69" i="139"/>
  <c r="B48" i="139" s="1"/>
  <c r="J48" i="139" s="1"/>
  <c r="J69" i="139"/>
  <c r="J64" i="139"/>
  <c r="T63" i="139"/>
  <c r="B53" i="139" s="1"/>
  <c r="J53" i="139" s="1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H54" i="139"/>
  <c r="H53" i="139"/>
  <c r="H52" i="139"/>
  <c r="H51" i="139"/>
  <c r="H50" i="139"/>
  <c r="H49" i="139"/>
  <c r="H48" i="139"/>
  <c r="H47" i="139"/>
  <c r="H46" i="139"/>
  <c r="L45" i="139"/>
  <c r="J45" i="139"/>
  <c r="B43" i="139"/>
  <c r="L43" i="139" s="1"/>
  <c r="T42" i="139"/>
  <c r="B52" i="139" s="1"/>
  <c r="J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B35" i="138"/>
  <c r="L35" i="138" s="1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B40" i="137"/>
  <c r="J39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B55" i="136" s="1"/>
  <c r="J55" i="136" s="1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H54" i="136"/>
  <c r="H53" i="136"/>
  <c r="H52" i="136"/>
  <c r="H51" i="136"/>
  <c r="H50" i="136"/>
  <c r="H49" i="136"/>
  <c r="H48" i="136"/>
  <c r="H47" i="136"/>
  <c r="H46" i="136"/>
  <c r="L45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J37" i="136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20" i="135"/>
  <c r="C34" i="109" s="1"/>
  <c r="L13" i="135"/>
  <c r="L12" i="135"/>
  <c r="X10" i="135"/>
  <c r="V10" i="135"/>
  <c r="U10" i="135"/>
  <c r="Z98" i="134"/>
  <c r="B55" i="134" s="1"/>
  <c r="J55" i="134" s="1"/>
  <c r="V98" i="134"/>
  <c r="U98" i="134"/>
  <c r="B50" i="134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X92" i="134"/>
  <c r="Y92" i="134" s="1"/>
  <c r="S92" i="134"/>
  <c r="X91" i="134"/>
  <c r="Y91" i="134" s="1"/>
  <c r="S91" i="134"/>
  <c r="X90" i="134"/>
  <c r="Y90" i="134" s="1"/>
  <c r="S90" i="134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B40" i="134"/>
  <c r="J39" i="134"/>
  <c r="B38" i="134"/>
  <c r="J37" i="134"/>
  <c r="B35" i="134"/>
  <c r="L35" i="134" s="1"/>
  <c r="L34" i="134"/>
  <c r="B34" i="134"/>
  <c r="J34" i="134" s="1"/>
  <c r="L33" i="134"/>
  <c r="J33" i="134"/>
  <c r="B32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B40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B55" i="132" s="1"/>
  <c r="J55" i="132" s="1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B47" i="132" s="1"/>
  <c r="J47" i="132" s="1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J18" i="132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L38" i="131" s="1"/>
  <c r="J37" i="131"/>
  <c r="B35" i="131"/>
  <c r="L34" i="131"/>
  <c r="B34" i="131"/>
  <c r="J34" i="131" s="1"/>
  <c r="L33" i="131"/>
  <c r="J33" i="131"/>
  <c r="L32" i="131"/>
  <c r="B32" i="131"/>
  <c r="J32" i="131" s="1"/>
  <c r="L31" i="131"/>
  <c r="J31" i="131"/>
  <c r="B30" i="131"/>
  <c r="B36" i="131" s="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B30" i="130"/>
  <c r="L30" i="130" s="1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B50" i="129" s="1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B55" i="128" s="1"/>
  <c r="J55" i="128" s="1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B54" i="128" s="1"/>
  <c r="J54" i="128" s="1"/>
  <c r="R69" i="128"/>
  <c r="B48" i="128" s="1"/>
  <c r="J48" i="128" s="1"/>
  <c r="J69" i="128"/>
  <c r="J64" i="128"/>
  <c r="T63" i="128"/>
  <c r="B53" i="128" s="1"/>
  <c r="J53" i="128" s="1"/>
  <c r="S63" i="128"/>
  <c r="B58" i="128" s="1"/>
  <c r="J58" i="128" s="1"/>
  <c r="R63" i="128"/>
  <c r="B47" i="128" s="1"/>
  <c r="J47" i="128" s="1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H54" i="128"/>
  <c r="H53" i="128"/>
  <c r="H52" i="128"/>
  <c r="H51" i="128"/>
  <c r="H50" i="128"/>
  <c r="H49" i="128"/>
  <c r="H48" i="128"/>
  <c r="H47" i="128"/>
  <c r="H46" i="128"/>
  <c r="L45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J50" i="127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B42" i="127"/>
  <c r="J41" i="127"/>
  <c r="L40" i="127"/>
  <c r="B40" i="127"/>
  <c r="J40" i="127" s="1"/>
  <c r="L39" i="127"/>
  <c r="J39" i="127"/>
  <c r="B38" i="127"/>
  <c r="J37" i="127"/>
  <c r="B35" i="127"/>
  <c r="L35" i="127" s="1"/>
  <c r="B34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20" i="127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B40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J39" i="125"/>
  <c r="B38" i="125"/>
  <c r="L38" i="125" s="1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B16" i="125"/>
  <c r="J16" i="125" s="1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B40" i="124"/>
  <c r="J39" i="124"/>
  <c r="B38" i="124"/>
  <c r="J37" i="124"/>
  <c r="B35" i="124"/>
  <c r="L35" i="124" s="1"/>
  <c r="L34" i="124"/>
  <c r="B34" i="124"/>
  <c r="J34" i="124" s="1"/>
  <c r="L33" i="124"/>
  <c r="J33" i="124"/>
  <c r="B32" i="124"/>
  <c r="J31" i="124"/>
  <c r="B30" i="124"/>
  <c r="L30" i="124" s="1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8" i="123" s="1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B40" i="123"/>
  <c r="J39" i="123"/>
  <c r="B38" i="123"/>
  <c r="J37" i="123"/>
  <c r="B35" i="123"/>
  <c r="L35" i="123" s="1"/>
  <c r="L34" i="123"/>
  <c r="B34" i="123"/>
  <c r="J34" i="123" s="1"/>
  <c r="L33" i="123"/>
  <c r="J33" i="123"/>
  <c r="B32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J24" i="123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B32" i="122"/>
  <c r="J31" i="122"/>
  <c r="B36" i="122"/>
  <c r="L36" i="122" s="1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L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B48" i="121" s="1"/>
  <c r="J48" i="121" s="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B50" i="120" s="1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B40" i="120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B30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B48" i="119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B32" i="119"/>
  <c r="J31" i="119"/>
  <c r="B30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L22" i="118"/>
  <c r="B22" i="118"/>
  <c r="L21" i="118"/>
  <c r="L20" i="118"/>
  <c r="L19" i="118"/>
  <c r="B19" i="118"/>
  <c r="J19" i="118" s="1"/>
  <c r="L18" i="118"/>
  <c r="B18" i="118"/>
  <c r="L17" i="118"/>
  <c r="L16" i="118"/>
  <c r="B16" i="118"/>
  <c r="J16" i="118" s="1"/>
  <c r="L15" i="118"/>
  <c r="L14" i="118"/>
  <c r="B14" i="118"/>
  <c r="L13" i="118"/>
  <c r="L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B53" i="116"/>
  <c r="J53" i="116" s="1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B40" i="116"/>
  <c r="J39" i="116"/>
  <c r="B38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L15" i="115"/>
  <c r="J15" i="115"/>
  <c r="L14" i="115"/>
  <c r="B14" i="115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B48" i="114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B35" i="114"/>
  <c r="L35" i="114" s="1"/>
  <c r="L34" i="114"/>
  <c r="B34" i="114"/>
  <c r="J34" i="114" s="1"/>
  <c r="L33" i="114"/>
  <c r="J33" i="114"/>
  <c r="L32" i="114"/>
  <c r="B32" i="114"/>
  <c r="J32" i="114" s="1"/>
  <c r="L31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B40" i="113"/>
  <c r="J39" i="113"/>
  <c r="B38" i="113"/>
  <c r="J37" i="113"/>
  <c r="B35" i="113"/>
  <c r="L35" i="113" s="1"/>
  <c r="L34" i="113"/>
  <c r="B34" i="113"/>
  <c r="J34" i="113" s="1"/>
  <c r="L33" i="113"/>
  <c r="J33" i="113"/>
  <c r="B32" i="113"/>
  <c r="J31" i="113"/>
  <c r="B30" i="113"/>
  <c r="J29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B28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20" i="113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B43" i="112"/>
  <c r="L43" i="112" s="1"/>
  <c r="T42" i="112"/>
  <c r="B52" i="112" s="1"/>
  <c r="F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20" i="112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J31" i="111"/>
  <c r="B30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20" i="11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J32" i="122" l="1"/>
  <c r="L32" i="122"/>
  <c r="B20" i="120"/>
  <c r="C19" i="109" s="1"/>
  <c r="J40" i="120"/>
  <c r="L40" i="120"/>
  <c r="J40" i="116"/>
  <c r="L40" i="116"/>
  <c r="J40" i="137"/>
  <c r="L40" i="137"/>
  <c r="B36" i="133"/>
  <c r="L36" i="133" s="1"/>
  <c r="L30" i="133"/>
  <c r="B28" i="130"/>
  <c r="J40" i="124"/>
  <c r="L40" i="124"/>
  <c r="J40" i="123"/>
  <c r="L40" i="123"/>
  <c r="B44" i="118"/>
  <c r="L44" i="118" s="1"/>
  <c r="L38" i="118"/>
  <c r="B28" i="118"/>
  <c r="E17" i="109" s="1"/>
  <c r="J22" i="118"/>
  <c r="B44" i="137"/>
  <c r="L44" i="137" s="1"/>
  <c r="L38" i="137"/>
  <c r="J40" i="135"/>
  <c r="L40" i="135"/>
  <c r="J40" i="134"/>
  <c r="L40" i="134"/>
  <c r="J32" i="134"/>
  <c r="L32" i="134"/>
  <c r="J40" i="133"/>
  <c r="L40" i="133"/>
  <c r="J42" i="127"/>
  <c r="L42" i="127"/>
  <c r="J34" i="127"/>
  <c r="L34" i="127"/>
  <c r="J40" i="126"/>
  <c r="L40" i="126"/>
  <c r="J40" i="125"/>
  <c r="L40" i="125"/>
  <c r="J40" i="119"/>
  <c r="L40" i="119"/>
  <c r="J32" i="119"/>
  <c r="L32" i="119"/>
  <c r="B50" i="118"/>
  <c r="J50" i="118" s="1"/>
  <c r="B36" i="116"/>
  <c r="J36" i="116" s="1"/>
  <c r="L30" i="116"/>
  <c r="J50" i="115"/>
  <c r="B36" i="115"/>
  <c r="L36" i="115" s="1"/>
  <c r="L30" i="115"/>
  <c r="B51" i="127"/>
  <c r="J51" i="127" s="1"/>
  <c r="B49" i="127"/>
  <c r="J49" i="127" s="1"/>
  <c r="B44" i="124"/>
  <c r="L44" i="124" s="1"/>
  <c r="L38" i="124"/>
  <c r="B36" i="121"/>
  <c r="L36" i="121" s="1"/>
  <c r="L30" i="121"/>
  <c r="B48" i="120"/>
  <c r="J48" i="120" s="1"/>
  <c r="B44" i="116"/>
  <c r="L44" i="116" s="1"/>
  <c r="L38" i="116"/>
  <c r="B44" i="115"/>
  <c r="L44" i="115" s="1"/>
  <c r="L38" i="115"/>
  <c r="B49" i="138"/>
  <c r="J49" i="138" s="1"/>
  <c r="B36" i="136"/>
  <c r="L36" i="136" s="1"/>
  <c r="L30" i="136"/>
  <c r="B36" i="132"/>
  <c r="L36" i="132" s="1"/>
  <c r="L30" i="132"/>
  <c r="B44" i="132"/>
  <c r="L44" i="132" s="1"/>
  <c r="L38" i="132"/>
  <c r="B36" i="124"/>
  <c r="L36" i="124" s="1"/>
  <c r="J32" i="124"/>
  <c r="L32" i="124"/>
  <c r="J32" i="123"/>
  <c r="L32" i="123"/>
  <c r="B36" i="118"/>
  <c r="L36" i="118" s="1"/>
  <c r="L30" i="118"/>
  <c r="J40" i="113"/>
  <c r="L40" i="113"/>
  <c r="J32" i="113"/>
  <c r="L32" i="113"/>
  <c r="B44" i="110"/>
  <c r="L44" i="110" s="1"/>
  <c r="L38" i="110"/>
  <c r="B44" i="136"/>
  <c r="L44" i="136" s="1"/>
  <c r="L38" i="136"/>
  <c r="B44" i="135"/>
  <c r="L44" i="135" s="1"/>
  <c r="L38" i="135"/>
  <c r="B36" i="135"/>
  <c r="L36" i="135" s="1"/>
  <c r="L30" i="135"/>
  <c r="B44" i="134"/>
  <c r="L44" i="134" s="1"/>
  <c r="L38" i="134"/>
  <c r="B36" i="134"/>
  <c r="L36" i="134" s="1"/>
  <c r="L30" i="134"/>
  <c r="B44" i="133"/>
  <c r="L44" i="133" s="1"/>
  <c r="L38" i="133"/>
  <c r="B49" i="132"/>
  <c r="J49" i="132" s="1"/>
  <c r="B44" i="131"/>
  <c r="L44" i="131" s="1"/>
  <c r="B44" i="128"/>
  <c r="L44" i="128" s="1"/>
  <c r="L38" i="128"/>
  <c r="B36" i="128"/>
  <c r="L36" i="128" s="1"/>
  <c r="L30" i="128"/>
  <c r="B49" i="122"/>
  <c r="J49" i="122" s="1"/>
  <c r="B44" i="121"/>
  <c r="L44" i="121" s="1"/>
  <c r="L38" i="121"/>
  <c r="B50" i="119"/>
  <c r="J50" i="119" s="1"/>
  <c r="B44" i="119"/>
  <c r="L44" i="119" s="1"/>
  <c r="L38" i="119"/>
  <c r="B36" i="119"/>
  <c r="L36" i="119" s="1"/>
  <c r="L30" i="119"/>
  <c r="B20" i="118"/>
  <c r="J14" i="118"/>
  <c r="B36" i="114"/>
  <c r="L36" i="114" s="1"/>
  <c r="L30" i="114"/>
  <c r="B36" i="113"/>
  <c r="L36" i="113" s="1"/>
  <c r="L30" i="113"/>
  <c r="B36" i="110"/>
  <c r="L36" i="110" s="1"/>
  <c r="L30" i="110"/>
  <c r="B36" i="139"/>
  <c r="L36" i="139" s="1"/>
  <c r="L30" i="139"/>
  <c r="B44" i="139"/>
  <c r="L44" i="139" s="1"/>
  <c r="L38" i="139"/>
  <c r="B44" i="138"/>
  <c r="L44" i="138" s="1"/>
  <c r="L38" i="138"/>
  <c r="B36" i="138"/>
  <c r="L36" i="138" s="1"/>
  <c r="L30" i="138"/>
  <c r="B36" i="137"/>
  <c r="L36" i="137" s="1"/>
  <c r="L30" i="137"/>
  <c r="B20" i="133"/>
  <c r="C32" i="109" s="1"/>
  <c r="B44" i="111"/>
  <c r="L44" i="111" s="1"/>
  <c r="L38" i="111"/>
  <c r="B36" i="112"/>
  <c r="L36" i="112" s="1"/>
  <c r="L30" i="112"/>
  <c r="B36" i="117"/>
  <c r="L36" i="117" s="1"/>
  <c r="L30" i="117"/>
  <c r="B44" i="120"/>
  <c r="L44" i="120" s="1"/>
  <c r="L38" i="120"/>
  <c r="B20" i="122"/>
  <c r="C21" i="109" s="1"/>
  <c r="J14" i="122"/>
  <c r="B44" i="122"/>
  <c r="L44" i="122" s="1"/>
  <c r="L38" i="122"/>
  <c r="B44" i="123"/>
  <c r="L44" i="123" s="1"/>
  <c r="L38" i="123"/>
  <c r="B44" i="126"/>
  <c r="L44" i="126" s="1"/>
  <c r="L38" i="126"/>
  <c r="B44" i="127"/>
  <c r="L44" i="127" s="1"/>
  <c r="L38" i="127"/>
  <c r="B36" i="111"/>
  <c r="L30" i="111"/>
  <c r="B44" i="112"/>
  <c r="L44" i="112" s="1"/>
  <c r="L38" i="112"/>
  <c r="B51" i="112"/>
  <c r="J51" i="112" s="1"/>
  <c r="B44" i="117"/>
  <c r="L44" i="117" s="1"/>
  <c r="L38" i="117"/>
  <c r="B36" i="120"/>
  <c r="L36" i="120" s="1"/>
  <c r="L30" i="120"/>
  <c r="B51" i="120"/>
  <c r="J51" i="120" s="1"/>
  <c r="B36" i="123"/>
  <c r="L36" i="123" s="1"/>
  <c r="L30" i="123"/>
  <c r="B36" i="126"/>
  <c r="L36" i="126" s="1"/>
  <c r="L30" i="126"/>
  <c r="B36" i="127"/>
  <c r="L36" i="127" s="1"/>
  <c r="L30" i="127"/>
  <c r="B44" i="125"/>
  <c r="L44" i="125" s="1"/>
  <c r="B36" i="125"/>
  <c r="L36" i="125" s="1"/>
  <c r="L30" i="125"/>
  <c r="J16" i="115"/>
  <c r="B20" i="115"/>
  <c r="C14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J50" i="129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J50" i="120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J35" i="113"/>
  <c r="F12" i="109"/>
  <c r="J43" i="113"/>
  <c r="H12" i="109"/>
  <c r="S98" i="113"/>
  <c r="J28" i="114"/>
  <c r="E13" i="109"/>
  <c r="J27" i="114"/>
  <c r="D13" i="109"/>
  <c r="J19" i="115"/>
  <c r="B14" i="109"/>
  <c r="J35" i="115"/>
  <c r="F14" i="109"/>
  <c r="J43" i="115"/>
  <c r="H14" i="109"/>
  <c r="J28" i="116"/>
  <c r="E15" i="109"/>
  <c r="J27" i="116"/>
  <c r="D15" i="109"/>
  <c r="I15" i="109"/>
  <c r="J19" i="117"/>
  <c r="B16" i="109"/>
  <c r="J35" i="117"/>
  <c r="F16" i="109"/>
  <c r="J43" i="117"/>
  <c r="H16" i="109"/>
  <c r="J28" i="118"/>
  <c r="J27" i="118"/>
  <c r="D17" i="109"/>
  <c r="J19" i="119"/>
  <c r="B18" i="109"/>
  <c r="J36" i="119"/>
  <c r="J35" i="119"/>
  <c r="F18" i="109"/>
  <c r="J43" i="119"/>
  <c r="H18" i="109"/>
  <c r="J28" i="120"/>
  <c r="E19" i="109"/>
  <c r="J27" i="120"/>
  <c r="D19" i="109"/>
  <c r="J44" i="120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G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J28" i="115"/>
  <c r="E14" i="109"/>
  <c r="J27" i="115"/>
  <c r="D14" i="109"/>
  <c r="J19" i="116"/>
  <c r="B15" i="109"/>
  <c r="J35" i="116"/>
  <c r="F15" i="109"/>
  <c r="J43" i="116"/>
  <c r="H15" i="109"/>
  <c r="J28" i="117"/>
  <c r="E16" i="109"/>
  <c r="J27" i="117"/>
  <c r="D16" i="109"/>
  <c r="B17" i="109"/>
  <c r="J36" i="118"/>
  <c r="J35" i="118"/>
  <c r="F17" i="109"/>
  <c r="J43" i="118"/>
  <c r="H17" i="109"/>
  <c r="J28" i="119"/>
  <c r="E18" i="109"/>
  <c r="J27" i="119"/>
  <c r="D18" i="109"/>
  <c r="J19" i="120"/>
  <c r="B19" i="109"/>
  <c r="J35" i="120"/>
  <c r="F19" i="109"/>
  <c r="J43" i="120"/>
  <c r="H19" i="109"/>
  <c r="J28" i="121"/>
  <c r="E20" i="109"/>
  <c r="J27" i="121"/>
  <c r="D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19" i="126"/>
  <c r="B25" i="109"/>
  <c r="G25" i="109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19" i="132"/>
  <c r="B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19" i="138"/>
  <c r="B37" i="109"/>
  <c r="J36" i="138"/>
  <c r="J35" i="138"/>
  <c r="F37" i="109"/>
  <c r="J43" i="138"/>
  <c r="H37" i="109"/>
  <c r="J28" i="139"/>
  <c r="E38" i="109"/>
  <c r="J27" i="139"/>
  <c r="D38" i="10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W27" i="139"/>
  <c r="Z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98" i="123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30" i="118"/>
  <c r="J38" i="118"/>
  <c r="D47" i="118"/>
  <c r="F47" i="118" s="1"/>
  <c r="D48" i="118"/>
  <c r="F48" i="118" s="1"/>
  <c r="D49" i="118"/>
  <c r="F49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I24" i="109" l="1"/>
  <c r="D48" i="120"/>
  <c r="F48" i="120" s="1"/>
  <c r="J44" i="118"/>
  <c r="J44" i="139"/>
  <c r="G38" i="109"/>
  <c r="J44" i="137"/>
  <c r="J44" i="132"/>
  <c r="G20" i="109"/>
  <c r="I17" i="109"/>
  <c r="G17" i="109"/>
  <c r="G15" i="109"/>
  <c r="J36" i="115"/>
  <c r="J36" i="113"/>
  <c r="I36" i="109"/>
  <c r="J44" i="136"/>
  <c r="J36" i="136"/>
  <c r="J44" i="135"/>
  <c r="G34" i="109"/>
  <c r="J44" i="134"/>
  <c r="G53" i="132"/>
  <c r="J44" i="124"/>
  <c r="D50" i="118"/>
  <c r="F50" i="118" s="1"/>
  <c r="D51" i="116"/>
  <c r="F51" i="116" s="1"/>
  <c r="B65" i="115"/>
  <c r="I14" i="109"/>
  <c r="G14" i="109"/>
  <c r="G9" i="109"/>
  <c r="J44" i="110"/>
  <c r="G31" i="109"/>
  <c r="J36" i="128"/>
  <c r="D49" i="127"/>
  <c r="F49" i="127" s="1"/>
  <c r="B65" i="127"/>
  <c r="B71" i="127" s="1"/>
  <c r="G86" i="127"/>
  <c r="H81" i="127" s="1"/>
  <c r="T98" i="127"/>
  <c r="G24" i="109"/>
  <c r="J36" i="124"/>
  <c r="I23" i="109"/>
  <c r="J44" i="121"/>
  <c r="J36" i="121"/>
  <c r="J44" i="119"/>
  <c r="G18" i="109"/>
  <c r="G16" i="109"/>
  <c r="J44" i="117"/>
  <c r="J44" i="116"/>
  <c r="J20" i="115"/>
  <c r="G13" i="109"/>
  <c r="I9" i="109"/>
  <c r="D49" i="138"/>
  <c r="F49" i="138" s="1"/>
  <c r="I37" i="109"/>
  <c r="J44" i="138"/>
  <c r="G35" i="109"/>
  <c r="I34" i="109"/>
  <c r="J36" i="135"/>
  <c r="J36" i="134"/>
  <c r="G33" i="109"/>
  <c r="I33" i="109"/>
  <c r="D49" i="132"/>
  <c r="F49" i="132" s="1"/>
  <c r="I31" i="109"/>
  <c r="J36" i="132"/>
  <c r="I30" i="109"/>
  <c r="J44" i="131"/>
  <c r="I27" i="109"/>
  <c r="G27" i="109"/>
  <c r="J44" i="128"/>
  <c r="G23" i="109"/>
  <c r="D49" i="122"/>
  <c r="F49" i="122" s="1"/>
  <c r="J44" i="122"/>
  <c r="I19" i="109"/>
  <c r="J44" i="114"/>
  <c r="G11" i="109"/>
  <c r="I10" i="109"/>
  <c r="J36" i="111"/>
  <c r="L36" i="111"/>
  <c r="F53" i="137"/>
  <c r="G53" i="137" s="1"/>
  <c r="G56" i="137"/>
  <c r="C37" i="143" s="1"/>
  <c r="H37" i="143" s="1"/>
  <c r="J36" i="137"/>
  <c r="I35" i="109"/>
  <c r="I32" i="109"/>
  <c r="J44" i="133"/>
  <c r="J36" i="127"/>
  <c r="I25" i="109"/>
  <c r="J36" i="126"/>
  <c r="J44" i="126"/>
  <c r="I20" i="109"/>
  <c r="G19" i="109"/>
  <c r="D50" i="119"/>
  <c r="F50" i="119" s="1"/>
  <c r="I18" i="109"/>
  <c r="C17" i="109"/>
  <c r="J20" i="118"/>
  <c r="I16" i="109"/>
  <c r="J36" i="114"/>
  <c r="J20" i="114"/>
  <c r="G12" i="109"/>
  <c r="B65" i="112"/>
  <c r="J44" i="112"/>
  <c r="J44" i="111"/>
  <c r="G10" i="109"/>
  <c r="J36" i="110"/>
  <c r="G37" i="109"/>
  <c r="G36" i="109"/>
  <c r="T98" i="134"/>
  <c r="J20" i="133"/>
  <c r="G52" i="132"/>
  <c r="L52" i="132" s="1"/>
  <c r="J44" i="130"/>
  <c r="I26" i="109"/>
  <c r="G26" i="109"/>
  <c r="J44" i="127"/>
  <c r="J44" i="125"/>
  <c r="J36" i="125"/>
  <c r="J44" i="123"/>
  <c r="G22" i="109"/>
  <c r="B65" i="123"/>
  <c r="I22" i="109"/>
  <c r="J36" i="123"/>
  <c r="I21" i="109"/>
  <c r="D51" i="120"/>
  <c r="F51" i="120" s="1"/>
  <c r="J36" i="120"/>
  <c r="J36" i="117"/>
  <c r="I12" i="109"/>
  <c r="D51" i="112"/>
  <c r="F51" i="112" s="1"/>
  <c r="J36" i="112"/>
  <c r="I11" i="109"/>
  <c r="G54" i="111"/>
  <c r="X75" i="111"/>
  <c r="G29" i="109"/>
  <c r="G52" i="124"/>
  <c r="D50" i="121"/>
  <c r="F50" i="121" s="1"/>
  <c r="G52" i="117"/>
  <c r="L52" i="117" s="1"/>
  <c r="I13" i="109"/>
  <c r="J44" i="113"/>
  <c r="G54" i="112"/>
  <c r="G53" i="135"/>
  <c r="L53" i="135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C29" i="140" s="1"/>
  <c r="H29" i="140" s="1"/>
  <c r="G56" i="122"/>
  <c r="L56" i="122" s="1"/>
  <c r="B65" i="118"/>
  <c r="D51" i="117"/>
  <c r="F51" i="117" s="1"/>
  <c r="G56" i="116"/>
  <c r="C16" i="143" s="1"/>
  <c r="H16" i="143" s="1"/>
  <c r="B65" i="116"/>
  <c r="B65" i="110"/>
  <c r="B71" i="110" s="1"/>
  <c r="D51" i="138"/>
  <c r="F51" i="138" s="1"/>
  <c r="D51" i="137"/>
  <c r="F51" i="137" s="1"/>
  <c r="D50" i="137"/>
  <c r="F50" i="137" s="1"/>
  <c r="B65" i="137"/>
  <c r="B71" i="137" s="1"/>
  <c r="G56" i="127"/>
  <c r="C27" i="143" s="1"/>
  <c r="H27" i="143" s="1"/>
  <c r="D51" i="121"/>
  <c r="F51" i="121" s="1"/>
  <c r="G58" i="118"/>
  <c r="L58" i="118" s="1"/>
  <c r="D51" i="118"/>
  <c r="F51" i="118" s="1"/>
  <c r="B65" i="113"/>
  <c r="B71" i="113" s="1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L54" i="114" s="1"/>
  <c r="G54" i="115"/>
  <c r="G58" i="116"/>
  <c r="L58" i="116" s="1"/>
  <c r="G54" i="119"/>
  <c r="L54" i="119" s="1"/>
  <c r="G54" i="120"/>
  <c r="G54" i="121"/>
  <c r="L54" i="121" s="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D51" i="122"/>
  <c r="F51" i="122" s="1"/>
  <c r="D50" i="122"/>
  <c r="F50" i="122" s="1"/>
  <c r="D51" i="119"/>
  <c r="F51" i="119" s="1"/>
  <c r="B65" i="119"/>
  <c r="B71" i="119" s="1"/>
  <c r="G56" i="110"/>
  <c r="L56" i="110" s="1"/>
  <c r="G56" i="111"/>
  <c r="L56" i="111" s="1"/>
  <c r="G55" i="111"/>
  <c r="G58" i="112"/>
  <c r="L58" i="112" s="1"/>
  <c r="G56" i="112"/>
  <c r="L56" i="112" s="1"/>
  <c r="G55" i="112"/>
  <c r="D12" i="141" s="1"/>
  <c r="J12" i="141" s="1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D34" i="141" s="1"/>
  <c r="J34" i="141" s="1"/>
  <c r="G54" i="134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G53" i="139"/>
  <c r="C39" i="140" s="1"/>
  <c r="H39" i="140" s="1"/>
  <c r="X75" i="139"/>
  <c r="D50" i="139"/>
  <c r="F50" i="139" s="1"/>
  <c r="G47" i="139"/>
  <c r="L47" i="139" s="1"/>
  <c r="D51" i="139"/>
  <c r="F51" i="139" s="1"/>
  <c r="B65" i="139"/>
  <c r="G51" i="139"/>
  <c r="C39" i="141" s="1"/>
  <c r="G56" i="138"/>
  <c r="C38" i="143" s="1"/>
  <c r="H38" i="143" s="1"/>
  <c r="G54" i="138"/>
  <c r="G53" i="138"/>
  <c r="L53" i="138" s="1"/>
  <c r="X75" i="138"/>
  <c r="G48" i="138"/>
  <c r="B38" i="142" s="1"/>
  <c r="G47" i="138"/>
  <c r="L47" i="138" s="1"/>
  <c r="G56" i="123"/>
  <c r="L56" i="123" s="1"/>
  <c r="G55" i="130"/>
  <c r="D30" i="141" s="1"/>
  <c r="J30" i="141" s="1"/>
  <c r="G54" i="130"/>
  <c r="X75" i="135"/>
  <c r="G49" i="136"/>
  <c r="B36" i="143" s="1"/>
  <c r="G48" i="136"/>
  <c r="B36" i="142" s="1"/>
  <c r="G58" i="139"/>
  <c r="L58" i="139" s="1"/>
  <c r="G54" i="117"/>
  <c r="L54" i="117" s="1"/>
  <c r="X75" i="117"/>
  <c r="G58" i="120"/>
  <c r="L58" i="120" s="1"/>
  <c r="G56" i="120"/>
  <c r="L56" i="120" s="1"/>
  <c r="G55" i="120"/>
  <c r="D20" i="141" s="1"/>
  <c r="J20" i="141" s="1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L54" i="129" s="1"/>
  <c r="G58" i="138"/>
  <c r="L58" i="138" s="1"/>
  <c r="G54" i="137"/>
  <c r="L54" i="137" s="1"/>
  <c r="X75" i="137"/>
  <c r="G49" i="137"/>
  <c r="B37" i="143" s="1"/>
  <c r="G48" i="137"/>
  <c r="L48" i="137" s="1"/>
  <c r="G47" i="137"/>
  <c r="L47" i="137" s="1"/>
  <c r="G50" i="136"/>
  <c r="L50" i="136" s="1"/>
  <c r="G47" i="136"/>
  <c r="B36" i="140" s="1"/>
  <c r="G56" i="136"/>
  <c r="L56" i="136" s="1"/>
  <c r="G54" i="136"/>
  <c r="L54" i="136" s="1"/>
  <c r="G53" i="136"/>
  <c r="L53" i="136" s="1"/>
  <c r="D50" i="135"/>
  <c r="F50" i="135" s="1"/>
  <c r="B65" i="135"/>
  <c r="G55" i="133"/>
  <c r="G54" i="133"/>
  <c r="L54" i="133" s="1"/>
  <c r="G53" i="133"/>
  <c r="L53" i="133" s="1"/>
  <c r="G55" i="131"/>
  <c r="L55" i="131" s="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B28" i="142" s="1"/>
  <c r="G47" i="128"/>
  <c r="B28" i="140" s="1"/>
  <c r="G51" i="127"/>
  <c r="C27" i="141" s="1"/>
  <c r="G54" i="127"/>
  <c r="C27" i="142" s="1"/>
  <c r="H27" i="142" s="1"/>
  <c r="G53" i="127"/>
  <c r="L53" i="127" s="1"/>
  <c r="X75" i="127"/>
  <c r="G50" i="127"/>
  <c r="B27" i="141" s="1"/>
  <c r="G48" i="127"/>
  <c r="B27" i="142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D10" i="141" s="1"/>
  <c r="J10" i="141" s="1"/>
  <c r="G54" i="110"/>
  <c r="G53" i="110"/>
  <c r="L53" i="110" s="1"/>
  <c r="G49" i="111"/>
  <c r="L49" i="111" s="1"/>
  <c r="G48" i="111"/>
  <c r="B11" i="142" s="1"/>
  <c r="G55" i="113"/>
  <c r="G54" i="113"/>
  <c r="L54" i="113" s="1"/>
  <c r="G58" i="117"/>
  <c r="L58" i="117" s="1"/>
  <c r="G56" i="117"/>
  <c r="C17" i="143" s="1"/>
  <c r="H17" i="143" s="1"/>
  <c r="G55" i="117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L56" i="134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D16" i="141" s="1"/>
  <c r="J16" i="141" s="1"/>
  <c r="G54" i="116"/>
  <c r="G53" i="121"/>
  <c r="L53" i="121" s="1"/>
  <c r="G55" i="125"/>
  <c r="G54" i="125"/>
  <c r="L54" i="125" s="1"/>
  <c r="G53" i="125"/>
  <c r="C25" i="140" s="1"/>
  <c r="H25" i="140" s="1"/>
  <c r="G49" i="125"/>
  <c r="L49" i="125" s="1"/>
  <c r="G48" i="125"/>
  <c r="L48" i="125" s="1"/>
  <c r="G47" i="125"/>
  <c r="B25" i="140" s="1"/>
  <c r="G56" i="124"/>
  <c r="L56" i="124" s="1"/>
  <c r="G55" i="124"/>
  <c r="D24" i="141" s="1"/>
  <c r="J24" i="141" s="1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1" i="123"/>
  <c r="L51" i="123" s="1"/>
  <c r="G55" i="123"/>
  <c r="D23" i="141" s="1"/>
  <c r="J23" i="141" s="1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C22" i="142" s="1"/>
  <c r="H22" i="142" s="1"/>
  <c r="G53" i="122"/>
  <c r="C22" i="140" s="1"/>
  <c r="H22" i="140" s="1"/>
  <c r="G48" i="122"/>
  <c r="L48" i="122" s="1"/>
  <c r="G47" i="122"/>
  <c r="B22" i="140" s="1"/>
  <c r="B65" i="122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B71" i="120" s="1"/>
  <c r="G53" i="120"/>
  <c r="X75" i="120"/>
  <c r="G49" i="120"/>
  <c r="B20" i="143" s="1"/>
  <c r="G47" i="120"/>
  <c r="L47" i="120" s="1"/>
  <c r="G53" i="119"/>
  <c r="L53" i="119" s="1"/>
  <c r="X75" i="119"/>
  <c r="G49" i="119"/>
  <c r="L49" i="119" s="1"/>
  <c r="G48" i="119"/>
  <c r="L48" i="119" s="1"/>
  <c r="G47" i="119"/>
  <c r="L47" i="119" s="1"/>
  <c r="G56" i="119"/>
  <c r="C19" i="143" s="1"/>
  <c r="H19" i="143" s="1"/>
  <c r="G55" i="119"/>
  <c r="L55" i="119" s="1"/>
  <c r="G53" i="118"/>
  <c r="C18" i="140" s="1"/>
  <c r="H18" i="140" s="1"/>
  <c r="X75" i="118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B15" i="142" s="1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L48" i="114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C11" i="140"/>
  <c r="H11" i="140" s="1"/>
  <c r="C16" i="140"/>
  <c r="H16" i="140" s="1"/>
  <c r="L53" i="118"/>
  <c r="L53" i="120"/>
  <c r="C20" i="140"/>
  <c r="H20" i="140" s="1"/>
  <c r="L53" i="123"/>
  <c r="C24" i="140"/>
  <c r="H24" i="140" s="1"/>
  <c r="L53" i="125"/>
  <c r="C27" i="140"/>
  <c r="H27" i="140" s="1"/>
  <c r="L53" i="128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C33" i="142"/>
  <c r="H33" i="142" s="1"/>
  <c r="L54" i="134"/>
  <c r="C34" i="142"/>
  <c r="H34" i="142" s="1"/>
  <c r="C36" i="140"/>
  <c r="H36" i="140" s="1"/>
  <c r="L53" i="139"/>
  <c r="L55" i="111"/>
  <c r="D11" i="141"/>
  <c r="J11" i="141" s="1"/>
  <c r="L55" i="112"/>
  <c r="L55" i="113"/>
  <c r="D13" i="141"/>
  <c r="J13" i="141" s="1"/>
  <c r="L55" i="114"/>
  <c r="D14" i="141"/>
  <c r="J14" i="141" s="1"/>
  <c r="L55" i="115"/>
  <c r="D15" i="141"/>
  <c r="J15" i="141" s="1"/>
  <c r="L55" i="116"/>
  <c r="L55" i="117"/>
  <c r="D17" i="141"/>
  <c r="J17" i="141" s="1"/>
  <c r="L55" i="118"/>
  <c r="D18" i="141"/>
  <c r="J18" i="141" s="1"/>
  <c r="D19" i="141"/>
  <c r="J19" i="141" s="1"/>
  <c r="L55" i="120"/>
  <c r="L55" i="121"/>
  <c r="D21" i="141"/>
  <c r="J21" i="141" s="1"/>
  <c r="L55" i="122"/>
  <c r="D22" i="141"/>
  <c r="J22" i="141" s="1"/>
  <c r="L55" i="123"/>
  <c r="L55" i="124"/>
  <c r="L55" i="125"/>
  <c r="D25" i="141"/>
  <c r="J25" i="141" s="1"/>
  <c r="D26" i="141"/>
  <c r="J26" i="141" s="1"/>
  <c r="D27" i="141"/>
  <c r="J27" i="141" s="1"/>
  <c r="L56" i="130"/>
  <c r="C34" i="143"/>
  <c r="H34" i="143" s="1"/>
  <c r="D36" i="141"/>
  <c r="J36" i="141" s="1"/>
  <c r="L55" i="138"/>
  <c r="D38" i="141"/>
  <c r="J38" i="141" s="1"/>
  <c r="D39" i="141"/>
  <c r="J39" i="141" s="1"/>
  <c r="C21" i="142"/>
  <c r="H21" i="142" s="1"/>
  <c r="L54" i="123"/>
  <c r="C23" i="142"/>
  <c r="H23" i="142" s="1"/>
  <c r="L54" i="124"/>
  <c r="C24" i="142"/>
  <c r="H24" i="142" s="1"/>
  <c r="C25" i="142"/>
  <c r="H25" i="142" s="1"/>
  <c r="L54" i="126"/>
  <c r="C26" i="142"/>
  <c r="H26" i="142" s="1"/>
  <c r="L54" i="127"/>
  <c r="L54" i="128"/>
  <c r="C28" i="142"/>
  <c r="H28" i="142" s="1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C37" i="142"/>
  <c r="H37" i="142" s="1"/>
  <c r="B37" i="142"/>
  <c r="L54" i="138"/>
  <c r="C38" i="142"/>
  <c r="H38" i="142" s="1"/>
  <c r="L54" i="139"/>
  <c r="C39" i="142"/>
  <c r="H39" i="142" s="1"/>
  <c r="L54" i="110"/>
  <c r="C10" i="142"/>
  <c r="H10" i="142" s="1"/>
  <c r="L54" i="111"/>
  <c r="C11" i="142"/>
  <c r="H11" i="142" s="1"/>
  <c r="C12" i="143"/>
  <c r="H12" i="143" s="1"/>
  <c r="L54" i="112"/>
  <c r="C12" i="142"/>
  <c r="H12" i="142" s="1"/>
  <c r="C13" i="142"/>
  <c r="H13" i="142" s="1"/>
  <c r="C14" i="142"/>
  <c r="H14" i="142" s="1"/>
  <c r="L54" i="115"/>
  <c r="C15" i="142"/>
  <c r="H15" i="142" s="1"/>
  <c r="L54" i="116"/>
  <c r="C16" i="142"/>
  <c r="H16" i="142" s="1"/>
  <c r="C17" i="142"/>
  <c r="H17" i="142" s="1"/>
  <c r="L54" i="118"/>
  <c r="C18" i="142"/>
  <c r="H18" i="142" s="1"/>
  <c r="C19" i="142"/>
  <c r="H19" i="142" s="1"/>
  <c r="L54" i="120"/>
  <c r="C20" i="142"/>
  <c r="H20" i="142" s="1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5" i="130"/>
  <c r="C30" i="140"/>
  <c r="H30" i="140" s="1"/>
  <c r="D31" i="141"/>
  <c r="J31" i="141" s="1"/>
  <c r="L55" i="132"/>
  <c r="D32" i="141"/>
  <c r="J32" i="141" s="1"/>
  <c r="L53" i="132"/>
  <c r="C32" i="140"/>
  <c r="H32" i="140" s="1"/>
  <c r="L55" i="133"/>
  <c r="D33" i="141"/>
  <c r="J33" i="141" s="1"/>
  <c r="L55" i="134"/>
  <c r="L53" i="134"/>
  <c r="L55" i="135"/>
  <c r="D35" i="141"/>
  <c r="J35" i="141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3" i="40"/>
  <c r="L34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B48" i="40" s="1"/>
  <c r="J48" i="40" s="1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B38" i="40"/>
  <c r="B43" i="40"/>
  <c r="L43" i="40" s="1"/>
  <c r="B35" i="40"/>
  <c r="L35" i="40" s="1"/>
  <c r="B34" i="40"/>
  <c r="J34" i="40" s="1"/>
  <c r="B32" i="40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G48" i="120" l="1"/>
  <c r="L48" i="120" s="1"/>
  <c r="L55" i="110"/>
  <c r="B39" i="140"/>
  <c r="G51" i="138"/>
  <c r="L51" i="138" s="1"/>
  <c r="L56" i="139"/>
  <c r="G51" i="136"/>
  <c r="C36" i="141" s="1"/>
  <c r="G49" i="132"/>
  <c r="L49" i="132" s="1"/>
  <c r="L56" i="129"/>
  <c r="D61" i="116"/>
  <c r="G51" i="116"/>
  <c r="L51" i="116" s="1"/>
  <c r="G51" i="115"/>
  <c r="C15" i="141" s="1"/>
  <c r="J32" i="40"/>
  <c r="L32" i="40"/>
  <c r="G49" i="138"/>
  <c r="B38" i="143" s="1"/>
  <c r="D38" i="143" s="1"/>
  <c r="C35" i="140"/>
  <c r="H35" i="140" s="1"/>
  <c r="C35" i="142"/>
  <c r="H35" i="142" s="1"/>
  <c r="L54" i="122"/>
  <c r="L48" i="121"/>
  <c r="C20" i="143"/>
  <c r="H20" i="143" s="1"/>
  <c r="L56" i="118"/>
  <c r="G50" i="118"/>
  <c r="L50" i="118" s="1"/>
  <c r="F61" i="116"/>
  <c r="G51" i="133"/>
  <c r="C33" i="141" s="1"/>
  <c r="D61" i="127"/>
  <c r="G49" i="127"/>
  <c r="B27" i="143" s="1"/>
  <c r="D27" i="143" s="1"/>
  <c r="L56" i="125"/>
  <c r="B25" i="142"/>
  <c r="D25" i="142" s="1"/>
  <c r="C24" i="143"/>
  <c r="H24" i="143" s="1"/>
  <c r="L56" i="114"/>
  <c r="C10" i="140"/>
  <c r="H10" i="140" s="1"/>
  <c r="L48" i="138"/>
  <c r="L56" i="137"/>
  <c r="C32" i="34"/>
  <c r="H32" i="34" s="1"/>
  <c r="L53" i="129"/>
  <c r="L56" i="128"/>
  <c r="L48" i="127"/>
  <c r="C23" i="143"/>
  <c r="H23" i="143" s="1"/>
  <c r="G49" i="122"/>
  <c r="B22" i="143" s="1"/>
  <c r="G22" i="143" s="1"/>
  <c r="G51" i="121"/>
  <c r="C21" i="141" s="1"/>
  <c r="G50" i="121"/>
  <c r="L50" i="121" s="1"/>
  <c r="G51" i="120"/>
  <c r="C20" i="141" s="1"/>
  <c r="G51" i="119"/>
  <c r="L51" i="119" s="1"/>
  <c r="G50" i="119"/>
  <c r="B19" i="141" s="1"/>
  <c r="I19" i="141" s="1"/>
  <c r="G51" i="118"/>
  <c r="C18" i="141" s="1"/>
  <c r="G50" i="117"/>
  <c r="L50" i="117" s="1"/>
  <c r="G51" i="117"/>
  <c r="L51" i="117" s="1"/>
  <c r="C13" i="143"/>
  <c r="H13" i="143" s="1"/>
  <c r="G51" i="112"/>
  <c r="C12" i="141" s="1"/>
  <c r="G51" i="111"/>
  <c r="L51" i="111" s="1"/>
  <c r="L48" i="110"/>
  <c r="J38" i="40"/>
  <c r="L38" i="40"/>
  <c r="L48" i="139"/>
  <c r="C37" i="140"/>
  <c r="H37" i="140" s="1"/>
  <c r="L53" i="137"/>
  <c r="L48" i="136"/>
  <c r="L56" i="135"/>
  <c r="L48" i="128"/>
  <c r="L47" i="126"/>
  <c r="C26" i="140"/>
  <c r="H26" i="140" s="1"/>
  <c r="L48" i="118"/>
  <c r="B16" i="140"/>
  <c r="D16" i="140" s="1"/>
  <c r="L49" i="116"/>
  <c r="F61" i="134"/>
  <c r="L49" i="127"/>
  <c r="L56" i="127"/>
  <c r="B23" i="142"/>
  <c r="D23" i="142" s="1"/>
  <c r="L48" i="115"/>
  <c r="B14" i="142"/>
  <c r="G14" i="142" s="1"/>
  <c r="L53" i="114"/>
  <c r="L48" i="113"/>
  <c r="F61" i="112"/>
  <c r="D61" i="112"/>
  <c r="L48" i="111"/>
  <c r="L52" i="136"/>
  <c r="L52" i="135"/>
  <c r="J71" i="136"/>
  <c r="L53" i="131"/>
  <c r="L48" i="116"/>
  <c r="C15" i="143"/>
  <c r="H15" i="143" s="1"/>
  <c r="B38" i="140"/>
  <c r="G38" i="140" s="1"/>
  <c r="L49" i="138"/>
  <c r="C36" i="143"/>
  <c r="H36" i="143" s="1"/>
  <c r="C26" i="143"/>
  <c r="H26" i="143" s="1"/>
  <c r="D37" i="141"/>
  <c r="J37" i="141" s="1"/>
  <c r="D28" i="141"/>
  <c r="J28" i="141" s="1"/>
  <c r="C21" i="140"/>
  <c r="H21" i="140" s="1"/>
  <c r="C17" i="140"/>
  <c r="H17" i="140" s="1"/>
  <c r="B26" i="142"/>
  <c r="G26" i="142" s="1"/>
  <c r="G50" i="125"/>
  <c r="L50" i="125" s="1"/>
  <c r="D61" i="125"/>
  <c r="G51" i="125"/>
  <c r="B24" i="142"/>
  <c r="G24" i="142" s="1"/>
  <c r="B22" i="142"/>
  <c r="D22" i="142" s="1"/>
  <c r="B20" i="142"/>
  <c r="G20" i="142" s="1"/>
  <c r="C17" i="34"/>
  <c r="H17" i="34" s="1"/>
  <c r="B17" i="142"/>
  <c r="D17" i="142" s="1"/>
  <c r="D61" i="115"/>
  <c r="L51" i="115"/>
  <c r="C12" i="140"/>
  <c r="H12" i="140" s="1"/>
  <c r="H74" i="110"/>
  <c r="C33" i="140"/>
  <c r="H33" i="140" s="1"/>
  <c r="L56" i="132"/>
  <c r="G51" i="130"/>
  <c r="C30" i="141" s="1"/>
  <c r="L51" i="127"/>
  <c r="F61" i="125"/>
  <c r="B24" i="140"/>
  <c r="D24" i="140" s="1"/>
  <c r="L49" i="124"/>
  <c r="B23" i="143"/>
  <c r="D23" i="143" s="1"/>
  <c r="L53" i="122"/>
  <c r="B21" i="140"/>
  <c r="D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L56" i="116"/>
  <c r="F61" i="115"/>
  <c r="F61" i="114"/>
  <c r="B14" i="143"/>
  <c r="D14" i="143" s="1"/>
  <c r="D61" i="114"/>
  <c r="G51" i="114"/>
  <c r="L50" i="114"/>
  <c r="L53" i="113"/>
  <c r="L47" i="113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L49" i="128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J71" i="137"/>
  <c r="D61" i="135"/>
  <c r="H74" i="135"/>
  <c r="F61" i="135"/>
  <c r="L52" i="134"/>
  <c r="L52" i="133"/>
  <c r="G46" i="133"/>
  <c r="B33" i="34" s="1"/>
  <c r="G33" i="34" s="1"/>
  <c r="L52" i="13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E39" i="109" s="1"/>
  <c r="B58" i="40"/>
  <c r="J58" i="40" s="1"/>
  <c r="G20" i="143"/>
  <c r="G18" i="140"/>
  <c r="D18" i="140"/>
  <c r="G18" i="142"/>
  <c r="D18" i="142"/>
  <c r="G16" i="140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I14" i="141"/>
  <c r="E14" i="141"/>
  <c r="G13" i="140"/>
  <c r="D13" i="140"/>
  <c r="G13" i="142"/>
  <c r="D13" i="142"/>
  <c r="I13" i="141"/>
  <c r="E13" i="141"/>
  <c r="G12" i="140"/>
  <c r="D12" i="140"/>
  <c r="G12" i="143"/>
  <c r="D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G38" i="142"/>
  <c r="D38" i="142"/>
  <c r="G38" i="143"/>
  <c r="G37" i="142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51" i="13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5" i="140"/>
  <c r="D25" i="140"/>
  <c r="G24" i="140"/>
  <c r="G24" i="143"/>
  <c r="D24" i="143"/>
  <c r="I24" i="141"/>
  <c r="E24" i="141"/>
  <c r="G23" i="140"/>
  <c r="D23" i="140"/>
  <c r="G22" i="140"/>
  <c r="D22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A80" i="40"/>
  <c r="AA81" i="40"/>
  <c r="AA82" i="40"/>
  <c r="AA83" i="40"/>
  <c r="AA84" i="40"/>
  <c r="AA85" i="40"/>
  <c r="AA86" i="40"/>
  <c r="AA87" i="40"/>
  <c r="AA88" i="40"/>
  <c r="AA89" i="40"/>
  <c r="AA90" i="40"/>
  <c r="AA91" i="40"/>
  <c r="AA92" i="40"/>
  <c r="AA93" i="40"/>
  <c r="AA94" i="40"/>
  <c r="AA95" i="40"/>
  <c r="AA96" i="40"/>
  <c r="AA97" i="40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G25" i="142" l="1"/>
  <c r="D38" i="140"/>
  <c r="B32" i="143"/>
  <c r="B40" i="143" s="1"/>
  <c r="D20" i="143"/>
  <c r="G27" i="143"/>
  <c r="G22" i="142"/>
  <c r="D17" i="140"/>
  <c r="C17" i="141"/>
  <c r="C11" i="141"/>
  <c r="D36" i="143"/>
  <c r="D32" i="34"/>
  <c r="B21" i="141"/>
  <c r="E21" i="141" s="1"/>
  <c r="L51" i="120"/>
  <c r="L50" i="119"/>
  <c r="B17" i="141"/>
  <c r="I17" i="141" s="1"/>
  <c r="D15" i="143"/>
  <c r="D14" i="142"/>
  <c r="L51" i="112"/>
  <c r="D10" i="140"/>
  <c r="L50" i="128"/>
  <c r="B25" i="141"/>
  <c r="I25" i="141" s="1"/>
  <c r="C25" i="141"/>
  <c r="L51" i="125"/>
  <c r="G23" i="142"/>
  <c r="L49" i="122"/>
  <c r="L51" i="121"/>
  <c r="C19" i="141"/>
  <c r="E19" i="141"/>
  <c r="L51" i="118"/>
  <c r="G17" i="140"/>
  <c r="G10" i="34"/>
  <c r="D39" i="143"/>
  <c r="L46" i="127"/>
  <c r="G64" i="127"/>
  <c r="G61" i="127"/>
  <c r="D22" i="143"/>
  <c r="G61" i="112"/>
  <c r="L61" i="112" s="1"/>
  <c r="G32" i="34"/>
  <c r="G23" i="143"/>
  <c r="G18" i="143"/>
  <c r="D17" i="34"/>
  <c r="H74" i="137"/>
  <c r="L46" i="136"/>
  <c r="J71" i="135"/>
  <c r="L46" i="135"/>
  <c r="D33" i="34"/>
  <c r="L50" i="133"/>
  <c r="AC97" i="40"/>
  <c r="AC95" i="40"/>
  <c r="AC93" i="40"/>
  <c r="AC91" i="40"/>
  <c r="AC89" i="40"/>
  <c r="AC87" i="40"/>
  <c r="AC85" i="40"/>
  <c r="AC83" i="40"/>
  <c r="AC81" i="40"/>
  <c r="AC79" i="40"/>
  <c r="I71" i="135"/>
  <c r="G21" i="140"/>
  <c r="D24" i="142"/>
  <c r="D26" i="142"/>
  <c r="G17" i="142"/>
  <c r="I18" i="141"/>
  <c r="D19" i="140"/>
  <c r="D20" i="142"/>
  <c r="L46" i="132"/>
  <c r="L51" i="132"/>
  <c r="G74" i="131"/>
  <c r="G31" i="34"/>
  <c r="L51" i="130"/>
  <c r="C22" i="141"/>
  <c r="G14" i="34"/>
  <c r="C13" i="141"/>
  <c r="D12" i="142"/>
  <c r="J71" i="110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L61" i="127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D12" i="34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6"/>
  <c r="I71" i="136"/>
  <c r="G74" i="135"/>
  <c r="G74" i="134"/>
  <c r="G74" i="132"/>
  <c r="I71" i="132"/>
  <c r="G74" i="128"/>
  <c r="I71" i="128"/>
  <c r="G74" i="126"/>
  <c r="G74" i="124"/>
  <c r="I71" i="124"/>
  <c r="G74" i="122"/>
  <c r="I71" i="119"/>
  <c r="G74" i="118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AA28" i="40" l="1"/>
  <c r="AA42" i="40" s="1"/>
  <c r="G64" i="138"/>
  <c r="L64" i="138" s="1"/>
  <c r="G64" i="137"/>
  <c r="L64" i="137" s="1"/>
  <c r="G64" i="136"/>
  <c r="L64" i="136" s="1"/>
  <c r="G32" i="143"/>
  <c r="D32" i="143"/>
  <c r="G58" i="40"/>
  <c r="L58" i="40" s="1"/>
  <c r="G64" i="112"/>
  <c r="L64" i="112" s="1"/>
  <c r="AC98" i="40"/>
  <c r="I71" i="131"/>
  <c r="G74" i="127"/>
  <c r="G64" i="124"/>
  <c r="L64" i="124" s="1"/>
  <c r="G18" i="34"/>
  <c r="D16" i="34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L64" i="127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D9" i="143"/>
  <c r="F52" i="40"/>
  <c r="F61" i="40" s="1"/>
  <c r="B65" i="40"/>
  <c r="B42" i="109"/>
  <c r="B43" i="109" s="1"/>
  <c r="B42" i="75"/>
  <c r="AA75" i="40"/>
  <c r="G46" i="40"/>
  <c r="L46" i="40" s="1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D40" i="143" l="1"/>
  <c r="L50" i="40"/>
  <c r="B9" i="141"/>
  <c r="B40" i="141" s="1"/>
  <c r="D40" i="141"/>
  <c r="J9" i="141"/>
  <c r="C40" i="142"/>
  <c r="H9" i="142"/>
  <c r="L51" i="40"/>
  <c r="C9" i="141"/>
  <c r="C40" i="141" s="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SOBRANTE DE 144.75 PAGO DE ALIRIO Y 54.98 SOBRANTE EN CAJA</t>
        </r>
      </text>
    </comment>
    <comment ref="R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HAY UN PAGO DEL SEÑORA ALIRIO DE 144.75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136.85 pago de alirio y 34.88sobrante en caja</t>
        </r>
      </text>
    </comment>
    <comment ref="R7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136.85 pago de alirio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2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hay un monto por verificarde 42.30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FALTANTE DE 10$ EN CAJA 1M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pago de alirio 119.60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866.98 no cargados en sistema y 119.62 pago alirio</t>
        </r>
      </text>
    </comment>
    <comment ref="J50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315.25 no cargado</t>
        </r>
      </text>
    </comment>
    <comment ref="L50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en caja 9 liquido 7.64 menos</t>
        </r>
      </text>
    </comment>
    <comment ref="J5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no cargado</t>
        </r>
      </text>
    </comment>
    <comment ref="J5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no cargado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sobran 119.60 pago de alirio rodrigez y 100.75 sobrantes en cajas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sra xiomara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3000 pago cristobal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de cristobal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 Cristobal 3.000 /*/ pago sr Alirio 142.50</t>
        </r>
      </text>
    </comment>
    <comment ref="R73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fondo</t>
        </r>
      </text>
    </comment>
    <comment ref="Q103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24.00 recarga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257.85 pago sr alirio 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257.85 pago sr Alirio</t>
        </r>
      </text>
    </comment>
    <comment ref="R72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257.85 pago sr Alirio 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hay un faltante de 20$ en caja 8t y sobran en la caja 1m un pago de cristobal de 3000u uno del sr alirio de 260.10</t>
        </r>
      </text>
    </comment>
    <comment ref="R7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araastro el pin pap del dia anterios
=2309.69 buscar este monto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cristobal 3.100.00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18 recarga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  <author>user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hay un pago de alirio de 397.12 +153.41 sobrante en las cajas
</t>
        </r>
      </text>
    </comment>
    <comment ref="R74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397.12 pago de alirio</t>
        </r>
      </text>
    </comment>
    <comment ref="Q102" authorId="3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14.00 recarga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cargados en sistema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4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322.85 pago alirio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322.85 pago de alirio rodriguez y 38.70 sobrantes en caja  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3300  de sobrante es pago del cristobal y 24.65 sobrante en caja</t>
        </r>
      </text>
    </comment>
  </commentList>
</comments>
</file>

<file path=xl/sharedStrings.xml><?xml version="1.0" encoding="utf-8"?>
<sst xmlns="http://schemas.openxmlformats.org/spreadsheetml/2006/main" count="7271" uniqueCount="277">
  <si>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</si>
  <si>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</si>
  <si>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</si>
  <si>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</si>
  <si>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</si>
  <si>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</si>
  <si>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</si>
  <si>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</si>
  <si>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</si>
  <si>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</si>
  <si>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</si>
  <si>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</si>
  <si>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</si>
  <si>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</si>
  <si>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</si>
  <si>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</si>
  <si>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</si>
  <si>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</si>
  <si>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</si>
  <si>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</si>
  <si>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</si>
  <si>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</si>
  <si>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</si>
  <si>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</si>
  <si>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</si>
  <si>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</si>
  <si>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</si>
  <si>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</si>
  <si>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</si>
  <si>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</si>
  <si>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</si>
  <si>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</si>
  <si>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</si>
  <si>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</si>
  <si>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</si>
  <si>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</si>
  <si>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</si>
  <si>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</si>
  <si>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</si>
  <si>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</si>
  <si>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</si>
  <si>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</si>
  <si>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</si>
  <si>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</si>
  <si>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</si>
  <si>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</si>
  <si>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</si>
  <si>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</si>
  <si>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</si>
  <si>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</si>
  <si>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</si>
  <si>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</si>
  <si>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</si>
  <si>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</si>
  <si>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</si>
  <si>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</si>
  <si>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</si>
  <si>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</si>
  <si>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</si>
  <si>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</si>
  <si>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</si>
  <si>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</si>
  <si>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</si>
  <si>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</si>
  <si>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</si>
  <si>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</si>
  <si>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</si>
  <si>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</si>
  <si>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</si>
  <si>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</si>
  <si>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</si>
  <si>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</si>
  <si>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</si>
  <si>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</si>
  <si>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</si>
  <si>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</si>
  <si>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</si>
  <si>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</si>
  <si>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</si>
  <si>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</si>
  <si>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</si>
  <si>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</si>
  <si>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</si>
  <si>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</si>
  <si>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</si>
  <si>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</si>
  <si>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</si>
  <si>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</si>
  <si>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</si>
  <si>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</si>
  <si>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</si>
  <si>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</si>
  <si>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</si>
  <si>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</si>
  <si>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</si>
  <si>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</si>
  <si>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</si>
  <si>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</si>
  <si>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</si>
  <si>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</si>
  <si>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</si>
  <si>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</si>
  <si>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</si>
  <si>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</si>
  <si>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</si>
  <si>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</si>
  <si>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</si>
  <si>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</si>
  <si>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</si>
  <si>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</si>
  <si>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</si>
  <si>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</si>
  <si>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</si>
  <si>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</si>
  <si>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</si>
  <si>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</si>
  <si>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</si>
  <si>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</si>
  <si>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</si>
  <si>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</si>
  <si>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</si>
  <si>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</si>
  <si>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</si>
  <si>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</si>
  <si>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</si>
  <si>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</si>
  <si>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</si>
  <si>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</si>
  <si>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</si>
  <si>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</si>
  <si>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</si>
  <si>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</si>
  <si>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</si>
  <si>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</si>
  <si>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</si>
  <si>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</si>
  <si>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</si>
  <si>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</si>
  <si>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</si>
  <si>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</si>
  <si>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</si>
  <si>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</si>
  <si>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</si>
  <si>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</si>
  <si>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</si>
  <si>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</si>
  <si>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</si>
  <si>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</si>
  <si>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</si>
  <si>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</si>
  <si>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</si>
  <si>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</si>
  <si>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</si>
  <si>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</si>
  <si>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</si>
  <si>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</si>
  <si>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</si>
  <si>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</si>
  <si>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</si>
  <si>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</si>
  <si>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</si>
  <si>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</si>
  <si>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</si>
  <si>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</si>
  <si>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</si>
  <si>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</si>
  <si>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</si>
  <si>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</si>
  <si>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</si>
  <si>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</si>
  <si>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</si>
  <si>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</si>
  <si>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</si>
  <si>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</si>
  <si>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</si>
  <si>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</si>
  <si>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>PAGO MOVIL B/CRECER</t>
  </si>
  <si>
    <t xml:space="preserve">TOTAL PAGO MOVIL </t>
  </si>
  <si>
    <t xml:space="preserve">CRED.BANCAMIGA </t>
  </si>
  <si>
    <t>VENEZUELA MODELO</t>
  </si>
  <si>
    <t xml:space="preserve">bancrecer evora </t>
  </si>
  <si>
    <t>RESUMEN BANCRECER</t>
  </si>
  <si>
    <t>CRE.BANCRECER</t>
  </si>
  <si>
    <t xml:space="preserve">pago movil </t>
  </si>
  <si>
    <t>BANESCO express.</t>
  </si>
  <si>
    <t>DEB. Bancrecer</t>
  </si>
  <si>
    <t xml:space="preserve">DEB.BANCAMIGA </t>
  </si>
  <si>
    <t>BANESCO express</t>
  </si>
  <si>
    <t>PROVINCIAL MODELO</t>
  </si>
  <si>
    <t>HIPERMODELO</t>
  </si>
  <si>
    <t>hipermodelo</t>
  </si>
  <si>
    <t>PAGO MOVIL BANCRECER</t>
  </si>
  <si>
    <t xml:space="preserve">PROVINCIAL </t>
  </si>
  <si>
    <t>TOTAL Pago movil</t>
  </si>
  <si>
    <t xml:space="preserve">TOTAL bancrecer </t>
  </si>
  <si>
    <t>pago m bancrecer modelo</t>
  </si>
  <si>
    <t>PAGO M bancrecer mode.</t>
  </si>
  <si>
    <t>BANCamiga modelo</t>
  </si>
  <si>
    <t>DEB. Bancamiga</t>
  </si>
  <si>
    <t>PAGO MOVIL bancrecer</t>
  </si>
  <si>
    <t>p.movil bancrecer modelo</t>
  </si>
  <si>
    <t xml:space="preserve">DEB.BANCamiga </t>
  </si>
  <si>
    <t>CRED. BANCamiga</t>
  </si>
  <si>
    <t>DEB.BANCAMIGA</t>
  </si>
  <si>
    <t>PAGPO MOVIL</t>
  </si>
  <si>
    <t>BANCAMIGA</t>
  </si>
  <si>
    <t>pago movil BANCRECER</t>
  </si>
  <si>
    <t>CRED. BANCAMIGA</t>
  </si>
  <si>
    <t>BANCAMIGA MODELO</t>
  </si>
  <si>
    <t>pago movil MODELO</t>
  </si>
  <si>
    <t xml:space="preserve">CRED. BANCAMIGA </t>
  </si>
  <si>
    <t>DEB. BANCAMIGA</t>
  </si>
  <si>
    <t>BANCAMIGA modelo</t>
  </si>
  <si>
    <t>CRED.BANCAMIGA</t>
  </si>
  <si>
    <t>PAGO M BCRECER MODELO</t>
  </si>
  <si>
    <t>bancamiga modelo</t>
  </si>
  <si>
    <t>PAGO m bancrecer modelo</t>
  </si>
  <si>
    <t>CRED. Bancamiga</t>
  </si>
  <si>
    <t>pago m. bancrecer modelo</t>
  </si>
  <si>
    <t>PAGO M EXPRESS modelo</t>
  </si>
  <si>
    <t>PROVINCIAL modelo</t>
  </si>
  <si>
    <t>PAGO MOVIL MODELO</t>
  </si>
  <si>
    <t>pago mBANCRECEF MODELO</t>
  </si>
  <si>
    <t>pago m bcrecer modelo</t>
  </si>
  <si>
    <t>PAGO m bcrecer modelo</t>
  </si>
  <si>
    <t xml:space="preserve">BANCamiga modelo </t>
  </si>
  <si>
    <t>PAGO M bcrecer modelo</t>
  </si>
  <si>
    <t xml:space="preserve">BCAMIGA HIPERMODELO </t>
  </si>
  <si>
    <t>Bancamiga modelo</t>
  </si>
  <si>
    <t>pmovil bcrecer modelo</t>
  </si>
  <si>
    <t>DEB. BANcamiga</t>
  </si>
  <si>
    <t xml:space="preserve">hipermercado </t>
  </si>
  <si>
    <t>pago movil hipermodelo</t>
  </si>
  <si>
    <t>pago movil bancrecer</t>
  </si>
  <si>
    <t>BANCamiga hipermodelo</t>
  </si>
  <si>
    <t xml:space="preserve">DEB. BANCAMIGA </t>
  </si>
  <si>
    <t xml:space="preserve">CRED. Bancamiga </t>
  </si>
  <si>
    <t xml:space="preserve">PAGO MOVIL BCRCER </t>
  </si>
  <si>
    <t>PAGO MOVIL modelo</t>
  </si>
  <si>
    <t>PERIODICO</t>
  </si>
  <si>
    <t>pago movil modelo bcrecer</t>
  </si>
  <si>
    <t>bancrecer MODELO</t>
  </si>
  <si>
    <t xml:space="preserve">bancamiga </t>
  </si>
  <si>
    <t>pago movil bancrecer m</t>
  </si>
  <si>
    <t xml:space="preserve">HIPERMODELO </t>
  </si>
  <si>
    <t>pago m. BANCRECER MODELO</t>
  </si>
  <si>
    <t>RECARGAS</t>
  </si>
  <si>
    <t>PAGO MOVIL BANCRECER M</t>
  </si>
  <si>
    <t>recargas</t>
  </si>
  <si>
    <t>PROVINCIAL express</t>
  </si>
  <si>
    <t>BANCrecer modelo</t>
  </si>
  <si>
    <t>periodico</t>
  </si>
  <si>
    <t>recarga</t>
  </si>
  <si>
    <t>periodicos</t>
  </si>
  <si>
    <t>PAGO MOVIL BANESCO</t>
  </si>
  <si>
    <t>pago m banesco</t>
  </si>
  <si>
    <t>Recargas</t>
  </si>
  <si>
    <t>161//103</t>
  </si>
  <si>
    <t>170//171</t>
  </si>
  <si>
    <t>24//172</t>
  </si>
  <si>
    <t>25//167</t>
  </si>
  <si>
    <t>4//17</t>
  </si>
  <si>
    <t>169//176</t>
  </si>
  <si>
    <t>170//177</t>
  </si>
  <si>
    <t>172//108</t>
  </si>
  <si>
    <t>26//174</t>
  </si>
  <si>
    <t>109//181</t>
  </si>
  <si>
    <t>182//183</t>
  </si>
  <si>
    <t>7//29</t>
  </si>
  <si>
    <t>keyla rangel</t>
  </si>
  <si>
    <t>6880/1803</t>
  </si>
  <si>
    <t>3070/4573</t>
  </si>
  <si>
    <t>Pago movil</t>
  </si>
  <si>
    <t>KEYLA RANGEL</t>
  </si>
  <si>
    <t>1480/2705</t>
  </si>
  <si>
    <t>684/9853</t>
  </si>
  <si>
    <t>CRED. BANcamiga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</si>
</sst>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  <numFmt numFmtId="172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5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3" borderId="1" xfId="2" applyFont="1" applyFill="1" applyBorder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3" borderId="1" xfId="2" applyFont="1" applyFill="1" applyBorder="1" applyProtection="1"/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172" fontId="0" fillId="0" borderId="1" xfId="2" applyNumberFormat="1" applyFont="1" applyBorder="1" applyProtection="1">
      <protection locked="0"/>
    </xf>
    <xf numFmtId="0" fontId="0" fillId="6" borderId="1" xfId="0" applyFill="1" applyBorder="1" applyProtection="1">
      <protection locked="0"/>
    </xf>
    <xf numFmtId="43" fontId="0" fillId="3" borderId="0" xfId="2" applyFont="1" applyFill="1" applyProtection="1">
      <protection locked="0"/>
    </xf>
    <xf numFmtId="169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14" fillId="6" borderId="1" xfId="2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  <xf numFmtId="43" fontId="0" fillId="10" borderId="1" xfId="2" applyFont="1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16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43" fontId="0" fillId="3" borderId="0" xfId="2" applyFont="1" applyFill="1" applyProtection="1"/>
    <xf numFmtId="0" fontId="9" fillId="0" borderId="0" xfId="0" applyFont="1" applyProtection="1">
      <protection locked="0"/>
    </xf>
    <xf numFmtId="43" fontId="0" fillId="15" borderId="1" xfId="2" applyFont="1" applyFill="1" applyBorder="1" applyProtection="1"/>
    <xf numFmtId="0" fontId="16" fillId="13" borderId="1" xfId="0" applyFont="1" applyFill="1" applyBorder="1" applyAlignment="1" applyProtection="1">
      <alignment horizontal="center"/>
      <protection locked="0"/>
    </xf>
    <xf numFmtId="43" fontId="0" fillId="13" borderId="1" xfId="2" applyFont="1" applyFill="1" applyBorder="1" applyProtection="1">
      <protection locked="0"/>
    </xf>
    <xf numFmtId="0" fontId="0" fillId="0" borderId="1" xfId="0" applyNumberFormat="1" applyBorder="1" applyProtection="1"/>
    <xf numFmtId="43" fontId="0" fillId="16" borderId="1" xfId="2" applyFont="1" applyFill="1" applyBorder="1" applyProtection="1"/>
    <xf numFmtId="43" fontId="0" fillId="0" borderId="0" xfId="2" applyFont="1" applyProtection="1">
      <protection locked="0"/>
    </xf>
    <xf numFmtId="0" fontId="16" fillId="15" borderId="1" xfId="0" applyFon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/>
      <protection locked="0"/>
    </xf>
    <xf numFmtId="43" fontId="11" fillId="15" borderId="1" xfId="2" applyFont="1" applyFill="1" applyBorder="1" applyProtection="1"/>
    <xf numFmtId="43" fontId="11" fillId="7" borderId="1" xfId="2" applyFont="1" applyFill="1" applyBorder="1" applyProtection="1"/>
    <xf numFmtId="0" fontId="0" fillId="15" borderId="1" xfId="0" applyFill="1" applyBorder="1" applyProtection="1"/>
    <xf numFmtId="0" fontId="0" fillId="13" borderId="0" xfId="0" applyFill="1" applyProtection="1">
      <protection locked="0"/>
    </xf>
    <xf numFmtId="169" fontId="14" fillId="17" borderId="1" xfId="0" applyNumberFormat="1" applyFont="1" applyFill="1" applyBorder="1" applyAlignment="1" applyProtection="1">
      <alignment horizontal="center"/>
      <protection locked="0"/>
    </xf>
    <xf numFmtId="43" fontId="15" fillId="17" borderId="1" xfId="2" applyFont="1" applyFill="1" applyBorder="1" applyAlignment="1" applyProtection="1">
      <alignment horizontal="center"/>
      <protection locked="0"/>
    </xf>
    <xf numFmtId="4" fontId="14" fillId="17" borderId="1" xfId="0" applyNumberFormat="1" applyFont="1" applyFill="1" applyBorder="1" applyAlignment="1" applyProtection="1">
      <alignment horizontal="center"/>
      <protection locked="0"/>
    </xf>
    <xf numFmtId="4" fontId="15" fillId="17" borderId="1" xfId="0" applyNumberFormat="1" applyFont="1" applyFill="1" applyBorder="1" applyAlignment="1" applyProtection="1">
      <alignment horizontal="center"/>
      <protection locked="0"/>
    </xf>
    <xf numFmtId="43" fontId="14" fillId="17" borderId="1" xfId="2" applyFont="1" applyFill="1" applyBorder="1" applyAlignment="1" applyProtection="1">
      <alignment horizontal="center"/>
      <protection locked="0"/>
    </xf>
    <xf numFmtId="43" fontId="0" fillId="18" borderId="1" xfId="2" applyFont="1" applyFill="1" applyBorder="1" applyProtection="1"/>
    <xf numFmtId="43" fontId="0" fillId="17" borderId="1" xfId="2" applyFont="1" applyFill="1" applyBorder="1" applyProtection="1"/>
    <xf numFmtId="43" fontId="0" fillId="17" borderId="1" xfId="2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17" borderId="1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25634.03</c:v>
                </c:pt>
                <c:pt idx="1">
                  <c:v>29158.3</c:v>
                </c:pt>
                <c:pt idx="2">
                  <c:v>26438.1</c:v>
                </c:pt>
                <c:pt idx="3">
                  <c:v>25645.83</c:v>
                </c:pt>
                <c:pt idx="4">
                  <c:v>36172.67</c:v>
                </c:pt>
                <c:pt idx="5">
                  <c:v>39113.120000000003</c:v>
                </c:pt>
                <c:pt idx="6">
                  <c:v>39153.9</c:v>
                </c:pt>
                <c:pt idx="7">
                  <c:v>24512.63</c:v>
                </c:pt>
                <c:pt idx="8">
                  <c:v>26034.11</c:v>
                </c:pt>
                <c:pt idx="9">
                  <c:v>29873.34</c:v>
                </c:pt>
                <c:pt idx="10">
                  <c:v>0</c:v>
                </c:pt>
                <c:pt idx="11">
                  <c:v>41703.78</c:v>
                </c:pt>
                <c:pt idx="12">
                  <c:v>40941.68</c:v>
                </c:pt>
                <c:pt idx="13">
                  <c:v>39487.31</c:v>
                </c:pt>
                <c:pt idx="14">
                  <c:v>29852.51</c:v>
                </c:pt>
                <c:pt idx="15">
                  <c:v>29077.88</c:v>
                </c:pt>
                <c:pt idx="16">
                  <c:v>28832.39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28678.77</c:v>
                </c:pt>
                <c:pt idx="28">
                  <c:v>41466.720000000001</c:v>
                </c:pt>
                <c:pt idx="29">
                  <c:v>42114.86</c:v>
                </c:pt>
                <c:pt idx="30">
                  <c:v>34058.67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823488"/>
        <c:axId val="153825280"/>
        <c:axId val="0"/>
      </c:bar3DChart>
      <c:catAx>
        <c:axId val="15382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825280"/>
        <c:crosses val="autoZero"/>
        <c:auto val="1"/>
        <c:lblAlgn val="ctr"/>
        <c:lblOffset val="100"/>
        <c:noMultiLvlLbl val="0"/>
      </c:catAx>
      <c:valAx>
        <c:axId val="153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25634.03</c:v>
                </c:pt>
                <c:pt idx="1">
                  <c:v>29158.3</c:v>
                </c:pt>
                <c:pt idx="2">
                  <c:v>26438.1</c:v>
                </c:pt>
                <c:pt idx="3">
                  <c:v>25645.83</c:v>
                </c:pt>
                <c:pt idx="4">
                  <c:v>36172.67</c:v>
                </c:pt>
                <c:pt idx="5">
                  <c:v>39113.120000000003</c:v>
                </c:pt>
                <c:pt idx="6">
                  <c:v>39153.9</c:v>
                </c:pt>
                <c:pt idx="7">
                  <c:v>24512.63</c:v>
                </c:pt>
                <c:pt idx="8">
                  <c:v>26034.11</c:v>
                </c:pt>
                <c:pt idx="9">
                  <c:v>29873.34</c:v>
                </c:pt>
                <c:pt idx="10">
                  <c:v>0</c:v>
                </c:pt>
                <c:pt idx="11">
                  <c:v>41703.78</c:v>
                </c:pt>
                <c:pt idx="12">
                  <c:v>40941.68</c:v>
                </c:pt>
                <c:pt idx="13">
                  <c:v>39487.31</c:v>
                </c:pt>
                <c:pt idx="14">
                  <c:v>29852.51</c:v>
                </c:pt>
                <c:pt idx="15">
                  <c:v>29077.88</c:v>
                </c:pt>
                <c:pt idx="16">
                  <c:v>28832.39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28678.77</c:v>
                </c:pt>
                <c:pt idx="28">
                  <c:v>41466.720000000001</c:v>
                </c:pt>
                <c:pt idx="29">
                  <c:v>42114.86</c:v>
                </c:pt>
                <c:pt idx="30">
                  <c:v>34058.67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858816"/>
        <c:axId val="153860736"/>
      </c:lineChart>
      <c:catAx>
        <c:axId val="153858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860736"/>
        <c:crosses val="autoZero"/>
        <c:auto val="1"/>
        <c:lblAlgn val="ctr"/>
        <c:lblOffset val="100"/>
        <c:noMultiLvlLbl val="0"/>
      </c:catAx>
      <c:valAx>
        <c:axId val="15386073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385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59040"/>
        <c:axId val="181223808"/>
        <c:axId val="0"/>
      </c:bar3DChart>
      <c:catAx>
        <c:axId val="1539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23808"/>
        <c:crosses val="autoZero"/>
        <c:auto val="1"/>
        <c:lblAlgn val="ctr"/>
        <c:lblOffset val="100"/>
        <c:noMultiLvlLbl val="0"/>
      </c:catAx>
      <c:valAx>
        <c:axId val="1812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95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02656"/>
        <c:axId val="154504576"/>
      </c:lineChart>
      <c:catAx>
        <c:axId val="154502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4504576"/>
        <c:crosses val="autoZero"/>
        <c:auto val="1"/>
        <c:lblAlgn val="ctr"/>
        <c:lblOffset val="100"/>
        <c:noMultiLvlLbl val="0"/>
      </c:catAx>
      <c:valAx>
        <c:axId val="15450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50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278208"/>
        <c:axId val="181279744"/>
        <c:axId val="0"/>
      </c:bar3DChart>
      <c:catAx>
        <c:axId val="181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79744"/>
        <c:crosses val="autoZero"/>
        <c:auto val="1"/>
        <c:lblAlgn val="ctr"/>
        <c:lblOffset val="100"/>
        <c:noMultiLvlLbl val="0"/>
      </c:catAx>
      <c:valAx>
        <c:axId val="1812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95360"/>
        <c:axId val="181305344"/>
      </c:barChart>
      <c:catAx>
        <c:axId val="18129536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305344"/>
        <c:crosses val="autoZero"/>
        <c:auto val="1"/>
        <c:lblAlgn val="ctr"/>
        <c:lblOffset val="100"/>
        <c:tickMarkSkip val="1"/>
        <c:noMultiLvlLbl val="0"/>
      </c:catAx>
      <c:valAx>
        <c:axId val="1813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9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76"/>
      <c r="B1" s="279"/>
      <c r="C1" s="280"/>
      <c r="D1" s="280"/>
      <c r="E1" s="280"/>
      <c r="F1" s="280"/>
      <c r="G1" s="281"/>
    </row>
    <row r="2" spans="1:9" s="43" customFormat="1" ht="16.5" customHeight="1" x14ac:dyDescent="0.35">
      <c r="A2" s="277"/>
      <c r="B2" s="282" t="s">
        <v>11</v>
      </c>
      <c r="C2" s="283"/>
      <c r="D2" s="283"/>
      <c r="E2" s="283"/>
      <c r="F2" s="283"/>
      <c r="G2" s="284"/>
    </row>
    <row r="3" spans="1:9" s="43" customFormat="1" ht="16.5" customHeight="1" x14ac:dyDescent="0.25">
      <c r="A3" s="278"/>
      <c r="B3" s="285" t="s">
        <v>33</v>
      </c>
      <c r="C3" s="286"/>
      <c r="D3" s="286"/>
      <c r="E3" s="286"/>
      <c r="F3" s="286"/>
      <c r="G3" s="287"/>
    </row>
    <row r="4" spans="1:9" x14ac:dyDescent="0.25">
      <c r="A4" s="288" t="s">
        <v>50</v>
      </c>
      <c r="B4" s="288"/>
      <c r="C4" s="288"/>
      <c r="D4" s="288"/>
      <c r="E4" s="288"/>
      <c r="F4" s="288"/>
      <c r="G4" s="288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>
        <f>'DIA 1'!B$6</f>
        <v>44774</v>
      </c>
      <c r="B8" s="199">
        <f>'DIA 1'!B68</f>
        <v>25634.03</v>
      </c>
      <c r="C8" s="199">
        <f>'DIA 1'!B69</f>
        <v>25377.360000000001</v>
      </c>
      <c r="D8" s="199">
        <f>C8-B8</f>
        <v>-256.66999999999825</v>
      </c>
    </row>
    <row r="9" spans="1:9" x14ac:dyDescent="0.25">
      <c r="A9" s="46">
        <f>'DIA 2'!B$6</f>
        <v>44775</v>
      </c>
      <c r="B9" s="199">
        <f>'DIA 2'!B$68</f>
        <v>29158.3</v>
      </c>
      <c r="C9" s="199">
        <f>'DIA 2'!B$69</f>
        <v>28850.85</v>
      </c>
      <c r="D9" s="199">
        <f t="shared" ref="D9:D38" si="0">C9-B9</f>
        <v>-307.45000000000073</v>
      </c>
    </row>
    <row r="10" spans="1:9" x14ac:dyDescent="0.25">
      <c r="A10" s="46">
        <f>'DIA 3'!B$6</f>
        <v>44776</v>
      </c>
      <c r="B10" s="199">
        <f>'DIA 3'!B$68</f>
        <v>26438.1</v>
      </c>
      <c r="C10" s="199">
        <f>'DIA 3'!B$69</f>
        <v>26181.06</v>
      </c>
      <c r="D10" s="199">
        <f t="shared" si="0"/>
        <v>-257.03999999999724</v>
      </c>
    </row>
    <row r="11" spans="1:9" x14ac:dyDescent="0.25">
      <c r="A11" s="46">
        <f>'DIA 4'!B$6</f>
        <v>44777</v>
      </c>
      <c r="B11" s="199">
        <f>'DIA 4'!B$68</f>
        <v>25645.83</v>
      </c>
      <c r="C11" s="199">
        <f>'DIA 4'!B$69</f>
        <v>25391.01</v>
      </c>
      <c r="D11" s="199">
        <f t="shared" si="0"/>
        <v>-254.82000000000335</v>
      </c>
    </row>
    <row r="12" spans="1:9" x14ac:dyDescent="0.25">
      <c r="A12" s="46">
        <f>'DIA 5'!B$6</f>
        <v>44778</v>
      </c>
      <c r="B12" s="199">
        <f>'DIA 5'!B$68</f>
        <v>36172.67</v>
      </c>
      <c r="C12" s="199">
        <f>'DIA 5'!B$69</f>
        <v>35824.629999999997</v>
      </c>
      <c r="D12" s="199">
        <f t="shared" si="0"/>
        <v>-348.04000000000087</v>
      </c>
    </row>
    <row r="13" spans="1:9" x14ac:dyDescent="0.25">
      <c r="A13" s="46">
        <f>'DIA 6'!B$6</f>
        <v>44779</v>
      </c>
      <c r="B13" s="199">
        <f>'DIA 6'!B$68</f>
        <v>39113.120000000003</v>
      </c>
      <c r="C13" s="199">
        <f>'DIA 6'!B$69</f>
        <v>38656.78</v>
      </c>
      <c r="D13" s="199">
        <f t="shared" si="0"/>
        <v>-456.34000000000378</v>
      </c>
    </row>
    <row r="14" spans="1:9" x14ac:dyDescent="0.25">
      <c r="A14" s="46">
        <f>'DIA 7'!B$6</f>
        <v>44780</v>
      </c>
      <c r="B14" s="199">
        <f>'DIA 7'!B$68</f>
        <v>39153.9</v>
      </c>
      <c r="C14" s="199">
        <f>'DIA 7'!B$69</f>
        <v>38644.69</v>
      </c>
      <c r="D14" s="199">
        <f t="shared" si="0"/>
        <v>-509.20999999999913</v>
      </c>
    </row>
    <row r="15" spans="1:9" x14ac:dyDescent="0.25">
      <c r="A15" s="46">
        <f>'DIA 8'!B$6</f>
        <v>44781</v>
      </c>
      <c r="B15" s="199">
        <f>'DIA 8'!B$68</f>
        <v>24512.63</v>
      </c>
      <c r="C15" s="199">
        <f>'DIA 8'!B$69</f>
        <v>24237.23</v>
      </c>
      <c r="D15" s="199">
        <f t="shared" si="0"/>
        <v>-275.40000000000146</v>
      </c>
    </row>
    <row r="16" spans="1:9" x14ac:dyDescent="0.25">
      <c r="A16" s="46">
        <f>'DIA 9'!B$6</f>
        <v>44782</v>
      </c>
      <c r="B16" s="199">
        <f>'DIA 9'!B$68</f>
        <v>26034.11</v>
      </c>
      <c r="C16" s="199">
        <f>'DIA 9'!B$69</f>
        <v>25761.15</v>
      </c>
      <c r="D16" s="199">
        <f t="shared" si="0"/>
        <v>-272.95999999999913</v>
      </c>
    </row>
    <row r="17" spans="1:4" x14ac:dyDescent="0.25">
      <c r="A17" s="46">
        <f>'DIA 10'!B$6</f>
        <v>44783</v>
      </c>
      <c r="B17" s="199">
        <f>'DIA 10'!B$68</f>
        <v>29873.34</v>
      </c>
      <c r="C17" s="199">
        <f>'DIA 10'!B$69</f>
        <v>29544.36</v>
      </c>
      <c r="D17" s="199">
        <f t="shared" si="0"/>
        <v>-328.97999999999956</v>
      </c>
    </row>
    <row r="18" spans="1:4" x14ac:dyDescent="0.25">
      <c r="A18" s="46">
        <f>'DIA 11'!B$6</f>
        <v>44784</v>
      </c>
      <c r="B18" s="199">
        <f>'DIA 11'!B$68</f>
        <v>0</v>
      </c>
      <c r="C18" s="199">
        <f>'DIA 11'!B$69</f>
        <v>0</v>
      </c>
      <c r="D18" s="199">
        <f t="shared" si="0"/>
        <v>0</v>
      </c>
    </row>
    <row r="19" spans="1:4" x14ac:dyDescent="0.25">
      <c r="A19" s="46">
        <f>'DIA 12'!B$6</f>
        <v>44785</v>
      </c>
      <c r="B19" s="199">
        <f>'DIA 12'!B$68</f>
        <v>41703.78</v>
      </c>
      <c r="C19" s="199">
        <f>'DIA 12'!B$69</f>
        <v>41331.43</v>
      </c>
      <c r="D19" s="199">
        <f t="shared" si="0"/>
        <v>-372.34999999999854</v>
      </c>
    </row>
    <row r="20" spans="1:4" x14ac:dyDescent="0.25">
      <c r="A20" s="46">
        <f>'DIA 13'!B$6</f>
        <v>44786</v>
      </c>
      <c r="B20" s="199">
        <f>'DIA 13'!B$68</f>
        <v>40941.68</v>
      </c>
      <c r="C20" s="199">
        <f>'DIA 13'!B$69</f>
        <v>40368.949999999997</v>
      </c>
      <c r="D20" s="199">
        <f t="shared" si="0"/>
        <v>-572.7300000000032</v>
      </c>
    </row>
    <row r="21" spans="1:4" x14ac:dyDescent="0.25">
      <c r="A21" s="46">
        <f>'DIA 14'!B$6</f>
        <v>44787</v>
      </c>
      <c r="B21" s="199">
        <f>'DIA 14'!B$68</f>
        <v>39487.31</v>
      </c>
      <c r="C21" s="199">
        <f>'DIA 14'!B$69</f>
        <v>38973.86</v>
      </c>
      <c r="D21" s="199">
        <f t="shared" si="0"/>
        <v>-513.44999999999709</v>
      </c>
    </row>
    <row r="22" spans="1:4" x14ac:dyDescent="0.25">
      <c r="A22" s="46">
        <f>'DIA 15'!B$6</f>
        <v>44788</v>
      </c>
      <c r="B22" s="199">
        <f>'DIA 15'!B$68</f>
        <v>29852.51</v>
      </c>
      <c r="C22" s="199">
        <f>'DIA 15'!B$69</f>
        <v>29563.68</v>
      </c>
      <c r="D22" s="199">
        <f t="shared" si="0"/>
        <v>-288.82999999999811</v>
      </c>
    </row>
    <row r="23" spans="1:4" x14ac:dyDescent="0.25">
      <c r="A23" s="46">
        <f>'DIA 16'!B$6</f>
        <v>44789</v>
      </c>
      <c r="B23" s="199">
        <f>'DIA 16'!B$68</f>
        <v>29077.88</v>
      </c>
      <c r="C23" s="199">
        <f>'DIA 16'!B$69</f>
        <v>28775.95</v>
      </c>
      <c r="D23" s="199">
        <f t="shared" si="0"/>
        <v>-301.93000000000029</v>
      </c>
    </row>
    <row r="24" spans="1:4" x14ac:dyDescent="0.25">
      <c r="A24" s="46">
        <f>'DIA 17'!B$6</f>
        <v>44790</v>
      </c>
      <c r="B24" s="199">
        <f>'DIA 17'!B$68</f>
        <v>28832.39</v>
      </c>
      <c r="C24" s="199">
        <f>'DIA 17'!B$69</f>
        <v>28566.81</v>
      </c>
      <c r="D24" s="199">
        <f t="shared" si="0"/>
        <v>-265.57999999999811</v>
      </c>
    </row>
    <row r="25" spans="1:4" x14ac:dyDescent="0.25">
      <c r="A25" s="46">
        <f>'DIA 18'!B$6</f>
        <v>44760</v>
      </c>
      <c r="B25" s="199">
        <f>'DIA 18'!B$68</f>
        <v>21858.13</v>
      </c>
      <c r="C25" s="199">
        <f>'DIA 18'!B$69</f>
        <v>22070.98</v>
      </c>
      <c r="D25" s="199">
        <f t="shared" si="0"/>
        <v>212.84999999999854</v>
      </c>
    </row>
    <row r="26" spans="1:4" x14ac:dyDescent="0.25">
      <c r="A26" s="46">
        <f>'DIA 19'!B$6</f>
        <v>44761</v>
      </c>
      <c r="B26" s="199">
        <f>'DIA 19'!B$68</f>
        <v>24736.87</v>
      </c>
      <c r="C26" s="199">
        <f>'DIA 19'!B$69</f>
        <v>25037.98</v>
      </c>
      <c r="D26" s="199">
        <f t="shared" si="0"/>
        <v>301.11000000000058</v>
      </c>
    </row>
    <row r="27" spans="1:4" x14ac:dyDescent="0.25">
      <c r="A27" s="46">
        <f>'DIA 20'!B$6</f>
        <v>44762</v>
      </c>
      <c r="B27" s="199">
        <f>'DIA 20'!B$68</f>
        <v>27600.240000000002</v>
      </c>
      <c r="C27" s="199">
        <f>'DIA 20'!B$69</f>
        <v>27933.8</v>
      </c>
      <c r="D27" s="199">
        <f t="shared" si="0"/>
        <v>333.55999999999767</v>
      </c>
    </row>
    <row r="28" spans="1:4" x14ac:dyDescent="0.25">
      <c r="A28" s="46">
        <f>'DIA 21'!B$6</f>
        <v>44763</v>
      </c>
      <c r="B28" s="199">
        <f>'DIA 21'!B$68</f>
        <v>30931.919999999998</v>
      </c>
      <c r="C28" s="199">
        <f>'DIA 21'!B$69</f>
        <v>31289.17</v>
      </c>
      <c r="D28" s="199">
        <f t="shared" si="0"/>
        <v>357.25</v>
      </c>
    </row>
    <row r="29" spans="1:4" x14ac:dyDescent="0.25">
      <c r="A29" s="46">
        <f>'DIA 22'!B$6</f>
        <v>44399</v>
      </c>
      <c r="B29" s="199">
        <f>'DIA 22'!B$68</f>
        <v>67088.73</v>
      </c>
      <c r="C29" s="199">
        <f>'DIA 22'!B$69</f>
        <v>37384.06</v>
      </c>
      <c r="D29" s="199">
        <f t="shared" si="0"/>
        <v>-29704.67</v>
      </c>
    </row>
    <row r="30" spans="1:4" x14ac:dyDescent="0.25">
      <c r="A30" s="46">
        <f>'DIA 23'!B$6</f>
        <v>44765</v>
      </c>
      <c r="B30" s="199">
        <f>'DIA 23'!B$68</f>
        <v>37876.82</v>
      </c>
      <c r="C30" s="199">
        <f>'DIA 23'!B$69</f>
        <v>38302.33</v>
      </c>
      <c r="D30" s="199">
        <f t="shared" si="0"/>
        <v>425.51000000000204</v>
      </c>
    </row>
    <row r="31" spans="1:4" x14ac:dyDescent="0.25">
      <c r="A31" s="46">
        <f>'DIA 24'!B$6</f>
        <v>44766</v>
      </c>
      <c r="B31" s="199">
        <f>'DIA 24'!B$68</f>
        <v>0</v>
      </c>
      <c r="C31" s="199">
        <f>'DIA 24'!B$69</f>
        <v>32765.88</v>
      </c>
      <c r="D31" s="199">
        <f t="shared" si="0"/>
        <v>32765.88</v>
      </c>
    </row>
    <row r="32" spans="1:4" x14ac:dyDescent="0.25">
      <c r="A32" s="46">
        <f>'DIA 25'!B$6</f>
        <v>44767</v>
      </c>
      <c r="B32" s="199">
        <f>'DIA 25'!B$68</f>
        <v>26359.52</v>
      </c>
      <c r="C32" s="199">
        <f>'DIA 25'!B$69</f>
        <v>26625.85</v>
      </c>
      <c r="D32" s="199">
        <f t="shared" si="0"/>
        <v>266.32999999999811</v>
      </c>
    </row>
    <row r="33" spans="1:6" x14ac:dyDescent="0.25">
      <c r="A33" s="46">
        <f>'DIA 26'!B$6</f>
        <v>44738</v>
      </c>
      <c r="B33" s="199">
        <f>'DIA 26'!B$68</f>
        <v>0</v>
      </c>
      <c r="C33" s="199">
        <f>'DIA 26'!B$69</f>
        <v>28021.040000000001</v>
      </c>
      <c r="D33" s="199">
        <f t="shared" si="0"/>
        <v>28021.040000000001</v>
      </c>
    </row>
    <row r="34" spans="1:6" x14ac:dyDescent="0.25">
      <c r="A34" s="46">
        <f>'DIA 27'!B$6</f>
        <v>44769</v>
      </c>
      <c r="B34" s="199">
        <f>'DIA 27'!B$68</f>
        <v>25380.71</v>
      </c>
      <c r="C34" s="199">
        <f>'DIA 27'!B$69</f>
        <v>25647.43</v>
      </c>
      <c r="D34" s="199">
        <f t="shared" si="0"/>
        <v>266.72000000000116</v>
      </c>
    </row>
    <row r="35" spans="1:6" x14ac:dyDescent="0.25">
      <c r="A35" s="46">
        <f>'DIA 28'!B$6</f>
        <v>44770</v>
      </c>
      <c r="B35" s="199">
        <f>'DIA 28'!B$68</f>
        <v>28678.77</v>
      </c>
      <c r="C35" s="199">
        <f>'DIA 28'!B$69</f>
        <v>28972.33</v>
      </c>
      <c r="D35" s="199">
        <f t="shared" si="0"/>
        <v>293.56000000000131</v>
      </c>
    </row>
    <row r="36" spans="1:6" x14ac:dyDescent="0.25">
      <c r="A36" s="46">
        <f>'DIA 29'!B$6</f>
        <v>44771</v>
      </c>
      <c r="B36" s="199">
        <f>'DIA 29'!B$68</f>
        <v>41466.720000000001</v>
      </c>
      <c r="C36" s="199">
        <f>'DIA 29'!B$69</f>
        <v>41086.949999999997</v>
      </c>
      <c r="D36" s="199">
        <f t="shared" si="0"/>
        <v>-379.77000000000407</v>
      </c>
    </row>
    <row r="37" spans="1:6" x14ac:dyDescent="0.25">
      <c r="A37" s="46">
        <f>'DIA 30'!B$6</f>
        <v>44772</v>
      </c>
      <c r="B37" s="199">
        <f>'DIA 30'!B$68</f>
        <v>42114.86</v>
      </c>
      <c r="C37" s="199">
        <f>'DIA 30'!B$69</f>
        <v>41692.879999999997</v>
      </c>
      <c r="D37" s="199">
        <f t="shared" si="0"/>
        <v>-421.9800000000032</v>
      </c>
    </row>
    <row r="38" spans="1:6" x14ac:dyDescent="0.25">
      <c r="A38" s="46">
        <f>'DIA 31'!B$6</f>
        <v>44773</v>
      </c>
      <c r="B38" s="199">
        <f>'DIA 31'!B$68</f>
        <v>34058.67</v>
      </c>
      <c r="C38" s="199">
        <f>'DIA 31'!B$69</f>
        <v>33669.339999999997</v>
      </c>
      <c r="D38" s="199">
        <f t="shared" si="0"/>
        <v>-389.33000000000175</v>
      </c>
    </row>
    <row r="39" spans="1:6" x14ac:dyDescent="0.25">
      <c r="A39" s="47" t="s">
        <v>37</v>
      </c>
      <c r="B39" s="30">
        <f>SUM(B8:B38)</f>
        <v>919783.54</v>
      </c>
      <c r="C39" s="30">
        <f>SUM(C8:C38)</f>
        <v>946549.82</v>
      </c>
      <c r="D39" s="29">
        <f>SUM(D8:D38)</f>
        <v>26766.279999999995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67088.73</v>
      </c>
      <c r="C41" s="200">
        <f>MAX(C8:C38)</f>
        <v>41692.879999999997</v>
      </c>
      <c r="D41" s="200">
        <f>MAX(D8:D38)</f>
        <v>32765.88</v>
      </c>
    </row>
    <row r="42" spans="1:6" x14ac:dyDescent="0.25">
      <c r="A42" s="48" t="s">
        <v>40</v>
      </c>
      <c r="B42" s="200">
        <f>DMIN(B7:B38,B7,B44:B45)</f>
        <v>21858.13</v>
      </c>
      <c r="C42" s="200">
        <f>DMIN(C7:C38,C7,C44:C45)</f>
        <v>22070.98</v>
      </c>
      <c r="D42" s="200">
        <f>MIN(D8:D38)</f>
        <v>-29704.67</v>
      </c>
    </row>
    <row r="43" spans="1:6" x14ac:dyDescent="0.25">
      <c r="A43" s="48" t="s">
        <v>41</v>
      </c>
      <c r="B43" s="200">
        <f>AVERAGE(B8:B38)</f>
        <v>29670.436774193549</v>
      </c>
      <c r="C43" s="200">
        <f>AVERAGE(C8:C38)</f>
        <v>30533.86516129032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8" zoomScale="90" zoomScaleNormal="90" workbookViewId="0">
      <selection activeCell="P56" sqref="P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5.8</v>
      </c>
      <c r="C8" s="85" t="s">
        <v>92</v>
      </c>
      <c r="D8" s="108"/>
    </row>
    <row r="9" spans="1:28" x14ac:dyDescent="0.25">
      <c r="A9" s="7" t="s">
        <v>76</v>
      </c>
      <c r="B9" s="108">
        <v>5.78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5.79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1080.5</v>
      </c>
      <c r="C12" s="15"/>
      <c r="D12" s="56"/>
      <c r="E12" s="16"/>
      <c r="F12" s="56"/>
      <c r="G12" s="56"/>
      <c r="H12" s="17"/>
      <c r="I12" s="83"/>
      <c r="J12" s="81">
        <f>B12-I12</f>
        <v>1080.5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209</v>
      </c>
      <c r="Q12" s="158">
        <v>11</v>
      </c>
      <c r="R12" s="159">
        <v>1473.25</v>
      </c>
      <c r="S12" s="160"/>
      <c r="T12" s="160">
        <v>6.18</v>
      </c>
      <c r="U12" s="189">
        <f>((T12/U$10)*U$9)</f>
        <v>0.26637931034482759</v>
      </c>
      <c r="V12" s="189">
        <f>R12*V$10</f>
        <v>11.049375</v>
      </c>
      <c r="W12" s="189">
        <f>+S12*V$10</f>
        <v>0</v>
      </c>
      <c r="X12" s="189">
        <f>+T12*X$10</f>
        <v>0.1545</v>
      </c>
      <c r="Y12" s="189">
        <f>R12-V12</f>
        <v>1462.2006249999999</v>
      </c>
      <c r="Z12" s="189">
        <f>S12-W12</f>
        <v>0</v>
      </c>
      <c r="AA12" s="189">
        <f>T12-U12-X12</f>
        <v>5.7591206896551723</v>
      </c>
      <c r="AB12" s="156"/>
    </row>
    <row r="13" spans="1:28" ht="15.75" x14ac:dyDescent="0.25">
      <c r="A13" s="86" t="s">
        <v>74</v>
      </c>
      <c r="B13" s="89">
        <v>292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292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590</v>
      </c>
      <c r="Q13" s="158">
        <v>2</v>
      </c>
      <c r="R13" s="159">
        <v>931.91</v>
      </c>
      <c r="S13" s="160"/>
      <c r="T13" s="161">
        <v>176.82</v>
      </c>
      <c r="U13" s="189">
        <f t="shared" ref="U13:U41" si="2">((T13/U$10)*U$9)</f>
        <v>7.621551724137932</v>
      </c>
      <c r="V13" s="189">
        <f t="shared" ref="V13:V41" si="3">R13*V$10</f>
        <v>6.9893249999999991</v>
      </c>
      <c r="W13" s="189">
        <f t="shared" ref="W13:W41" si="4">+S13*V$10</f>
        <v>0</v>
      </c>
      <c r="X13" s="189">
        <f t="shared" ref="X13:X41" si="5">+T13*X$10</f>
        <v>4.4204999999999997</v>
      </c>
      <c r="Y13" s="189">
        <f t="shared" ref="Y13:Z41" si="6">R13-V13</f>
        <v>924.92067499999996</v>
      </c>
      <c r="Z13" s="189">
        <f t="shared" si="6"/>
        <v>0</v>
      </c>
      <c r="AA13" s="189">
        <f t="shared" ref="AA13:AA41" si="7">T13-U13-X13</f>
        <v>164.77794827586206</v>
      </c>
      <c r="AB13" s="156"/>
    </row>
    <row r="14" spans="1:28" ht="15.75" x14ac:dyDescent="0.25">
      <c r="A14" s="86" t="s">
        <v>81</v>
      </c>
      <c r="B14" s="57">
        <f>B13*B8</f>
        <v>1693.6</v>
      </c>
      <c r="C14" s="15"/>
      <c r="D14" s="56"/>
      <c r="E14" s="16"/>
      <c r="F14" s="56"/>
      <c r="G14" s="56"/>
      <c r="H14" s="17"/>
      <c r="I14" s="83"/>
      <c r="J14" s="81">
        <f t="shared" si="0"/>
        <v>1693.6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591</v>
      </c>
      <c r="Q14" s="158">
        <v>2</v>
      </c>
      <c r="R14" s="159">
        <v>951.69</v>
      </c>
      <c r="S14" s="160"/>
      <c r="T14" s="161"/>
      <c r="U14" s="189">
        <f t="shared" si="2"/>
        <v>0</v>
      </c>
      <c r="V14" s="189">
        <f t="shared" si="3"/>
        <v>7.1376749999999998</v>
      </c>
      <c r="W14" s="189">
        <f t="shared" si="4"/>
        <v>0</v>
      </c>
      <c r="X14" s="189">
        <f t="shared" si="5"/>
        <v>0</v>
      </c>
      <c r="Y14" s="189">
        <f t="shared" si="6"/>
        <v>944.55232500000011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1573</v>
      </c>
      <c r="C15" s="15"/>
      <c r="D15" s="56"/>
      <c r="E15" s="16"/>
      <c r="F15" s="56"/>
      <c r="G15" s="56"/>
      <c r="H15" s="17"/>
      <c r="I15" s="83"/>
      <c r="J15" s="81">
        <f t="shared" si="0"/>
        <v>1573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572</v>
      </c>
      <c r="Q15" s="158">
        <v>4</v>
      </c>
      <c r="R15" s="159">
        <v>1602.8</v>
      </c>
      <c r="S15" s="160"/>
      <c r="T15" s="161">
        <v>452.64</v>
      </c>
      <c r="U15" s="189">
        <f t="shared" si="2"/>
        <v>19.510344827586209</v>
      </c>
      <c r="V15" s="189">
        <f t="shared" si="3"/>
        <v>12.020999999999999</v>
      </c>
      <c r="W15" s="189">
        <f t="shared" si="4"/>
        <v>0</v>
      </c>
      <c r="X15" s="189">
        <f t="shared" si="5"/>
        <v>11.316000000000001</v>
      </c>
      <c r="Y15" s="189">
        <f t="shared" si="6"/>
        <v>1590.779</v>
      </c>
      <c r="Z15" s="189">
        <f t="shared" si="6"/>
        <v>0</v>
      </c>
      <c r="AA15" s="189">
        <f t="shared" si="7"/>
        <v>421.8136551724138</v>
      </c>
      <c r="AB15" s="156"/>
    </row>
    <row r="16" spans="1:28" ht="15.75" x14ac:dyDescent="0.25">
      <c r="A16" s="86" t="s">
        <v>81</v>
      </c>
      <c r="B16" s="57">
        <f>B15*B9</f>
        <v>9091.94</v>
      </c>
      <c r="C16" s="15"/>
      <c r="D16" s="56"/>
      <c r="E16" s="16"/>
      <c r="F16" s="56"/>
      <c r="G16" s="56"/>
      <c r="H16" s="17"/>
      <c r="I16" s="83"/>
      <c r="J16" s="81">
        <f t="shared" si="0"/>
        <v>9091.94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208</v>
      </c>
      <c r="Q16" s="158">
        <v>10</v>
      </c>
      <c r="R16" s="159">
        <v>538.48</v>
      </c>
      <c r="S16" s="160"/>
      <c r="T16" s="161"/>
      <c r="U16" s="189">
        <f t="shared" si="2"/>
        <v>0</v>
      </c>
      <c r="V16" s="189">
        <f t="shared" si="3"/>
        <v>4.0385999999999997</v>
      </c>
      <c r="W16" s="189">
        <f t="shared" si="4"/>
        <v>0</v>
      </c>
      <c r="X16" s="189">
        <f t="shared" si="5"/>
        <v>0</v>
      </c>
      <c r="Y16" s="189">
        <f t="shared" si="6"/>
        <v>534.44140000000004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>
        <v>71</v>
      </c>
      <c r="C17" s="15"/>
      <c r="D17" s="56"/>
      <c r="E17" s="16"/>
      <c r="F17" s="56"/>
      <c r="G17" s="56"/>
      <c r="H17" s="17"/>
      <c r="I17" s="83"/>
      <c r="J17" s="81">
        <f t="shared" si="0"/>
        <v>71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660</v>
      </c>
      <c r="Q17" s="158">
        <v>18</v>
      </c>
      <c r="R17" s="159">
        <v>595.29999999999995</v>
      </c>
      <c r="S17" s="160"/>
      <c r="T17" s="161">
        <v>20.71</v>
      </c>
      <c r="U17" s="189">
        <f t="shared" si="2"/>
        <v>0.89267241379310358</v>
      </c>
      <c r="V17" s="189">
        <f t="shared" si="3"/>
        <v>4.4647499999999996</v>
      </c>
      <c r="W17" s="189">
        <f t="shared" si="4"/>
        <v>0</v>
      </c>
      <c r="X17" s="189">
        <f t="shared" si="5"/>
        <v>0.51775000000000004</v>
      </c>
      <c r="Y17" s="189">
        <f t="shared" si="6"/>
        <v>590.83524999999997</v>
      </c>
      <c r="Z17" s="189">
        <f t="shared" si="6"/>
        <v>0</v>
      </c>
      <c r="AA17" s="189">
        <f t="shared" si="7"/>
        <v>19.299577586206897</v>
      </c>
      <c r="AB17" s="156"/>
    </row>
    <row r="18" spans="1:28" ht="15.75" x14ac:dyDescent="0.25">
      <c r="A18" s="86" t="s">
        <v>81</v>
      </c>
      <c r="B18" s="57">
        <f>B17*B10</f>
        <v>411.09</v>
      </c>
      <c r="C18" s="15"/>
      <c r="D18" s="56"/>
      <c r="E18" s="16"/>
      <c r="F18" s="56"/>
      <c r="G18" s="56"/>
      <c r="H18" s="17"/>
      <c r="I18" s="83"/>
      <c r="J18" s="81">
        <f t="shared" si="0"/>
        <v>411.09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661</v>
      </c>
      <c r="Q18" s="158">
        <v>18</v>
      </c>
      <c r="R18" s="159">
        <v>549.46</v>
      </c>
      <c r="S18" s="160"/>
      <c r="T18" s="161">
        <v>25.43</v>
      </c>
      <c r="U18" s="189">
        <f t="shared" si="2"/>
        <v>1.0961206896551725</v>
      </c>
      <c r="V18" s="189">
        <f t="shared" si="3"/>
        <v>4.1209500000000006</v>
      </c>
      <c r="W18" s="189">
        <f>+S18*V$10</f>
        <v>0</v>
      </c>
      <c r="X18" s="189">
        <f t="shared" si="5"/>
        <v>0.63575000000000004</v>
      </c>
      <c r="Y18" s="189">
        <f t="shared" si="6"/>
        <v>545.33905000000004</v>
      </c>
      <c r="Z18" s="189">
        <f>S18-W18</f>
        <v>0</v>
      </c>
      <c r="AA18" s="189">
        <f t="shared" si="7"/>
        <v>23.698129310344825</v>
      </c>
      <c r="AB18" s="156"/>
    </row>
    <row r="19" spans="1:28" ht="15.75" x14ac:dyDescent="0.25">
      <c r="A19" s="93" t="s">
        <v>79</v>
      </c>
      <c r="B19" s="97">
        <f>+B13+B15+B17</f>
        <v>1936</v>
      </c>
      <c r="C19" s="95"/>
      <c r="D19" s="94"/>
      <c r="E19" s="96"/>
      <c r="F19" s="94"/>
      <c r="G19" s="94"/>
      <c r="H19" s="98"/>
      <c r="I19" s="99"/>
      <c r="J19" s="185">
        <f>B19-I19</f>
        <v>1936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>R19*V$10</f>
        <v>0</v>
      </c>
      <c r="W19" s="189">
        <f t="shared" si="4"/>
        <v>0</v>
      </c>
      <c r="X19" s="189">
        <f t="shared" si="5"/>
        <v>0</v>
      </c>
      <c r="Y19" s="189">
        <f>R19-V19</f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11196.630000000001</v>
      </c>
      <c r="C20" s="95"/>
      <c r="D20" s="94"/>
      <c r="E20" s="96"/>
      <c r="F20" s="94"/>
      <c r="G20" s="94"/>
      <c r="H20" s="98"/>
      <c r="I20" s="99"/>
      <c r="J20" s="185">
        <f t="shared" si="0"/>
        <v>11196.630000000001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44.23</v>
      </c>
      <c r="C39" s="100"/>
      <c r="D39" s="66"/>
      <c r="E39" s="67"/>
      <c r="F39" s="66"/>
      <c r="G39" s="66"/>
      <c r="H39" s="102"/>
      <c r="I39" s="79"/>
      <c r="J39" s="81">
        <f t="shared" si="0"/>
        <v>44.23</v>
      </c>
      <c r="K39" s="80"/>
      <c r="L39" s="186">
        <f>K39-B39</f>
        <v>-44.23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255.64939999999999</v>
      </c>
      <c r="C40" s="100"/>
      <c r="D40" s="66"/>
      <c r="E40" s="67"/>
      <c r="F40" s="66"/>
      <c r="G40" s="66"/>
      <c r="H40" s="102"/>
      <c r="I40" s="79"/>
      <c r="J40" s="81">
        <f t="shared" si="0"/>
        <v>255.64939999999999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6642.8899999999994</v>
      </c>
      <c r="S42" s="190">
        <f t="shared" si="8"/>
        <v>0</v>
      </c>
      <c r="T42" s="190">
        <f t="shared" si="8"/>
        <v>681.78</v>
      </c>
      <c r="U42" s="190">
        <f t="shared" si="8"/>
        <v>29.387068965517248</v>
      </c>
      <c r="V42" s="190">
        <f t="shared" si="8"/>
        <v>49.821675000000006</v>
      </c>
      <c r="W42" s="190">
        <f t="shared" si="8"/>
        <v>0</v>
      </c>
      <c r="X42" s="190">
        <f t="shared" si="8"/>
        <v>17.044500000000003</v>
      </c>
      <c r="Y42" s="190">
        <f t="shared" si="8"/>
        <v>6593.0683250000002</v>
      </c>
      <c r="Z42" s="190">
        <f t="shared" si="8"/>
        <v>0</v>
      </c>
      <c r="AA42" s="190">
        <f t="shared" si="8"/>
        <v>635.3484310344827</v>
      </c>
      <c r="AB42" s="166"/>
    </row>
    <row r="43" spans="1:28" ht="15.75" x14ac:dyDescent="0.25">
      <c r="A43" s="93" t="s">
        <v>101</v>
      </c>
      <c r="B43" s="97">
        <f>+B37+B39+B41</f>
        <v>44.23</v>
      </c>
      <c r="C43" s="95"/>
      <c r="D43" s="94"/>
      <c r="E43" s="96"/>
      <c r="F43" s="94"/>
      <c r="G43" s="94"/>
      <c r="H43" s="98"/>
      <c r="I43" s="99"/>
      <c r="J43" s="185">
        <f t="shared" si="0"/>
        <v>44.23</v>
      </c>
      <c r="K43" s="99"/>
      <c r="L43" s="187">
        <f>K43-B43</f>
        <v>-44.23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255.64939999999999</v>
      </c>
      <c r="C44" s="95"/>
      <c r="D44" s="94"/>
      <c r="E44" s="96"/>
      <c r="F44" s="94"/>
      <c r="G44" s="94"/>
      <c r="H44" s="98"/>
      <c r="I44" s="99"/>
      <c r="J44" s="185">
        <f t="shared" si="0"/>
        <v>255.64939999999999</v>
      </c>
      <c r="K44" s="99"/>
      <c r="L44" s="187">
        <f>K44-B44</f>
        <v>-255.64939999999999</v>
      </c>
      <c r="M44" s="107"/>
      <c r="N44" s="104">
        <v>2</v>
      </c>
      <c r="O44" s="167" t="s">
        <v>69</v>
      </c>
      <c r="P44" s="158"/>
      <c r="Q44" s="158"/>
      <c r="R44" s="160">
        <v>966.73</v>
      </c>
      <c r="S44" s="160"/>
      <c r="T44" s="155"/>
      <c r="U44" s="189">
        <f t="shared" si="9"/>
        <v>0</v>
      </c>
      <c r="V44" s="189">
        <f t="shared" si="10"/>
        <v>7.2504749999999998</v>
      </c>
      <c r="W44" s="189">
        <f t="shared" si="11"/>
        <v>0</v>
      </c>
      <c r="X44" s="189">
        <f t="shared" si="12"/>
        <v>0</v>
      </c>
      <c r="Y44" s="189">
        <f t="shared" si="13"/>
        <v>959.47952499999997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704.4</v>
      </c>
      <c r="S45" s="160"/>
      <c r="T45" s="155">
        <v>70.12</v>
      </c>
      <c r="U45" s="189">
        <f t="shared" si="9"/>
        <v>3.0224137931034489</v>
      </c>
      <c r="V45" s="189">
        <f t="shared" si="10"/>
        <v>5.2829999999999995</v>
      </c>
      <c r="W45" s="189">
        <f t="shared" si="11"/>
        <v>0</v>
      </c>
      <c r="X45" s="189">
        <f t="shared" si="12"/>
        <v>1.7530000000000001</v>
      </c>
      <c r="Y45" s="189">
        <f t="shared" si="13"/>
        <v>699.11699999999996</v>
      </c>
      <c r="Z45" s="189">
        <f t="shared" si="13"/>
        <v>0</v>
      </c>
      <c r="AA45" s="189">
        <f t="shared" si="14"/>
        <v>65.344586206896551</v>
      </c>
      <c r="AB45" s="156"/>
    </row>
    <row r="46" spans="1:28" ht="15.75" x14ac:dyDescent="0.25">
      <c r="A46" s="115" t="s">
        <v>27</v>
      </c>
      <c r="B46" s="117">
        <f>R42</f>
        <v>6642.8899999999994</v>
      </c>
      <c r="C46" s="116">
        <v>7.4999999999999997E-3</v>
      </c>
      <c r="D46" s="117">
        <f>B46*C46</f>
        <v>49.821674999999992</v>
      </c>
      <c r="E46" s="172">
        <v>0</v>
      </c>
      <c r="F46" s="117">
        <f t="shared" ref="F46:F50" si="15">D46*E46</f>
        <v>0</v>
      </c>
      <c r="G46" s="117">
        <f t="shared" ref="G46:G51" si="16">B46-D46-F46</f>
        <v>6593.0683249999993</v>
      </c>
      <c r="H46" s="173">
        <f>B$6+1</f>
        <v>44776</v>
      </c>
      <c r="I46" s="174">
        <v>6642.89</v>
      </c>
      <c r="J46" s="81">
        <f t="shared" si="0"/>
        <v>0</v>
      </c>
      <c r="K46" s="80">
        <v>7243.04</v>
      </c>
      <c r="L46" s="186">
        <f t="shared" ref="L46:L64" si="17">+G46-K46</f>
        <v>-649.97167500000069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1671.13</v>
      </c>
      <c r="C47" s="116">
        <v>7.4999999999999997E-3</v>
      </c>
      <c r="D47" s="117">
        <f t="shared" ref="D47:D50" si="18">B47*C47</f>
        <v>12.533475000000001</v>
      </c>
      <c r="E47" s="172">
        <v>0</v>
      </c>
      <c r="F47" s="117">
        <f t="shared" si="15"/>
        <v>0</v>
      </c>
      <c r="G47" s="117">
        <f t="shared" si="16"/>
        <v>1658.5965250000002</v>
      </c>
      <c r="H47" s="173">
        <f>B$6+1</f>
        <v>44776</v>
      </c>
      <c r="I47" s="175">
        <v>1671.13</v>
      </c>
      <c r="J47" s="81">
        <f t="shared" si="0"/>
        <v>0</v>
      </c>
      <c r="K47" s="80">
        <v>1658.6</v>
      </c>
      <c r="L47" s="186">
        <f t="shared" si="17"/>
        <v>-3.4749999997529812E-3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420.91999999999996</v>
      </c>
      <c r="C48" s="116">
        <v>1.4999999999999999E-2</v>
      </c>
      <c r="D48" s="117">
        <f t="shared" si="18"/>
        <v>6.3137999999999987</v>
      </c>
      <c r="E48" s="172">
        <v>0</v>
      </c>
      <c r="F48" s="117">
        <f t="shared" si="15"/>
        <v>0</v>
      </c>
      <c r="G48" s="117">
        <f t="shared" si="16"/>
        <v>414.60619999999994</v>
      </c>
      <c r="H48" s="173">
        <f t="shared" ref="H48:H61" si="19">B$6+1</f>
        <v>44776</v>
      </c>
      <c r="I48" s="176">
        <v>420.92</v>
      </c>
      <c r="J48" s="81">
        <f t="shared" si="0"/>
        <v>0</v>
      </c>
      <c r="K48" s="80">
        <v>392.06</v>
      </c>
      <c r="L48" s="186">
        <f t="shared" si="17"/>
        <v>22.546199999999942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4286.2</v>
      </c>
      <c r="C49" s="116">
        <v>7.4999999999999997E-3</v>
      </c>
      <c r="D49" s="117">
        <f t="shared" si="18"/>
        <v>32.146499999999996</v>
      </c>
      <c r="E49" s="172">
        <v>0</v>
      </c>
      <c r="F49" s="117">
        <f t="shared" si="15"/>
        <v>0</v>
      </c>
      <c r="G49" s="117">
        <f t="shared" si="16"/>
        <v>4254.0535</v>
      </c>
      <c r="H49" s="173">
        <f t="shared" si="19"/>
        <v>44776</v>
      </c>
      <c r="I49" s="176">
        <v>4296.2</v>
      </c>
      <c r="J49" s="81">
        <f t="shared" si="0"/>
        <v>-10</v>
      </c>
      <c r="K49" s="80">
        <v>4254.05</v>
      </c>
      <c r="L49" s="186">
        <f t="shared" si="17"/>
        <v>3.4999999998035491E-3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2104.5</v>
      </c>
      <c r="C50" s="116">
        <v>7.4999999999999997E-3</v>
      </c>
      <c r="D50" s="117">
        <f t="shared" si="18"/>
        <v>15.78375</v>
      </c>
      <c r="E50" s="172">
        <v>0</v>
      </c>
      <c r="F50" s="117">
        <f t="shared" si="15"/>
        <v>0</v>
      </c>
      <c r="G50" s="117">
        <f t="shared" si="16"/>
        <v>2088.7162499999999</v>
      </c>
      <c r="H50" s="173">
        <f t="shared" si="19"/>
        <v>44776</v>
      </c>
      <c r="I50" s="175">
        <v>2778.58</v>
      </c>
      <c r="J50" s="81">
        <f t="shared" si="0"/>
        <v>-674.07999999999993</v>
      </c>
      <c r="K50" s="80">
        <v>2088.7199999999998</v>
      </c>
      <c r="L50" s="186">
        <f t="shared" si="17"/>
        <v>-3.7499999998544808E-3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674.08</v>
      </c>
      <c r="C51" s="116">
        <v>1.4999999999999999E-2</v>
      </c>
      <c r="D51" s="117">
        <f>+B51*C51</f>
        <v>10.1112</v>
      </c>
      <c r="E51" s="172">
        <v>0</v>
      </c>
      <c r="F51" s="117">
        <f>D51*E51</f>
        <v>0</v>
      </c>
      <c r="G51" s="117">
        <f t="shared" si="16"/>
        <v>663.96879999999999</v>
      </c>
      <c r="H51" s="173">
        <f t="shared" si="19"/>
        <v>44776</v>
      </c>
      <c r="I51" s="175"/>
      <c r="J51" s="81">
        <f t="shared" si="0"/>
        <v>674.08</v>
      </c>
      <c r="K51" s="80">
        <v>663.97</v>
      </c>
      <c r="L51" s="186">
        <f t="shared" si="17"/>
        <v>-1.2000000000398359E-3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681.78</v>
      </c>
      <c r="C52" s="116">
        <v>2.5000000000000001E-2</v>
      </c>
      <c r="D52" s="117">
        <f>B52*C52</f>
        <v>17.044499999999999</v>
      </c>
      <c r="E52" s="172">
        <v>0.05</v>
      </c>
      <c r="F52" s="117">
        <f>(B52/E$10)*E52</f>
        <v>29.387068965517244</v>
      </c>
      <c r="G52" s="117">
        <f>B52-D52-F52</f>
        <v>635.3484310344827</v>
      </c>
      <c r="H52" s="188">
        <f t="shared" si="19"/>
        <v>44776</v>
      </c>
      <c r="I52" s="176">
        <v>681.78</v>
      </c>
      <c r="J52" s="81">
        <f t="shared" si="0"/>
        <v>0</v>
      </c>
      <c r="K52" s="80">
        <v>25.06</v>
      </c>
      <c r="L52" s="186">
        <f t="shared" si="17"/>
        <v>610.28843103448276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70.12</v>
      </c>
      <c r="C53" s="116">
        <v>2.5000000000000001E-2</v>
      </c>
      <c r="D53" s="117">
        <f t="shared" ref="D53:D56" si="20">B53*C53</f>
        <v>1.7530000000000001</v>
      </c>
      <c r="E53" s="172">
        <v>0.05</v>
      </c>
      <c r="F53" s="117">
        <f t="shared" ref="F53:F56" si="21">(B53/E$10)*E53</f>
        <v>3.0224137931034489</v>
      </c>
      <c r="G53" s="117">
        <f t="shared" ref="G53:G58" si="22">B53-D53-F53</f>
        <v>65.344586206896551</v>
      </c>
      <c r="H53" s="188">
        <f t="shared" si="19"/>
        <v>44776</v>
      </c>
      <c r="I53" s="176">
        <v>70.12</v>
      </c>
      <c r="J53" s="81">
        <f t="shared" si="0"/>
        <v>0</v>
      </c>
      <c r="K53" s="80">
        <v>65.34</v>
      </c>
      <c r="L53" s="186">
        <f t="shared" si="17"/>
        <v>4.586206896547651E-3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207</v>
      </c>
      <c r="B56" s="117">
        <f>T75</f>
        <v>143.88999999999999</v>
      </c>
      <c r="C56" s="116">
        <v>2.5000000000000001E-2</v>
      </c>
      <c r="D56" s="117">
        <f t="shared" si="20"/>
        <v>3.5972499999999998</v>
      </c>
      <c r="E56" s="172">
        <v>0.05</v>
      </c>
      <c r="F56" s="117">
        <f t="shared" si="21"/>
        <v>6.2021551724137929</v>
      </c>
      <c r="G56" s="117">
        <f t="shared" si="22"/>
        <v>134.09059482758619</v>
      </c>
      <c r="H56" s="173">
        <f t="shared" si="19"/>
        <v>44776</v>
      </c>
      <c r="I56" s="176">
        <v>143.88999999999999</v>
      </c>
      <c r="J56" s="81">
        <f t="shared" si="0"/>
        <v>0</v>
      </c>
      <c r="K56" s="80">
        <v>134.09</v>
      </c>
      <c r="L56" s="186">
        <f t="shared" si="17"/>
        <v>5.9482758618401022E-4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239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149.10515000000001</v>
      </c>
      <c r="E61" s="177"/>
      <c r="F61" s="57">
        <f>SUM(F46:F58)</f>
        <v>38.61163793103448</v>
      </c>
      <c r="G61" s="57">
        <f>SUM(G46:G58)</f>
        <v>16507.793212068966</v>
      </c>
      <c r="H61" s="173">
        <f t="shared" si="19"/>
        <v>44776</v>
      </c>
      <c r="I61" s="175"/>
      <c r="J61" s="81">
        <f t="shared" si="0"/>
        <v>0</v>
      </c>
      <c r="K61" s="80"/>
      <c r="L61" s="186">
        <f t="shared" si="17"/>
        <v>16507.793212068966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1671.13</v>
      </c>
      <c r="S63" s="191">
        <f>SUM(S43:S62)</f>
        <v>0</v>
      </c>
      <c r="T63" s="191">
        <f>SUM(T43:T62)</f>
        <v>70.12</v>
      </c>
      <c r="U63" s="191">
        <f t="shared" ref="U63:X63" si="25">SUM(U43:U62)</f>
        <v>3.0224137931034489</v>
      </c>
      <c r="V63" s="191">
        <f t="shared" si="25"/>
        <v>12.533474999999999</v>
      </c>
      <c r="W63" s="191">
        <f t="shared" si="25"/>
        <v>0</v>
      </c>
      <c r="X63" s="191">
        <f t="shared" si="25"/>
        <v>1.7530000000000001</v>
      </c>
      <c r="Y63" s="191">
        <f>SUM(Y43:Y62)</f>
        <v>1658.5965249999999</v>
      </c>
      <c r="Z63" s="191">
        <f t="shared" ref="Z63:AA63" si="26">SUM(Z43:Z62)</f>
        <v>0</v>
      </c>
      <c r="AA63" s="191">
        <f t="shared" si="26"/>
        <v>65.344586206896551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33015.586424137931</v>
      </c>
      <c r="H64" s="184"/>
      <c r="I64" s="175"/>
      <c r="J64" s="81">
        <f t="shared" si="0"/>
        <v>0</v>
      </c>
      <c r="K64" s="80"/>
      <c r="L64" s="186">
        <f t="shared" si="17"/>
        <v>33015.586424137931</v>
      </c>
      <c r="M64" s="130"/>
      <c r="N64" s="87">
        <v>1</v>
      </c>
      <c r="O64" s="122" t="s">
        <v>169</v>
      </c>
      <c r="P64" s="225"/>
      <c r="Q64" s="225">
        <v>4145</v>
      </c>
      <c r="R64" s="236">
        <v>94.03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0.70522499999999999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93.324775000000002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29228.289399999998</v>
      </c>
      <c r="G65" s="22"/>
      <c r="L65" s="132"/>
      <c r="M65" s="131"/>
      <c r="N65" s="87">
        <v>2</v>
      </c>
      <c r="O65" s="122" t="s">
        <v>169</v>
      </c>
      <c r="P65" s="225"/>
      <c r="Q65" s="225" t="s">
        <v>274</v>
      </c>
      <c r="R65" s="236">
        <f>17.56+223.92</f>
        <v>241.48</v>
      </c>
      <c r="S65" s="87"/>
      <c r="T65" s="87"/>
      <c r="U65" s="189">
        <f t="shared" si="27"/>
        <v>0</v>
      </c>
      <c r="V65" s="189">
        <f t="shared" si="28"/>
        <v>1.8110999999999999</v>
      </c>
      <c r="W65" s="189">
        <f t="shared" si="29"/>
        <v>0</v>
      </c>
      <c r="X65" s="189">
        <f t="shared" si="30"/>
        <v>0</v>
      </c>
      <c r="Y65" s="189">
        <f t="shared" si="31"/>
        <v>239.66889999999998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225"/>
      <c r="Q66" s="225">
        <v>6063</v>
      </c>
      <c r="R66" s="225">
        <f>22.5+22.89</f>
        <v>45.39</v>
      </c>
      <c r="S66" s="87"/>
      <c r="T66" s="87"/>
      <c r="U66" s="189">
        <f t="shared" si="27"/>
        <v>0</v>
      </c>
      <c r="V66" s="189">
        <f t="shared" si="28"/>
        <v>0.34042499999999998</v>
      </c>
      <c r="W66" s="189">
        <f t="shared" si="29"/>
        <v>0</v>
      </c>
      <c r="X66" s="189">
        <f t="shared" si="30"/>
        <v>0</v>
      </c>
      <c r="Y66" s="189">
        <f t="shared" si="31"/>
        <v>45.049574999999997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225"/>
      <c r="Q67" s="225"/>
      <c r="R67" s="225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29158.3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5"/>
      <c r="Q68" s="225">
        <v>9258</v>
      </c>
      <c r="R68" s="225">
        <f>14.16+25.86</f>
        <v>40.019999999999996</v>
      </c>
      <c r="S68" s="87"/>
      <c r="T68" s="87"/>
      <c r="U68" s="189">
        <f t="shared" si="27"/>
        <v>0</v>
      </c>
      <c r="V68" s="189">
        <f t="shared" si="28"/>
        <v>0.30014999999999997</v>
      </c>
      <c r="W68" s="189">
        <f t="shared" si="29"/>
        <v>0</v>
      </c>
      <c r="X68" s="189">
        <f t="shared" si="30"/>
        <v>0</v>
      </c>
      <c r="Y68" s="189">
        <f t="shared" si="31"/>
        <v>39.719849999999994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28850.85</v>
      </c>
      <c r="C69" s="59"/>
      <c r="F69" s="87" t="s">
        <v>127</v>
      </c>
      <c r="G69" s="22"/>
      <c r="H69" s="89"/>
      <c r="I69" s="136"/>
      <c r="J69" s="136">
        <f>K52</f>
        <v>25.06</v>
      </c>
      <c r="N69" s="312" t="s">
        <v>108</v>
      </c>
      <c r="O69" s="312"/>
      <c r="P69" s="313"/>
      <c r="Q69" s="313"/>
      <c r="R69" s="192">
        <f>SUM(R64:R68)</f>
        <v>420.91999999999996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3.1568999999999998</v>
      </c>
      <c r="W69" s="192">
        <f t="shared" si="33"/>
        <v>0</v>
      </c>
      <c r="X69" s="192">
        <f t="shared" si="33"/>
        <v>0</v>
      </c>
      <c r="Y69" s="192">
        <f t="shared" si="33"/>
        <v>417.76310000000001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307.45000000000073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/>
      <c r="Q70" s="225">
        <v>192</v>
      </c>
      <c r="R70" s="221">
        <v>1002.57</v>
      </c>
      <c r="S70" s="225"/>
      <c r="T70" s="225">
        <v>25.21</v>
      </c>
      <c r="U70" s="189">
        <f t="shared" ref="U70:U74" si="34">((T70/U$10)*U$9)</f>
        <v>1.0866379310344829</v>
      </c>
      <c r="V70" s="189">
        <f t="shared" ref="V70:V74" si="35">R70*V$10</f>
        <v>7.5192750000000004</v>
      </c>
      <c r="W70" s="189">
        <f t="shared" ref="W70:W74" si="36">+S70*V$10</f>
        <v>0</v>
      </c>
      <c r="X70" s="189">
        <f t="shared" ref="X70:X74" si="37">+T70*X$10</f>
        <v>0.63025000000000009</v>
      </c>
      <c r="Y70" s="189">
        <f t="shared" ref="Y70:Z74" si="38">R70-V70</f>
        <v>995.05072500000006</v>
      </c>
      <c r="Z70" s="189">
        <f t="shared" si="38"/>
        <v>0</v>
      </c>
      <c r="AA70" s="189">
        <f t="shared" ref="AA70:AA74" si="39">T70-U70-X70</f>
        <v>23.49311206896552</v>
      </c>
      <c r="AB70" s="87"/>
    </row>
    <row r="71" spans="1:30" ht="28.5" customHeight="1" thickBot="1" x14ac:dyDescent="0.3">
      <c r="A71" s="25" t="s">
        <v>56</v>
      </c>
      <c r="B71" s="70">
        <f>B65-B68</f>
        <v>69.989399999998568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25.06</v>
      </c>
      <c r="N71" s="87">
        <v>2</v>
      </c>
      <c r="O71" s="122" t="s">
        <v>197</v>
      </c>
      <c r="P71" s="225"/>
      <c r="Q71" s="225">
        <v>42</v>
      </c>
      <c r="R71" s="221">
        <v>874.15</v>
      </c>
      <c r="S71" s="225"/>
      <c r="T71" s="221">
        <v>7.94</v>
      </c>
      <c r="U71" s="189">
        <f t="shared" si="34"/>
        <v>0.34224137931034493</v>
      </c>
      <c r="V71" s="189">
        <f t="shared" si="35"/>
        <v>6.5561249999999998</v>
      </c>
      <c r="W71" s="189">
        <f t="shared" si="36"/>
        <v>0</v>
      </c>
      <c r="X71" s="189">
        <f t="shared" si="37"/>
        <v>0.19850000000000001</v>
      </c>
      <c r="Y71" s="189">
        <f t="shared" si="38"/>
        <v>867.59387500000003</v>
      </c>
      <c r="Z71" s="189">
        <f t="shared" si="38"/>
        <v>0</v>
      </c>
      <c r="AA71" s="189">
        <f t="shared" si="39"/>
        <v>7.3992586206896549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51"/>
      <c r="Q72" s="225">
        <v>195</v>
      </c>
      <c r="R72" s="221">
        <v>2409.48</v>
      </c>
      <c r="S72" s="225"/>
      <c r="T72" s="225">
        <v>110.74</v>
      </c>
      <c r="U72" s="189">
        <f t="shared" si="34"/>
        <v>4.7732758620689664</v>
      </c>
      <c r="V72" s="189">
        <f t="shared" si="35"/>
        <v>18.071099999999998</v>
      </c>
      <c r="W72" s="189">
        <f t="shared" si="36"/>
        <v>0</v>
      </c>
      <c r="X72" s="189">
        <f t="shared" si="37"/>
        <v>2.7685</v>
      </c>
      <c r="Y72" s="189">
        <f t="shared" si="38"/>
        <v>2391.4088999999999</v>
      </c>
      <c r="Z72" s="189">
        <f t="shared" si="38"/>
        <v>0</v>
      </c>
      <c r="AA72" s="189">
        <f t="shared" si="39"/>
        <v>103.19822413793102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5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4286.2</v>
      </c>
      <c r="S75" s="192"/>
      <c r="T75" s="192">
        <f>SUM(T70:T74)</f>
        <v>143.88999999999999</v>
      </c>
      <c r="U75" s="192">
        <f>SUM(U70:U74)</f>
        <v>6.2021551724137947</v>
      </c>
      <c r="V75" s="192">
        <f t="shared" ref="V75:AA75" si="41">SUM(V70:V74)</f>
        <v>32.146499999999996</v>
      </c>
      <c r="W75" s="192">
        <f t="shared" si="41"/>
        <v>0</v>
      </c>
      <c r="X75" s="192">
        <f t="shared" si="41"/>
        <v>3.5972499999999998</v>
      </c>
      <c r="Y75" s="192">
        <f t="shared" si="41"/>
        <v>4254.0535</v>
      </c>
      <c r="Z75" s="192">
        <f t="shared" si="41"/>
        <v>0</v>
      </c>
      <c r="AA75" s="193">
        <f t="shared" si="41"/>
        <v>134.09059482758619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290.67+219.02+32.86</f>
        <v>542.55000000000007</v>
      </c>
      <c r="R78" s="82">
        <v>7.4999999999999997E-3</v>
      </c>
      <c r="S78" s="194">
        <f>+(P78+Q78)*R78</f>
        <v>4.0691250000000005</v>
      </c>
      <c r="T78" s="235">
        <f>+(P78+Q78)-S78</f>
        <v>538.48087500000008</v>
      </c>
      <c r="U78" s="211">
        <f>102.21+121.24</f>
        <v>223.45</v>
      </c>
      <c r="V78" s="112"/>
      <c r="W78" s="113">
        <v>1.4999999999999999E-2</v>
      </c>
      <c r="X78" s="217">
        <f>+(U78+V78)*W78</f>
        <v>3.3517499999999996</v>
      </c>
      <c r="Y78" s="235">
        <f>+(U78+V78)-X78</f>
        <v>220.09824999999998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2088.7199999999998</v>
      </c>
      <c r="N79" s="87">
        <v>2</v>
      </c>
      <c r="O79" s="87" t="s">
        <v>110</v>
      </c>
      <c r="P79" s="137"/>
      <c r="Q79" s="87">
        <f>111.1+198.37+96.2</f>
        <v>405.67</v>
      </c>
      <c r="R79" s="82">
        <v>7.4999999999999997E-3</v>
      </c>
      <c r="S79" s="194">
        <f t="shared" ref="S79:S97" si="43">+(P79+Q79)*R79</f>
        <v>3.0425249999999999</v>
      </c>
      <c r="T79" s="219">
        <f t="shared" ref="T79:T97" si="44">+(P79+Q79)-S79</f>
        <v>402.627475</v>
      </c>
      <c r="U79" s="211">
        <f>135.09+70.18</f>
        <v>205.27</v>
      </c>
      <c r="V79" s="112"/>
      <c r="W79" s="113">
        <v>1.4999999999999999E-2</v>
      </c>
      <c r="X79" s="217">
        <f t="shared" ref="X79:X97" si="45">+(U79+V79)*W79</f>
        <v>3.0790500000000001</v>
      </c>
      <c r="Y79" s="235">
        <f t="shared" ref="Y79:Y97" si="46">+(U79+V79)-X79</f>
        <v>202.19095000000002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>
        <f>222.19+79.65</f>
        <v>301.84000000000003</v>
      </c>
      <c r="R80" s="82">
        <v>7.4999999999999997E-3</v>
      </c>
      <c r="S80" s="194">
        <f t="shared" si="43"/>
        <v>2.2638000000000003</v>
      </c>
      <c r="T80" s="235">
        <f t="shared" si="44"/>
        <v>299.57620000000003</v>
      </c>
      <c r="U80" s="211">
        <f>110.09</f>
        <v>110.09</v>
      </c>
      <c r="V80" s="112"/>
      <c r="W80" s="113">
        <v>1.4999999999999999E-2</v>
      </c>
      <c r="X80" s="217">
        <f t="shared" si="45"/>
        <v>1.6513500000000001</v>
      </c>
      <c r="Y80" s="235">
        <f t="shared" si="46"/>
        <v>108.43865000000001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2088.7199999999998</v>
      </c>
      <c r="N81" s="87">
        <v>4</v>
      </c>
      <c r="O81" s="87" t="s">
        <v>110</v>
      </c>
      <c r="P81" s="137"/>
      <c r="Q81" s="137">
        <f>248.01+106.86</f>
        <v>354.87</v>
      </c>
      <c r="R81" s="82">
        <v>7.4999999999999997E-3</v>
      </c>
      <c r="S81" s="194">
        <f t="shared" si="43"/>
        <v>2.6615250000000001</v>
      </c>
      <c r="T81" s="235">
        <f t="shared" si="44"/>
        <v>352.20847500000002</v>
      </c>
      <c r="U81" s="211">
        <f>21.8</f>
        <v>21.8</v>
      </c>
      <c r="V81" s="112"/>
      <c r="W81" s="113">
        <v>1.4999999999999999E-2</v>
      </c>
      <c r="X81" s="217">
        <f t="shared" si="45"/>
        <v>0.32700000000000001</v>
      </c>
      <c r="Y81" s="235">
        <f t="shared" si="46"/>
        <v>21.472999999999999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>
        <f>494.96+4.61</f>
        <v>499.57</v>
      </c>
      <c r="R82" s="82">
        <v>7.4999999999999997E-3</v>
      </c>
      <c r="S82" s="194">
        <f t="shared" si="43"/>
        <v>3.746775</v>
      </c>
      <c r="T82" s="235">
        <f t="shared" si="44"/>
        <v>495.82322499999998</v>
      </c>
      <c r="U82" s="112">
        <v>113.47</v>
      </c>
      <c r="V82" s="112"/>
      <c r="W82" s="113">
        <v>1.4999999999999999E-2</v>
      </c>
      <c r="X82" s="217">
        <f t="shared" si="45"/>
        <v>1.7020499999999998</v>
      </c>
      <c r="Y82" s="254">
        <f t="shared" si="46"/>
        <v>111.76795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3">
        <f t="shared" si="44"/>
        <v>0</v>
      </c>
      <c r="U83" s="112"/>
      <c r="V83" s="112"/>
      <c r="W83" s="113">
        <v>1.4999999999999999E-2</v>
      </c>
      <c r="X83" s="217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5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54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2104.5</v>
      </c>
      <c r="R98" s="111"/>
      <c r="S98" s="195">
        <f>SUM(S78:S97)</f>
        <v>15.783750000000001</v>
      </c>
      <c r="T98" s="195">
        <f>SUM(T78:T97)</f>
        <v>2088.7162500000004</v>
      </c>
      <c r="U98" s="114">
        <f>SUM(U78:U97)</f>
        <v>674.08</v>
      </c>
      <c r="V98" s="114">
        <f>SUM(V78:V97)</f>
        <v>0</v>
      </c>
      <c r="W98" s="112"/>
      <c r="X98" s="197">
        <f>SUM(X78:X97)</f>
        <v>10.1112</v>
      </c>
      <c r="Y98" s="197">
        <f>SUM(Y78:Y97)</f>
        <v>663.96879999999999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P78+U78+Q78</f>
        <v>766</v>
      </c>
    </row>
    <row r="102" spans="14:30" x14ac:dyDescent="0.25">
      <c r="N102" s="85"/>
      <c r="Q102" s="215">
        <f>P79+U79+Q79</f>
        <v>610.94000000000005</v>
      </c>
    </row>
    <row r="103" spans="14:30" x14ac:dyDescent="0.25">
      <c r="N103" s="85"/>
      <c r="Q103" s="215">
        <f>P80+Q80+U80</f>
        <v>411.93000000000006</v>
      </c>
    </row>
    <row r="104" spans="14:30" x14ac:dyDescent="0.25">
      <c r="N104" s="85"/>
      <c r="Q104" s="215">
        <f>P81+Q81+U81</f>
        <v>376.67</v>
      </c>
    </row>
    <row r="105" spans="14:30" x14ac:dyDescent="0.25">
      <c r="N105" s="85"/>
      <c r="Q105" s="215">
        <f>P82+Q82+U82</f>
        <v>613.04</v>
      </c>
    </row>
    <row r="106" spans="14:30" x14ac:dyDescent="0.25">
      <c r="N106" s="85"/>
      <c r="Q106" s="215">
        <f>P83+U83+Q83</f>
        <v>0</v>
      </c>
    </row>
    <row r="107" spans="14:30" x14ac:dyDescent="0.25">
      <c r="N107" s="85"/>
      <c r="Q107" s="84">
        <f>P84+Q84+U84</f>
        <v>0</v>
      </c>
    </row>
    <row r="108" spans="14:30" x14ac:dyDescent="0.25">
      <c r="N108" s="85"/>
      <c r="Q108" s="84">
        <f>P85+Q85+U85</f>
        <v>0</v>
      </c>
    </row>
    <row r="109" spans="14:30" x14ac:dyDescent="0.25">
      <c r="N109" s="85"/>
      <c r="Q109" s="246">
        <f>P86+Q86+U86</f>
        <v>0</v>
      </c>
    </row>
    <row r="110" spans="14:30" x14ac:dyDescent="0.25">
      <c r="N110" s="85"/>
      <c r="Q110" s="84">
        <f>P87+Q87+U87</f>
        <v>0</v>
      </c>
    </row>
    <row r="111" spans="14:30" x14ac:dyDescent="0.25">
      <c r="N111" s="85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3" zoomScale="90" zoomScaleNormal="90" workbookViewId="0">
      <selection activeCell="K74" sqref="K7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5.8</v>
      </c>
      <c r="C8" s="85" t="s">
        <v>92</v>
      </c>
      <c r="D8" s="108">
        <v>5.91</v>
      </c>
    </row>
    <row r="9" spans="1:28" x14ac:dyDescent="0.25">
      <c r="A9" s="7" t="s">
        <v>76</v>
      </c>
      <c r="B9" s="108">
        <v>5.79</v>
      </c>
      <c r="C9" s="85" t="s">
        <v>93</v>
      </c>
      <c r="D9" s="108">
        <v>5.87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1074.5</v>
      </c>
      <c r="C12" s="15"/>
      <c r="D12" s="56"/>
      <c r="E12" s="16"/>
      <c r="F12" s="56"/>
      <c r="G12" s="56"/>
      <c r="H12" s="17"/>
      <c r="I12" s="83">
        <v>1074.5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210</v>
      </c>
      <c r="Q12" s="158">
        <v>11</v>
      </c>
      <c r="R12" s="159">
        <v>1141.8900000000001</v>
      </c>
      <c r="S12" s="160"/>
      <c r="T12" s="160"/>
      <c r="U12" s="189">
        <f>((T12/U$10)*U$9)</f>
        <v>0</v>
      </c>
      <c r="V12" s="189">
        <f>R12*V$10</f>
        <v>8.5641750000000005</v>
      </c>
      <c r="W12" s="189">
        <f>+S12*V$10</f>
        <v>0</v>
      </c>
      <c r="X12" s="189">
        <f>+T12*X$10</f>
        <v>0</v>
      </c>
      <c r="Y12" s="189">
        <f>R12-V12</f>
        <v>1133.3258250000001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1498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1498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592</v>
      </c>
      <c r="Q13" s="158">
        <v>2</v>
      </c>
      <c r="R13" s="159">
        <v>756.59</v>
      </c>
      <c r="S13" s="160"/>
      <c r="T13" s="161">
        <v>34.42</v>
      </c>
      <c r="U13" s="189">
        <f t="shared" ref="U13:U41" si="2">((T13/U$10)*U$9)</f>
        <v>1.4836206896551727</v>
      </c>
      <c r="V13" s="189">
        <f t="shared" ref="V13:V41" si="3">R13*V$10</f>
        <v>5.6744250000000003</v>
      </c>
      <c r="W13" s="189">
        <f t="shared" ref="W13:W41" si="4">+S13*V$10</f>
        <v>0</v>
      </c>
      <c r="X13" s="189">
        <f t="shared" ref="X13:X41" si="5">+T13*X$10</f>
        <v>0.86050000000000004</v>
      </c>
      <c r="Y13" s="189">
        <f t="shared" ref="Y13:Z41" si="6">R13-V13</f>
        <v>750.91557499999999</v>
      </c>
      <c r="Z13" s="189">
        <f t="shared" si="6"/>
        <v>0</v>
      </c>
      <c r="AA13" s="189">
        <f t="shared" ref="AA13:AA41" si="7">T13-U13-X13</f>
        <v>32.075879310344824</v>
      </c>
      <c r="AB13" s="156"/>
    </row>
    <row r="14" spans="1:28" ht="15.75" x14ac:dyDescent="0.25">
      <c r="A14" s="86" t="s">
        <v>81</v>
      </c>
      <c r="B14" s="57">
        <f>B13*B8</f>
        <v>8688.4</v>
      </c>
      <c r="C14" s="15"/>
      <c r="D14" s="56"/>
      <c r="E14" s="16"/>
      <c r="F14" s="56"/>
      <c r="G14" s="56"/>
      <c r="H14" s="17"/>
      <c r="I14" s="83"/>
      <c r="J14" s="81">
        <f t="shared" si="0"/>
        <v>8688.4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593</v>
      </c>
      <c r="Q14" s="158">
        <v>2</v>
      </c>
      <c r="R14" s="159">
        <v>1336.41</v>
      </c>
      <c r="S14" s="160"/>
      <c r="T14" s="161"/>
      <c r="U14" s="189">
        <f t="shared" si="2"/>
        <v>0</v>
      </c>
      <c r="V14" s="189">
        <f t="shared" si="3"/>
        <v>10.023075</v>
      </c>
      <c r="W14" s="189">
        <f t="shared" si="4"/>
        <v>0</v>
      </c>
      <c r="X14" s="189">
        <f t="shared" si="5"/>
        <v>0</v>
      </c>
      <c r="Y14" s="189">
        <f t="shared" si="6"/>
        <v>1326.386925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58</v>
      </c>
      <c r="C15" s="15"/>
      <c r="D15" s="56"/>
      <c r="E15" s="16"/>
      <c r="F15" s="56"/>
      <c r="G15" s="56"/>
      <c r="H15" s="17"/>
      <c r="I15" s="83"/>
      <c r="J15" s="81">
        <f t="shared" si="0"/>
        <v>58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573</v>
      </c>
      <c r="Q15" s="158">
        <v>4</v>
      </c>
      <c r="R15" s="159">
        <v>221.07</v>
      </c>
      <c r="S15" s="160"/>
      <c r="T15" s="161"/>
      <c r="U15" s="189">
        <f t="shared" si="2"/>
        <v>0</v>
      </c>
      <c r="V15" s="189">
        <f t="shared" si="3"/>
        <v>1.6580249999999999</v>
      </c>
      <c r="W15" s="189">
        <f t="shared" si="4"/>
        <v>0</v>
      </c>
      <c r="X15" s="189">
        <f t="shared" si="5"/>
        <v>0</v>
      </c>
      <c r="Y15" s="189">
        <f t="shared" si="6"/>
        <v>219.41197499999998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335.82</v>
      </c>
      <c r="C16" s="15"/>
      <c r="D16" s="56"/>
      <c r="E16" s="16"/>
      <c r="F16" s="56"/>
      <c r="G16" s="56"/>
      <c r="H16" s="17"/>
      <c r="I16" s="83"/>
      <c r="J16" s="81">
        <f t="shared" si="0"/>
        <v>335.82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574</v>
      </c>
      <c r="Q16" s="158">
        <v>4</v>
      </c>
      <c r="R16" s="159">
        <v>2751.8</v>
      </c>
      <c r="S16" s="160"/>
      <c r="T16" s="161">
        <v>7.88</v>
      </c>
      <c r="U16" s="189">
        <f t="shared" si="2"/>
        <v>0.33965517241379312</v>
      </c>
      <c r="V16" s="189">
        <f t="shared" si="3"/>
        <v>20.638500000000001</v>
      </c>
      <c r="W16" s="189">
        <f t="shared" si="4"/>
        <v>0</v>
      </c>
      <c r="X16" s="189">
        <f t="shared" si="5"/>
        <v>0.19700000000000001</v>
      </c>
      <c r="Y16" s="189">
        <f t="shared" si="6"/>
        <v>2731.1615000000002</v>
      </c>
      <c r="Z16" s="189">
        <f t="shared" si="6"/>
        <v>0</v>
      </c>
      <c r="AA16" s="189">
        <f t="shared" si="7"/>
        <v>7.3433448275862068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209</v>
      </c>
      <c r="Q17" s="158">
        <v>10</v>
      </c>
      <c r="R17" s="159">
        <v>1029.75</v>
      </c>
      <c r="S17" s="160"/>
      <c r="T17" s="161"/>
      <c r="U17" s="189">
        <f t="shared" si="2"/>
        <v>0</v>
      </c>
      <c r="V17" s="189">
        <f t="shared" si="3"/>
        <v>7.7231249999999996</v>
      </c>
      <c r="W17" s="189">
        <f t="shared" si="4"/>
        <v>0</v>
      </c>
      <c r="X17" s="189">
        <f t="shared" si="5"/>
        <v>0</v>
      </c>
      <c r="Y17" s="189">
        <f t="shared" si="6"/>
        <v>1022.026875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210</v>
      </c>
      <c r="Q18" s="158">
        <v>10</v>
      </c>
      <c r="R18" s="159">
        <v>1306.76</v>
      </c>
      <c r="S18" s="160"/>
      <c r="T18" s="161">
        <v>130.06</v>
      </c>
      <c r="U18" s="189">
        <f t="shared" si="2"/>
        <v>5.6060344827586217</v>
      </c>
      <c r="V18" s="189">
        <f t="shared" si="3"/>
        <v>9.8006999999999991</v>
      </c>
      <c r="W18" s="189">
        <f t="shared" si="4"/>
        <v>0</v>
      </c>
      <c r="X18" s="189">
        <f t="shared" si="5"/>
        <v>3.2515000000000001</v>
      </c>
      <c r="Y18" s="189">
        <f t="shared" si="6"/>
        <v>1296.9593</v>
      </c>
      <c r="Z18" s="189">
        <f t="shared" si="6"/>
        <v>0</v>
      </c>
      <c r="AA18" s="189">
        <f t="shared" si="7"/>
        <v>121.20246551724139</v>
      </c>
      <c r="AB18" s="156"/>
    </row>
    <row r="19" spans="1:28" ht="15.75" x14ac:dyDescent="0.25">
      <c r="A19" s="93" t="s">
        <v>79</v>
      </c>
      <c r="B19" s="97">
        <f>+B13+B15+B17</f>
        <v>1556</v>
      </c>
      <c r="C19" s="95"/>
      <c r="D19" s="94"/>
      <c r="E19" s="96"/>
      <c r="F19" s="94"/>
      <c r="G19" s="94"/>
      <c r="H19" s="98"/>
      <c r="I19" s="99">
        <v>1556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662</v>
      </c>
      <c r="Q19" s="158">
        <v>18</v>
      </c>
      <c r="R19" s="159">
        <v>583.46</v>
      </c>
      <c r="S19" s="160"/>
      <c r="T19" s="161">
        <v>20.53</v>
      </c>
      <c r="U19" s="189">
        <f t="shared" si="2"/>
        <v>0.88491379310344842</v>
      </c>
      <c r="V19" s="189">
        <f t="shared" si="3"/>
        <v>4.3759500000000005</v>
      </c>
      <c r="W19" s="189">
        <f t="shared" si="4"/>
        <v>0</v>
      </c>
      <c r="X19" s="189">
        <f t="shared" si="5"/>
        <v>0.5132500000000001</v>
      </c>
      <c r="Y19" s="189">
        <f t="shared" si="6"/>
        <v>579.08405000000005</v>
      </c>
      <c r="Z19" s="189">
        <f t="shared" si="6"/>
        <v>0</v>
      </c>
      <c r="AA19" s="189">
        <f t="shared" si="7"/>
        <v>19.131836206896555</v>
      </c>
      <c r="AB19" s="156"/>
    </row>
    <row r="20" spans="1:28" ht="15.75" x14ac:dyDescent="0.25">
      <c r="A20" s="93" t="s">
        <v>80</v>
      </c>
      <c r="B20" s="97">
        <f>+B14+B16+B18</f>
        <v>9024.2199999999993</v>
      </c>
      <c r="C20" s="95"/>
      <c r="D20" s="94"/>
      <c r="E20" s="96"/>
      <c r="F20" s="94"/>
      <c r="G20" s="94"/>
      <c r="H20" s="98"/>
      <c r="I20" s="99"/>
      <c r="J20" s="185">
        <f t="shared" si="0"/>
        <v>9024.2199999999993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663</v>
      </c>
      <c r="Q20" s="158">
        <v>18</v>
      </c>
      <c r="R20" s="159">
        <v>912.48</v>
      </c>
      <c r="S20" s="160"/>
      <c r="T20" s="161"/>
      <c r="U20" s="189">
        <f t="shared" si="2"/>
        <v>0</v>
      </c>
      <c r="V20" s="189">
        <f t="shared" si="3"/>
        <v>6.8435999999999995</v>
      </c>
      <c r="W20" s="189">
        <f t="shared" si="4"/>
        <v>0</v>
      </c>
      <c r="X20" s="189">
        <f t="shared" si="5"/>
        <v>0</v>
      </c>
      <c r="Y20" s="189">
        <f t="shared" si="6"/>
        <v>905.63639999999998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30</v>
      </c>
      <c r="C21" s="100"/>
      <c r="D21" s="66"/>
      <c r="E21" s="67"/>
      <c r="F21" s="66"/>
      <c r="G21" s="66"/>
      <c r="H21" s="102"/>
      <c r="I21" s="79"/>
      <c r="J21" s="81">
        <f t="shared" si="0"/>
        <v>30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177.3</v>
      </c>
      <c r="C22" s="100"/>
      <c r="D22" s="66"/>
      <c r="E22" s="67"/>
      <c r="F22" s="66"/>
      <c r="G22" s="66"/>
      <c r="H22" s="102"/>
      <c r="I22" s="79"/>
      <c r="J22" s="81">
        <f t="shared" si="0"/>
        <v>177.3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20</v>
      </c>
      <c r="C23" s="100"/>
      <c r="D23" s="66"/>
      <c r="E23" s="67"/>
      <c r="F23" s="66"/>
      <c r="G23" s="66"/>
      <c r="H23" s="102"/>
      <c r="I23" s="79"/>
      <c r="J23" s="81">
        <f t="shared" si="0"/>
        <v>20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117.4</v>
      </c>
      <c r="C24" s="100"/>
      <c r="D24" s="66"/>
      <c r="E24" s="67"/>
      <c r="F24" s="66"/>
      <c r="G24" s="66"/>
      <c r="H24" s="102"/>
      <c r="I24" s="79"/>
      <c r="J24" s="81">
        <f t="shared" si="0"/>
        <v>117.4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50</v>
      </c>
      <c r="C27" s="95"/>
      <c r="D27" s="94"/>
      <c r="E27" s="96"/>
      <c r="F27" s="94"/>
      <c r="G27" s="94"/>
      <c r="H27" s="98"/>
      <c r="I27" s="99">
        <v>40</v>
      </c>
      <c r="J27" s="185">
        <f t="shared" si="0"/>
        <v>10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294.70000000000005</v>
      </c>
      <c r="C28" s="95"/>
      <c r="D28" s="94"/>
      <c r="E28" s="96"/>
      <c r="F28" s="94"/>
      <c r="G28" s="94"/>
      <c r="H28" s="98"/>
      <c r="I28" s="99"/>
      <c r="J28" s="185">
        <f t="shared" si="0"/>
        <v>294.70000000000005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21</v>
      </c>
      <c r="C37" s="100"/>
      <c r="D37" s="66"/>
      <c r="E37" s="67"/>
      <c r="F37" s="66"/>
      <c r="G37" s="66"/>
      <c r="H37" s="102"/>
      <c r="I37" s="79"/>
      <c r="J37" s="81">
        <f t="shared" si="0"/>
        <v>21</v>
      </c>
      <c r="K37" s="80"/>
      <c r="L37" s="186">
        <f>K37-B37</f>
        <v>-21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121.8</v>
      </c>
      <c r="C38" s="100"/>
      <c r="D38" s="66"/>
      <c r="E38" s="67"/>
      <c r="F38" s="66"/>
      <c r="G38" s="66"/>
      <c r="H38" s="102"/>
      <c r="I38" s="79"/>
      <c r="J38" s="81">
        <f t="shared" si="0"/>
        <v>121.8</v>
      </c>
      <c r="K38" s="80"/>
      <c r="L38" s="186">
        <f>K38-B38</f>
        <v>-121.8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23.35</v>
      </c>
      <c r="C39" s="100"/>
      <c r="D39" s="66"/>
      <c r="E39" s="67"/>
      <c r="F39" s="66"/>
      <c r="G39" s="66"/>
      <c r="H39" s="102"/>
      <c r="I39" s="79"/>
      <c r="J39" s="81">
        <f t="shared" si="0"/>
        <v>23.35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135.19650000000001</v>
      </c>
      <c r="C40" s="100"/>
      <c r="D40" s="66"/>
      <c r="E40" s="67"/>
      <c r="F40" s="66"/>
      <c r="G40" s="66"/>
      <c r="H40" s="102"/>
      <c r="I40" s="79"/>
      <c r="J40" s="81">
        <f t="shared" si="0"/>
        <v>135.19650000000001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10040.209999999999</v>
      </c>
      <c r="S42" s="190">
        <f t="shared" si="8"/>
        <v>0</v>
      </c>
      <c r="T42" s="190">
        <f t="shared" si="8"/>
        <v>192.89000000000001</v>
      </c>
      <c r="U42" s="190">
        <f t="shared" si="8"/>
        <v>8.3142241379310367</v>
      </c>
      <c r="V42" s="190">
        <f t="shared" si="8"/>
        <v>75.301574999999985</v>
      </c>
      <c r="W42" s="190">
        <f t="shared" si="8"/>
        <v>0</v>
      </c>
      <c r="X42" s="190">
        <f t="shared" si="8"/>
        <v>4.8222500000000004</v>
      </c>
      <c r="Y42" s="190">
        <f t="shared" si="8"/>
        <v>9964.9084249999996</v>
      </c>
      <c r="Z42" s="190">
        <f t="shared" si="8"/>
        <v>0</v>
      </c>
      <c r="AA42" s="190">
        <f t="shared" si="8"/>
        <v>179.75352586206898</v>
      </c>
      <c r="AB42" s="166"/>
    </row>
    <row r="43" spans="1:28" ht="15.75" x14ac:dyDescent="0.25">
      <c r="A43" s="93" t="s">
        <v>101</v>
      </c>
      <c r="B43" s="97">
        <f>+B37+B39+B41</f>
        <v>44.35</v>
      </c>
      <c r="C43" s="95"/>
      <c r="D43" s="94"/>
      <c r="E43" s="96"/>
      <c r="F43" s="94"/>
      <c r="G43" s="94"/>
      <c r="H43" s="98"/>
      <c r="I43" s="99">
        <v>44.35</v>
      </c>
      <c r="J43" s="185">
        <f t="shared" si="0"/>
        <v>0</v>
      </c>
      <c r="K43" s="99"/>
      <c r="L43" s="187">
        <f>K43-B43</f>
        <v>-44.35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256.99650000000003</v>
      </c>
      <c r="C44" s="95"/>
      <c r="D44" s="94"/>
      <c r="E44" s="96"/>
      <c r="F44" s="94"/>
      <c r="G44" s="94"/>
      <c r="H44" s="98"/>
      <c r="I44" s="99"/>
      <c r="J44" s="185">
        <f t="shared" si="0"/>
        <v>256.99650000000003</v>
      </c>
      <c r="K44" s="99"/>
      <c r="L44" s="187">
        <f>K44-B44</f>
        <v>-256.99650000000003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>
        <v>5.83</v>
      </c>
      <c r="U44" s="189">
        <f t="shared" si="9"/>
        <v>0.25129310344827588</v>
      </c>
      <c r="V44" s="189">
        <f t="shared" si="10"/>
        <v>0</v>
      </c>
      <c r="W44" s="189">
        <f t="shared" si="11"/>
        <v>0</v>
      </c>
      <c r="X44" s="189">
        <f t="shared" si="12"/>
        <v>0.14575000000000002</v>
      </c>
      <c r="Y44" s="189">
        <f t="shared" si="13"/>
        <v>0</v>
      </c>
      <c r="Z44" s="189">
        <f t="shared" si="13"/>
        <v>0</v>
      </c>
      <c r="AA44" s="189">
        <f t="shared" si="14"/>
        <v>5.4329568965517243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10040.209999999999</v>
      </c>
      <c r="C46" s="116">
        <v>7.4999999999999997E-3</v>
      </c>
      <c r="D46" s="117">
        <f>B46*C46</f>
        <v>75.301574999999985</v>
      </c>
      <c r="E46" s="172">
        <v>0</v>
      </c>
      <c r="F46" s="117">
        <f t="shared" ref="F46:F50" si="15">D46*E46</f>
        <v>0</v>
      </c>
      <c r="G46" s="117">
        <f t="shared" ref="G46:G51" si="16">B46-D46-F46</f>
        <v>9964.9084249999996</v>
      </c>
      <c r="H46" s="173">
        <f>B$6+1</f>
        <v>44777</v>
      </c>
      <c r="I46" s="174">
        <v>10040.209999999999</v>
      </c>
      <c r="J46" s="81">
        <f t="shared" si="0"/>
        <v>0</v>
      </c>
      <c r="K46" s="80">
        <v>10114.209999999999</v>
      </c>
      <c r="L46" s="186">
        <f t="shared" ref="L46:L64" si="17">+G46-K46</f>
        <v>-149.3015749999995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201.26</v>
      </c>
      <c r="C48" s="116">
        <v>1.4999999999999999E-2</v>
      </c>
      <c r="D48" s="117">
        <f t="shared" si="18"/>
        <v>3.0188999999999999</v>
      </c>
      <c r="E48" s="172">
        <v>0</v>
      </c>
      <c r="F48" s="117">
        <f t="shared" si="15"/>
        <v>0</v>
      </c>
      <c r="G48" s="117">
        <f t="shared" si="16"/>
        <v>198.24109999999999</v>
      </c>
      <c r="H48" s="173">
        <f t="shared" ref="H48:H61" si="19">B$6+1</f>
        <v>44777</v>
      </c>
      <c r="I48" s="176">
        <v>201.26</v>
      </c>
      <c r="J48" s="81">
        <f t="shared" si="0"/>
        <v>0</v>
      </c>
      <c r="K48" s="80">
        <v>198.24</v>
      </c>
      <c r="L48" s="186">
        <f t="shared" si="17"/>
        <v>1.0999999999796728E-3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167</v>
      </c>
      <c r="B49" s="117">
        <f>R75</f>
        <v>2969.59</v>
      </c>
      <c r="C49" s="116">
        <v>7.4999999999999997E-3</v>
      </c>
      <c r="D49" s="117">
        <f t="shared" si="18"/>
        <v>22.271925</v>
      </c>
      <c r="E49" s="172">
        <v>0</v>
      </c>
      <c r="F49" s="117">
        <f t="shared" si="15"/>
        <v>0</v>
      </c>
      <c r="G49" s="117">
        <f t="shared" si="16"/>
        <v>2947.3180750000001</v>
      </c>
      <c r="H49" s="173">
        <f t="shared" si="19"/>
        <v>44777</v>
      </c>
      <c r="I49" s="176">
        <v>2969.59</v>
      </c>
      <c r="J49" s="81">
        <f t="shared" si="0"/>
        <v>0</v>
      </c>
      <c r="K49" s="80">
        <v>2947.32</v>
      </c>
      <c r="L49" s="186">
        <f t="shared" si="17"/>
        <v>-1.9250000000283762E-3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1725.83</v>
      </c>
      <c r="C50" s="116">
        <v>7.4999999999999997E-3</v>
      </c>
      <c r="D50" s="117">
        <f t="shared" si="18"/>
        <v>12.943724999999999</v>
      </c>
      <c r="E50" s="172">
        <v>0</v>
      </c>
      <c r="F50" s="117">
        <f t="shared" si="15"/>
        <v>0</v>
      </c>
      <c r="G50" s="117">
        <f t="shared" si="16"/>
        <v>1712.8862749999998</v>
      </c>
      <c r="H50" s="173">
        <f t="shared" si="19"/>
        <v>44777</v>
      </c>
      <c r="I50" s="175">
        <v>2334.19</v>
      </c>
      <c r="J50" s="81">
        <f t="shared" si="0"/>
        <v>-608.36000000000013</v>
      </c>
      <c r="K50" s="80">
        <v>1712.89</v>
      </c>
      <c r="L50" s="186">
        <f t="shared" si="17"/>
        <v>-3.7250000002586603E-3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608.36</v>
      </c>
      <c r="C51" s="116">
        <v>1.4999999999999999E-2</v>
      </c>
      <c r="D51" s="117">
        <f>+B51*C51</f>
        <v>9.1253999999999991</v>
      </c>
      <c r="E51" s="172">
        <v>0</v>
      </c>
      <c r="F51" s="117">
        <f>D51*E51</f>
        <v>0</v>
      </c>
      <c r="G51" s="117">
        <f t="shared" si="16"/>
        <v>599.2346</v>
      </c>
      <c r="H51" s="173">
        <f t="shared" si="19"/>
        <v>44777</v>
      </c>
      <c r="I51" s="175"/>
      <c r="J51" s="81">
        <f t="shared" si="0"/>
        <v>608.36</v>
      </c>
      <c r="K51" s="80">
        <v>599.23</v>
      </c>
      <c r="L51" s="186">
        <f t="shared" si="17"/>
        <v>4.5999999999821739E-3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192.89000000000001</v>
      </c>
      <c r="C52" s="116">
        <v>2.5000000000000001E-2</v>
      </c>
      <c r="D52" s="117">
        <f>B52*C52</f>
        <v>4.8222500000000004</v>
      </c>
      <c r="E52" s="172">
        <v>0.05</v>
      </c>
      <c r="F52" s="117">
        <f>(B52/E$10)*E52</f>
        <v>8.3142241379310367</v>
      </c>
      <c r="G52" s="117">
        <f>B52-D52-F52</f>
        <v>179.75352586206898</v>
      </c>
      <c r="H52" s="188">
        <f t="shared" si="19"/>
        <v>44777</v>
      </c>
      <c r="I52" s="176">
        <v>192.89</v>
      </c>
      <c r="J52" s="81">
        <f t="shared" si="0"/>
        <v>0</v>
      </c>
      <c r="K52" s="80">
        <v>39.42</v>
      </c>
      <c r="L52" s="186">
        <f t="shared" si="17"/>
        <v>140.333525862069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5.83</v>
      </c>
      <c r="C53" s="116">
        <v>2.5000000000000001E-2</v>
      </c>
      <c r="D53" s="117">
        <f t="shared" ref="D53:D56" si="20">B53*C53</f>
        <v>0.14575000000000002</v>
      </c>
      <c r="E53" s="172">
        <v>0.05</v>
      </c>
      <c r="F53" s="117">
        <f t="shared" ref="F53:F56" si="21">(B53/E$10)*E53</f>
        <v>0.25129310344827588</v>
      </c>
      <c r="G53" s="117">
        <f t="shared" ref="G53:G58" si="22">B53-D53-F53</f>
        <v>5.4329568965517243</v>
      </c>
      <c r="H53" s="188">
        <f t="shared" si="19"/>
        <v>44777</v>
      </c>
      <c r="I53" s="176">
        <v>5.83</v>
      </c>
      <c r="J53" s="81">
        <f t="shared" si="0"/>
        <v>0</v>
      </c>
      <c r="K53" s="80">
        <v>5.43</v>
      </c>
      <c r="L53" s="186">
        <f t="shared" si="17"/>
        <v>2.9568965517245971E-3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75.039999999999992</v>
      </c>
      <c r="C56" s="116">
        <v>2.5000000000000001E-2</v>
      </c>
      <c r="D56" s="117">
        <f t="shared" si="20"/>
        <v>1.8759999999999999</v>
      </c>
      <c r="E56" s="172">
        <v>0.05</v>
      </c>
      <c r="F56" s="117">
        <f t="shared" si="21"/>
        <v>3.2344827586206897</v>
      </c>
      <c r="G56" s="117">
        <f t="shared" si="22"/>
        <v>69.929517241379301</v>
      </c>
      <c r="H56" s="173">
        <f t="shared" si="19"/>
        <v>44777</v>
      </c>
      <c r="I56" s="176">
        <v>75.040000000000006</v>
      </c>
      <c r="J56" s="81">
        <f t="shared" si="0"/>
        <v>0</v>
      </c>
      <c r="K56" s="80">
        <v>69.930000000000007</v>
      </c>
      <c r="L56" s="186">
        <f t="shared" si="17"/>
        <v>-4.827586207056811E-4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129.50552499999998</v>
      </c>
      <c r="E61" s="177"/>
      <c r="F61" s="57">
        <f>SUM(F46:F58)</f>
        <v>11.800000000000002</v>
      </c>
      <c r="G61" s="57">
        <f>SUM(G46:G58)</f>
        <v>15677.704474999999</v>
      </c>
      <c r="H61" s="173">
        <f t="shared" si="19"/>
        <v>44777</v>
      </c>
      <c r="I61" s="175"/>
      <c r="J61" s="81">
        <f t="shared" si="0"/>
        <v>0</v>
      </c>
      <c r="K61" s="80"/>
      <c r="L61" s="186">
        <f t="shared" si="17"/>
        <v>15677.704474999999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</v>
      </c>
      <c r="C62" s="18"/>
      <c r="D62" s="101"/>
      <c r="E62" s="178"/>
      <c r="F62" s="101"/>
      <c r="G62" s="57"/>
      <c r="H62" s="173">
        <f>B$6+1</f>
        <v>44777</v>
      </c>
      <c r="I62" s="176"/>
      <c r="J62" s="81">
        <f t="shared" si="0"/>
        <v>2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5.83</v>
      </c>
      <c r="U63" s="191">
        <f t="shared" ref="U63:X63" si="25">SUM(U43:U62)</f>
        <v>0.25129310344827588</v>
      </c>
      <c r="V63" s="191">
        <f t="shared" si="25"/>
        <v>0</v>
      </c>
      <c r="W63" s="191">
        <f t="shared" si="25"/>
        <v>0</v>
      </c>
      <c r="X63" s="191">
        <f t="shared" si="25"/>
        <v>0.14575000000000002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5.4329568965517243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31355.408949999997</v>
      </c>
      <c r="H64" s="184"/>
      <c r="I64" s="175"/>
      <c r="J64" s="81">
        <f t="shared" si="0"/>
        <v>0</v>
      </c>
      <c r="K64" s="80"/>
      <c r="L64" s="186">
        <f t="shared" si="17"/>
        <v>31355.408949999997</v>
      </c>
      <c r="M64" s="130"/>
      <c r="N64" s="87">
        <v>1</v>
      </c>
      <c r="O64" s="122" t="s">
        <v>176</v>
      </c>
      <c r="P64" s="87"/>
      <c r="Q64" s="225">
        <v>7163</v>
      </c>
      <c r="R64" s="225">
        <v>3.61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2.7074999999999998E-2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3.5829249999999999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26467.426500000001</v>
      </c>
      <c r="G65" s="22"/>
      <c r="L65" s="132"/>
      <c r="M65" s="131"/>
      <c r="N65" s="87">
        <v>2</v>
      </c>
      <c r="O65" s="122" t="s">
        <v>176</v>
      </c>
      <c r="P65" s="87"/>
      <c r="Q65" s="225">
        <v>9636</v>
      </c>
      <c r="R65" s="225">
        <v>72.83</v>
      </c>
      <c r="S65" s="225"/>
      <c r="T65" s="87"/>
      <c r="U65" s="189">
        <f t="shared" si="27"/>
        <v>0</v>
      </c>
      <c r="V65" s="189">
        <f t="shared" si="28"/>
        <v>0.54622499999999996</v>
      </c>
      <c r="W65" s="189">
        <f t="shared" si="29"/>
        <v>0</v>
      </c>
      <c r="X65" s="189">
        <f t="shared" si="30"/>
        <v>0</v>
      </c>
      <c r="Y65" s="189">
        <f t="shared" si="31"/>
        <v>72.283774999999991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225">
        <v>1892</v>
      </c>
      <c r="R66" s="225">
        <v>4.6500000000000004</v>
      </c>
      <c r="S66" s="225"/>
      <c r="T66" s="87"/>
      <c r="U66" s="189">
        <f t="shared" si="27"/>
        <v>0</v>
      </c>
      <c r="V66" s="189">
        <f t="shared" si="28"/>
        <v>3.4875000000000003E-2</v>
      </c>
      <c r="W66" s="189">
        <f t="shared" si="29"/>
        <v>0</v>
      </c>
      <c r="X66" s="189">
        <f t="shared" si="30"/>
        <v>0</v>
      </c>
      <c r="Y66" s="189">
        <f t="shared" si="31"/>
        <v>4.6151249999999999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176</v>
      </c>
      <c r="P67" s="87"/>
      <c r="Q67" s="225">
        <v>6687</v>
      </c>
      <c r="R67" s="225">
        <v>72.739999999999995</v>
      </c>
      <c r="S67" s="225"/>
      <c r="T67" s="87"/>
      <c r="U67" s="189">
        <f t="shared" si="27"/>
        <v>0</v>
      </c>
      <c r="V67" s="189">
        <f t="shared" si="28"/>
        <v>0.54554999999999998</v>
      </c>
      <c r="W67" s="189">
        <f t="shared" si="29"/>
        <v>0</v>
      </c>
      <c r="X67" s="189">
        <f t="shared" si="30"/>
        <v>0</v>
      </c>
      <c r="Y67" s="189">
        <f t="shared" si="31"/>
        <v>72.194449999999989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26438.1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176</v>
      </c>
      <c r="P68" s="87"/>
      <c r="Q68" s="225">
        <v>2867</v>
      </c>
      <c r="R68" s="225">
        <f>7.54+39.89</f>
        <v>47.43</v>
      </c>
      <c r="S68" s="225"/>
      <c r="T68" s="87"/>
      <c r="U68" s="189">
        <f t="shared" si="27"/>
        <v>0</v>
      </c>
      <c r="V68" s="189">
        <f t="shared" si="28"/>
        <v>0.35572499999999996</v>
      </c>
      <c r="W68" s="189">
        <f t="shared" si="29"/>
        <v>0</v>
      </c>
      <c r="X68" s="189">
        <f t="shared" si="30"/>
        <v>0</v>
      </c>
      <c r="Y68" s="189">
        <f t="shared" si="31"/>
        <v>47.074275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26181.06</v>
      </c>
      <c r="C69" s="59"/>
      <c r="F69" s="87" t="s">
        <v>127</v>
      </c>
      <c r="G69" s="22"/>
      <c r="H69" s="89"/>
      <c r="I69" s="136"/>
      <c r="J69" s="136">
        <f>K52</f>
        <v>39.42</v>
      </c>
      <c r="N69" s="312" t="s">
        <v>177</v>
      </c>
      <c r="O69" s="312"/>
      <c r="P69" s="313"/>
      <c r="Q69" s="313"/>
      <c r="R69" s="192">
        <f>SUM(R64:R68)</f>
        <v>201.26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1.5094499999999997</v>
      </c>
      <c r="W69" s="192">
        <f t="shared" si="33"/>
        <v>0</v>
      </c>
      <c r="X69" s="192">
        <f t="shared" si="33"/>
        <v>0</v>
      </c>
      <c r="Y69" s="192">
        <f t="shared" si="33"/>
        <v>199.75054999999998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257.03999999999724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/>
      <c r="Q70" s="225">
        <v>193</v>
      </c>
      <c r="R70" s="221">
        <v>206.28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1.5470999999999999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204.7329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29.326500000002852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39.42</v>
      </c>
      <c r="N71" s="87">
        <v>2</v>
      </c>
      <c r="O71" s="122" t="s">
        <v>197</v>
      </c>
      <c r="P71" s="225"/>
      <c r="Q71" s="225">
        <v>194</v>
      </c>
      <c r="R71" s="221">
        <v>1553.93</v>
      </c>
      <c r="S71" s="225"/>
      <c r="T71" s="225">
        <v>41.51</v>
      </c>
      <c r="U71" s="189">
        <f t="shared" si="34"/>
        <v>1.7892241379310345</v>
      </c>
      <c r="V71" s="189">
        <f t="shared" si="35"/>
        <v>11.654475</v>
      </c>
      <c r="W71" s="189">
        <f t="shared" si="36"/>
        <v>0</v>
      </c>
      <c r="X71" s="189">
        <f t="shared" si="37"/>
        <v>1.03775</v>
      </c>
      <c r="Y71" s="189">
        <f t="shared" si="38"/>
        <v>1542.275525</v>
      </c>
      <c r="Z71" s="189">
        <f t="shared" si="38"/>
        <v>0</v>
      </c>
      <c r="AA71" s="189">
        <f t="shared" si="39"/>
        <v>38.683025862068959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/>
      <c r="Q72" s="225">
        <v>43</v>
      </c>
      <c r="R72" s="221">
        <v>45.7</v>
      </c>
      <c r="S72" s="225"/>
      <c r="T72" s="221"/>
      <c r="U72" s="189">
        <f t="shared" si="34"/>
        <v>0</v>
      </c>
      <c r="V72" s="189">
        <f t="shared" si="35"/>
        <v>0.34275</v>
      </c>
      <c r="W72" s="189">
        <f t="shared" si="36"/>
        <v>0</v>
      </c>
      <c r="X72" s="189">
        <f t="shared" si="37"/>
        <v>0</v>
      </c>
      <c r="Y72" s="189">
        <f t="shared" si="38"/>
        <v>45.357250000000001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/>
      <c r="Q73" s="225">
        <v>44</v>
      </c>
      <c r="R73" s="221">
        <v>1163.68</v>
      </c>
      <c r="S73" s="225"/>
      <c r="T73" s="225">
        <v>33.53</v>
      </c>
      <c r="U73" s="189">
        <f t="shared" si="34"/>
        <v>1.4452586206896554</v>
      </c>
      <c r="V73" s="189">
        <f t="shared" si="35"/>
        <v>8.7276000000000007</v>
      </c>
      <c r="W73" s="189">
        <f t="shared" si="36"/>
        <v>0</v>
      </c>
      <c r="X73" s="189">
        <f t="shared" si="37"/>
        <v>0.83825000000000005</v>
      </c>
      <c r="Y73" s="189">
        <f t="shared" si="38"/>
        <v>1154.9524000000001</v>
      </c>
      <c r="Z73" s="189">
        <f t="shared" si="38"/>
        <v>0</v>
      </c>
      <c r="AA73" s="189">
        <f t="shared" si="39"/>
        <v>31.246491379310346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172</v>
      </c>
      <c r="O75" s="312"/>
      <c r="P75" s="313"/>
      <c r="Q75" s="313"/>
      <c r="R75" s="192">
        <f>SUM(R70:R74)</f>
        <v>2969.59</v>
      </c>
      <c r="S75" s="192"/>
      <c r="T75" s="192">
        <f>SUM(T70:T74)</f>
        <v>75.039999999999992</v>
      </c>
      <c r="U75" s="192">
        <f>SUM(U70:U74)</f>
        <v>3.2344827586206897</v>
      </c>
      <c r="V75" s="192">
        <f t="shared" ref="V75:AA75" si="41">SUM(V70:V74)</f>
        <v>22.271925000000003</v>
      </c>
      <c r="W75" s="192">
        <f t="shared" si="41"/>
        <v>0</v>
      </c>
      <c r="X75" s="192">
        <f t="shared" si="41"/>
        <v>1.8759999999999999</v>
      </c>
      <c r="Y75" s="192">
        <f t="shared" si="41"/>
        <v>2947.3180750000001</v>
      </c>
      <c r="Z75" s="192">
        <f t="shared" si="41"/>
        <v>0</v>
      </c>
      <c r="AA75" s="193">
        <f t="shared" si="41"/>
        <v>69.929517241379301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>
        <f>179.55+85.77+125.91</f>
        <v>391.23</v>
      </c>
      <c r="R78" s="82">
        <v>7.4999999999999997E-3</v>
      </c>
      <c r="S78" s="194">
        <f>+(P78+Q78)*R78</f>
        <v>2.9342250000000001</v>
      </c>
      <c r="T78" s="219">
        <f>+(P78+Q78)-S78</f>
        <v>388.29577499999999</v>
      </c>
      <c r="U78" s="211">
        <f>143.95+188.09</f>
        <v>332.03999999999996</v>
      </c>
      <c r="V78" s="112"/>
      <c r="W78" s="113">
        <v>1.4999999999999999E-2</v>
      </c>
      <c r="X78" s="196">
        <f>+(U78+V78)*W78</f>
        <v>4.980599999999999</v>
      </c>
      <c r="Y78" s="254">
        <f>+(U78+V78)-X78</f>
        <v>327.05939999999998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v>283.95999999999998</v>
      </c>
      <c r="R79" s="82">
        <v>7.4999999999999997E-3</v>
      </c>
      <c r="S79" s="194">
        <f t="shared" ref="S79:S97" si="43">+(P79+Q79)*R79</f>
        <v>2.1296999999999997</v>
      </c>
      <c r="T79" s="219">
        <f t="shared" ref="T79:T97" si="44">+(P79+Q79)-S79</f>
        <v>281.83029999999997</v>
      </c>
      <c r="U79" s="211">
        <v>123.98</v>
      </c>
      <c r="V79" s="112"/>
      <c r="W79" s="113">
        <v>1.4999999999999999E-2</v>
      </c>
      <c r="X79" s="196">
        <f t="shared" ref="X79:X97" si="45">+(U79+V79)*W79</f>
        <v>1.8596999999999999</v>
      </c>
      <c r="Y79" s="254">
        <f t="shared" ref="Y79:Y97" si="46">+(U79+V79)-X79</f>
        <v>122.1203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37.22+452.37+17.67</f>
        <v>507.26000000000005</v>
      </c>
      <c r="R80" s="82">
        <v>7.4999999999999997E-3</v>
      </c>
      <c r="S80" s="194">
        <f t="shared" si="43"/>
        <v>3.8044500000000001</v>
      </c>
      <c r="T80" s="219">
        <f t="shared" si="44"/>
        <v>503.45555000000007</v>
      </c>
      <c r="U80" s="211">
        <f>85.98</f>
        <v>85.98</v>
      </c>
      <c r="V80" s="112"/>
      <c r="W80" s="113">
        <v>1.4999999999999999E-2</v>
      </c>
      <c r="X80" s="196">
        <f t="shared" si="45"/>
        <v>1.2897000000000001</v>
      </c>
      <c r="Y80" s="217">
        <f t="shared" si="46"/>
        <v>84.690300000000008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9</v>
      </c>
      <c r="O81" s="87" t="s">
        <v>110</v>
      </c>
      <c r="P81" s="137"/>
      <c r="Q81" s="137">
        <f>502.22+41.16</f>
        <v>543.38</v>
      </c>
      <c r="R81" s="82">
        <v>7.4999999999999997E-3</v>
      </c>
      <c r="S81" s="194">
        <f t="shared" si="43"/>
        <v>4.0753500000000003</v>
      </c>
      <c r="T81" s="219">
        <f t="shared" si="44"/>
        <v>539.30465000000004</v>
      </c>
      <c r="U81" s="211">
        <v>66.36</v>
      </c>
      <c r="V81" s="112"/>
      <c r="W81" s="113">
        <v>1.4999999999999999E-2</v>
      </c>
      <c r="X81" s="196">
        <f t="shared" si="45"/>
        <v>0.99539999999999995</v>
      </c>
      <c r="Y81" s="217">
        <f t="shared" si="46"/>
        <v>65.364599999999996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54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9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1725.83</v>
      </c>
      <c r="R98" s="111"/>
      <c r="S98" s="195">
        <f>SUM(S78:S97)</f>
        <v>12.943725000000001</v>
      </c>
      <c r="T98" s="195">
        <f>SUM(T78:T97)</f>
        <v>1712.8862750000001</v>
      </c>
      <c r="U98" s="114">
        <f>SUM(U78:U97)</f>
        <v>608.36</v>
      </c>
      <c r="V98" s="114">
        <f>SUM(V78:V97)</f>
        <v>0</v>
      </c>
      <c r="W98" s="112"/>
      <c r="X98" s="197">
        <f>SUM(X78:X97)</f>
        <v>9.1253999999999991</v>
      </c>
      <c r="Y98" s="197">
        <f>SUM(Y78:Y97)</f>
        <v>599.2346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>P78+Q78+U78</f>
        <v>723.27</v>
      </c>
      <c r="R100" s="84"/>
    </row>
    <row r="101" spans="14:30" x14ac:dyDescent="0.25">
      <c r="N101" s="85"/>
      <c r="P101" s="84"/>
      <c r="Q101" s="215">
        <f>P79+Q79+U79</f>
        <v>407.94</v>
      </c>
      <c r="R101" s="84"/>
    </row>
    <row r="102" spans="14:30" x14ac:dyDescent="0.25">
      <c r="N102" s="85"/>
      <c r="P102" s="84"/>
      <c r="Q102" s="215">
        <f>P80+Q80+U80</f>
        <v>593.24</v>
      </c>
      <c r="R102" s="84"/>
    </row>
    <row r="103" spans="14:30" x14ac:dyDescent="0.25">
      <c r="N103" s="85"/>
      <c r="P103" s="84"/>
      <c r="Q103" s="215">
        <f>U81+Q81+P81+Z81</f>
        <v>609.74</v>
      </c>
      <c r="R103" s="84"/>
    </row>
    <row r="104" spans="14:30" x14ac:dyDescent="0.25">
      <c r="N104" s="85"/>
      <c r="P104" s="84"/>
      <c r="Q104" s="233">
        <f>P82+Q82+U82</f>
        <v>0</v>
      </c>
      <c r="R104" s="84"/>
      <c r="T104" s="85">
        <v>22</v>
      </c>
    </row>
    <row r="105" spans="14:30" x14ac:dyDescent="0.25">
      <c r="N105" s="85"/>
      <c r="P105" s="84"/>
      <c r="Q105" s="233">
        <f t="shared" ref="Q105:Q109" si="50">P83+Q83+U83</f>
        <v>0</v>
      </c>
      <c r="R105" s="84"/>
      <c r="T105" s="85">
        <v>7.5</v>
      </c>
    </row>
    <row r="106" spans="14:30" x14ac:dyDescent="0.25">
      <c r="N106" s="85"/>
      <c r="P106" s="84"/>
      <c r="Q106" s="233">
        <f t="shared" si="50"/>
        <v>0</v>
      </c>
      <c r="R106" s="84"/>
    </row>
    <row r="107" spans="14:30" x14ac:dyDescent="0.25">
      <c r="N107" s="85"/>
      <c r="P107" s="84"/>
      <c r="Q107" s="84">
        <f t="shared" si="50"/>
        <v>0</v>
      </c>
      <c r="R107" s="84"/>
    </row>
    <row r="108" spans="14:30" x14ac:dyDescent="0.25">
      <c r="N108" s="85"/>
      <c r="Q108" s="84">
        <f t="shared" si="50"/>
        <v>0</v>
      </c>
    </row>
    <row r="109" spans="14:30" x14ac:dyDescent="0.25">
      <c r="N109" s="85"/>
      <c r="Q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2" zoomScale="90" zoomScaleNormal="90" workbookViewId="0">
      <selection activeCell="Q59" sqref="Q5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>
        <v>5.84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917.5</v>
      </c>
      <c r="C12" s="15"/>
      <c r="D12" s="56"/>
      <c r="E12" s="16"/>
      <c r="F12" s="56"/>
      <c r="G12" s="56"/>
      <c r="H12" s="17"/>
      <c r="I12" s="83">
        <v>917.5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211</v>
      </c>
      <c r="Q12" s="158">
        <v>11</v>
      </c>
      <c r="R12" s="159">
        <v>1326.53</v>
      </c>
      <c r="S12" s="160"/>
      <c r="T12" s="160"/>
      <c r="U12" s="189">
        <f>((T12/U$10)*U$9)</f>
        <v>0</v>
      </c>
      <c r="V12" s="189">
        <f>R12*V$10</f>
        <v>9.948974999999999</v>
      </c>
      <c r="W12" s="189">
        <f>+S12*V$10</f>
        <v>0</v>
      </c>
      <c r="X12" s="189">
        <f>+T12*X$10</f>
        <v>0</v>
      </c>
      <c r="Y12" s="189">
        <f>R12-V12</f>
        <v>1316.581025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929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929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212</v>
      </c>
      <c r="Q13" s="158">
        <v>11</v>
      </c>
      <c r="R13" s="159">
        <v>1374.44</v>
      </c>
      <c r="S13" s="160"/>
      <c r="T13" s="161">
        <v>154.37</v>
      </c>
      <c r="U13" s="189">
        <f t="shared" ref="U13:U41" si="2">((T13/U$10)*U$9)</f>
        <v>6.6538793103448288</v>
      </c>
      <c r="V13" s="189">
        <f t="shared" ref="V13:V41" si="3">R13*V$10</f>
        <v>10.308300000000001</v>
      </c>
      <c r="W13" s="189">
        <f t="shared" ref="W13:W41" si="4">+S13*V$10</f>
        <v>0</v>
      </c>
      <c r="X13" s="189">
        <f t="shared" ref="X13:X41" si="5">+T13*X$10</f>
        <v>3.8592500000000003</v>
      </c>
      <c r="Y13" s="189">
        <f t="shared" ref="Y13:Z41" si="6">R13-V13</f>
        <v>1364.1317000000001</v>
      </c>
      <c r="Z13" s="189">
        <f t="shared" si="6"/>
        <v>0</v>
      </c>
      <c r="AA13" s="189">
        <f t="shared" ref="AA13:AA41" si="7">T13-U13-X13</f>
        <v>143.85687068965518</v>
      </c>
      <c r="AB13" s="156"/>
    </row>
    <row r="14" spans="1:28" ht="15.75" x14ac:dyDescent="0.25">
      <c r="A14" s="86" t="s">
        <v>81</v>
      </c>
      <c r="B14" s="57">
        <f>B13*B8</f>
        <v>5378.91</v>
      </c>
      <c r="C14" s="15"/>
      <c r="D14" s="56"/>
      <c r="E14" s="16"/>
      <c r="F14" s="56"/>
      <c r="G14" s="56"/>
      <c r="H14" s="17"/>
      <c r="I14" s="83"/>
      <c r="J14" s="81">
        <f t="shared" si="0"/>
        <v>5378.91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594</v>
      </c>
      <c r="Q14" s="158">
        <v>2</v>
      </c>
      <c r="R14" s="159">
        <v>1057.8399999999999</v>
      </c>
      <c r="S14" s="160"/>
      <c r="T14" s="161"/>
      <c r="U14" s="189">
        <f t="shared" si="2"/>
        <v>0</v>
      </c>
      <c r="V14" s="189">
        <f t="shared" si="3"/>
        <v>7.9337999999999989</v>
      </c>
      <c r="W14" s="189">
        <f t="shared" si="4"/>
        <v>0</v>
      </c>
      <c r="X14" s="189">
        <f t="shared" si="5"/>
        <v>0</v>
      </c>
      <c r="Y14" s="189">
        <f t="shared" si="6"/>
        <v>1049.9061999999999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701</v>
      </c>
      <c r="C15" s="15"/>
      <c r="D15" s="56"/>
      <c r="E15" s="16"/>
      <c r="F15" s="56"/>
      <c r="G15" s="56"/>
      <c r="H15" s="17"/>
      <c r="I15" s="83"/>
      <c r="J15" s="81">
        <f t="shared" si="0"/>
        <v>701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595</v>
      </c>
      <c r="Q15" s="158">
        <v>2</v>
      </c>
      <c r="R15" s="159">
        <v>506.13</v>
      </c>
      <c r="S15" s="160"/>
      <c r="T15" s="161"/>
      <c r="U15" s="189">
        <f t="shared" si="2"/>
        <v>0</v>
      </c>
      <c r="V15" s="189">
        <f t="shared" si="3"/>
        <v>3.7959749999999999</v>
      </c>
      <c r="W15" s="189">
        <f t="shared" si="4"/>
        <v>0</v>
      </c>
      <c r="X15" s="189">
        <f t="shared" si="5"/>
        <v>0</v>
      </c>
      <c r="Y15" s="189">
        <f t="shared" si="6"/>
        <v>502.334025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4093.8399999999997</v>
      </c>
      <c r="C16" s="15"/>
      <c r="D16" s="56"/>
      <c r="E16" s="16"/>
      <c r="F16" s="56"/>
      <c r="G16" s="56"/>
      <c r="H16" s="17"/>
      <c r="I16" s="83"/>
      <c r="J16" s="81">
        <f t="shared" si="0"/>
        <v>4093.8399999999997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575</v>
      </c>
      <c r="Q16" s="158">
        <v>4</v>
      </c>
      <c r="R16" s="159">
        <v>310.48</v>
      </c>
      <c r="S16" s="160"/>
      <c r="T16" s="161"/>
      <c r="U16" s="189">
        <f t="shared" si="2"/>
        <v>0</v>
      </c>
      <c r="V16" s="189">
        <f t="shared" si="3"/>
        <v>2.3286000000000002</v>
      </c>
      <c r="W16" s="189">
        <f t="shared" si="4"/>
        <v>0</v>
      </c>
      <c r="X16" s="189">
        <f t="shared" si="5"/>
        <v>0</v>
      </c>
      <c r="Y16" s="189">
        <f t="shared" si="6"/>
        <v>308.15140000000002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576</v>
      </c>
      <c r="Q17" s="158">
        <v>4</v>
      </c>
      <c r="R17" s="159">
        <v>1599.95</v>
      </c>
      <c r="S17" s="160"/>
      <c r="T17" s="161"/>
      <c r="U17" s="189">
        <f t="shared" si="2"/>
        <v>0</v>
      </c>
      <c r="V17" s="189">
        <f t="shared" si="3"/>
        <v>11.999625</v>
      </c>
      <c r="W17" s="189">
        <f t="shared" si="4"/>
        <v>0</v>
      </c>
      <c r="X17" s="189">
        <f t="shared" si="5"/>
        <v>0</v>
      </c>
      <c r="Y17" s="189">
        <f t="shared" si="6"/>
        <v>1587.9503750000001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212</v>
      </c>
      <c r="Q18" s="158">
        <v>10</v>
      </c>
      <c r="R18" s="159">
        <v>1070.28</v>
      </c>
      <c r="S18" s="160"/>
      <c r="T18" s="161"/>
      <c r="U18" s="189">
        <f t="shared" si="2"/>
        <v>0</v>
      </c>
      <c r="V18" s="189">
        <f t="shared" si="3"/>
        <v>8.027099999999999</v>
      </c>
      <c r="W18" s="189">
        <f t="shared" si="4"/>
        <v>0</v>
      </c>
      <c r="X18" s="189">
        <f t="shared" si="5"/>
        <v>0</v>
      </c>
      <c r="Y18" s="189">
        <f t="shared" si="6"/>
        <v>1062.2529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1630</v>
      </c>
      <c r="C19" s="95"/>
      <c r="D19" s="94"/>
      <c r="E19" s="96"/>
      <c r="F19" s="94"/>
      <c r="G19" s="94"/>
      <c r="H19" s="98"/>
      <c r="I19" s="99">
        <v>1630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211</v>
      </c>
      <c r="Q19" s="158">
        <v>10</v>
      </c>
      <c r="R19" s="159">
        <v>1071.95</v>
      </c>
      <c r="S19" s="160"/>
      <c r="T19" s="161"/>
      <c r="U19" s="189">
        <f t="shared" si="2"/>
        <v>0</v>
      </c>
      <c r="V19" s="189">
        <f t="shared" si="3"/>
        <v>8.0396250000000009</v>
      </c>
      <c r="W19" s="189">
        <f t="shared" si="4"/>
        <v>0</v>
      </c>
      <c r="X19" s="189">
        <f t="shared" si="5"/>
        <v>0</v>
      </c>
      <c r="Y19" s="189">
        <f t="shared" si="6"/>
        <v>1063.9103749999999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9472.75</v>
      </c>
      <c r="C20" s="95"/>
      <c r="D20" s="94"/>
      <c r="E20" s="96"/>
      <c r="F20" s="94"/>
      <c r="G20" s="94"/>
      <c r="H20" s="98"/>
      <c r="I20" s="99"/>
      <c r="J20" s="185">
        <f t="shared" si="0"/>
        <v>9472.75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664</v>
      </c>
      <c r="Q20" s="158">
        <v>18</v>
      </c>
      <c r="R20" s="159">
        <v>721.2</v>
      </c>
      <c r="S20" s="160"/>
      <c r="T20" s="161">
        <v>20.28</v>
      </c>
      <c r="U20" s="189">
        <f t="shared" si="2"/>
        <v>0.87413793103448301</v>
      </c>
      <c r="V20" s="189">
        <f t="shared" si="3"/>
        <v>5.4089999999999998</v>
      </c>
      <c r="W20" s="189">
        <f t="shared" si="4"/>
        <v>0</v>
      </c>
      <c r="X20" s="189">
        <f t="shared" si="5"/>
        <v>0.50700000000000001</v>
      </c>
      <c r="Y20" s="189">
        <f t="shared" si="6"/>
        <v>715.79100000000005</v>
      </c>
      <c r="Z20" s="189">
        <f t="shared" si="6"/>
        <v>0</v>
      </c>
      <c r="AA20" s="189">
        <f t="shared" si="7"/>
        <v>18.898862068965517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665</v>
      </c>
      <c r="Q21" s="158">
        <v>18</v>
      </c>
      <c r="R21" s="159">
        <v>781.93</v>
      </c>
      <c r="S21" s="160"/>
      <c r="T21" s="161">
        <v>15.24</v>
      </c>
      <c r="U21" s="189">
        <f t="shared" si="2"/>
        <v>0.65689655172413808</v>
      </c>
      <c r="V21" s="189">
        <f t="shared" si="3"/>
        <v>5.8644749999999997</v>
      </c>
      <c r="W21" s="189">
        <f t="shared" si="4"/>
        <v>0</v>
      </c>
      <c r="X21" s="189">
        <f t="shared" si="5"/>
        <v>0.38100000000000001</v>
      </c>
      <c r="Y21" s="189">
        <f t="shared" si="6"/>
        <v>776.06552499999998</v>
      </c>
      <c r="Z21" s="189">
        <f t="shared" si="6"/>
        <v>0</v>
      </c>
      <c r="AA21" s="189">
        <f t="shared" si="7"/>
        <v>14.202103448275862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24.38</v>
      </c>
      <c r="C37" s="100"/>
      <c r="D37" s="66"/>
      <c r="E37" s="67"/>
      <c r="F37" s="66"/>
      <c r="G37" s="66"/>
      <c r="H37" s="102"/>
      <c r="I37" s="79"/>
      <c r="J37" s="81">
        <f t="shared" si="0"/>
        <v>24.38</v>
      </c>
      <c r="K37" s="80"/>
      <c r="L37" s="186">
        <f>K37-B37</f>
        <v>-24.38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141.1602</v>
      </c>
      <c r="C38" s="100"/>
      <c r="D38" s="66"/>
      <c r="E38" s="67"/>
      <c r="F38" s="66"/>
      <c r="G38" s="66"/>
      <c r="H38" s="102"/>
      <c r="I38" s="79"/>
      <c r="J38" s="81">
        <f t="shared" si="0"/>
        <v>141.1602</v>
      </c>
      <c r="K38" s="80"/>
      <c r="L38" s="186">
        <f>K38-B38</f>
        <v>-141.1602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9820.7300000000014</v>
      </c>
      <c r="S42" s="190">
        <f t="shared" si="8"/>
        <v>0</v>
      </c>
      <c r="T42" s="190">
        <f t="shared" si="8"/>
        <v>189.89000000000001</v>
      </c>
      <c r="U42" s="190">
        <f t="shared" si="8"/>
        <v>8.1849137931034495</v>
      </c>
      <c r="V42" s="190">
        <f t="shared" si="8"/>
        <v>73.655474999999996</v>
      </c>
      <c r="W42" s="190">
        <f t="shared" si="8"/>
        <v>0</v>
      </c>
      <c r="X42" s="190">
        <f t="shared" si="8"/>
        <v>4.7472500000000002</v>
      </c>
      <c r="Y42" s="190">
        <f t="shared" si="8"/>
        <v>9747.0745249999982</v>
      </c>
      <c r="Z42" s="190">
        <f t="shared" si="8"/>
        <v>0</v>
      </c>
      <c r="AA42" s="190">
        <f t="shared" si="8"/>
        <v>176.95783620689656</v>
      </c>
      <c r="AB42" s="166"/>
    </row>
    <row r="43" spans="1:28" ht="15.75" x14ac:dyDescent="0.25">
      <c r="A43" s="93" t="s">
        <v>101</v>
      </c>
      <c r="B43" s="97">
        <f>+B37+B39+B41</f>
        <v>24.38</v>
      </c>
      <c r="C43" s="95"/>
      <c r="D43" s="94"/>
      <c r="E43" s="96"/>
      <c r="F43" s="94"/>
      <c r="G43" s="94"/>
      <c r="H43" s="98"/>
      <c r="I43" s="99">
        <v>24.38</v>
      </c>
      <c r="J43" s="185">
        <f t="shared" si="0"/>
        <v>0</v>
      </c>
      <c r="K43" s="99"/>
      <c r="L43" s="187">
        <f>K43-B43</f>
        <v>-24.38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141.1602</v>
      </c>
      <c r="C44" s="95"/>
      <c r="D44" s="94"/>
      <c r="E44" s="96"/>
      <c r="F44" s="94"/>
      <c r="G44" s="94"/>
      <c r="H44" s="98"/>
      <c r="I44" s="99"/>
      <c r="J44" s="185">
        <f t="shared" si="0"/>
        <v>141.1602</v>
      </c>
      <c r="K44" s="99"/>
      <c r="L44" s="187">
        <f>K44-B44</f>
        <v>-141.1602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9820.7300000000014</v>
      </c>
      <c r="C46" s="116">
        <v>7.4999999999999997E-3</v>
      </c>
      <c r="D46" s="117">
        <f>B46*C46</f>
        <v>73.65547500000001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9747.0745250000018</v>
      </c>
      <c r="H46" s="173">
        <f>B$6+1</f>
        <v>44778</v>
      </c>
      <c r="I46" s="174">
        <v>9038.7999999999993</v>
      </c>
      <c r="J46" s="81">
        <f t="shared" si="0"/>
        <v>781.93000000000211</v>
      </c>
      <c r="K46" s="80">
        <v>9920.4</v>
      </c>
      <c r="L46" s="186">
        <f>K46-G46</f>
        <v>173.32547499999782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173</v>
      </c>
      <c r="B48" s="117">
        <f>R69</f>
        <v>44.839999999999996</v>
      </c>
      <c r="C48" s="116">
        <v>1.4999999999999999E-2</v>
      </c>
      <c r="D48" s="117">
        <f t="shared" si="17"/>
        <v>0.67259999999999986</v>
      </c>
      <c r="E48" s="172">
        <v>0</v>
      </c>
      <c r="F48" s="117">
        <f t="shared" si="15"/>
        <v>0</v>
      </c>
      <c r="G48" s="117">
        <f t="shared" si="16"/>
        <v>44.167399999999994</v>
      </c>
      <c r="H48" s="173">
        <f t="shared" ref="H48:H61" si="19">B$6+1</f>
        <v>44778</v>
      </c>
      <c r="I48" s="176">
        <v>44.84</v>
      </c>
      <c r="J48" s="81">
        <f t="shared" si="0"/>
        <v>0</v>
      </c>
      <c r="K48" s="80">
        <v>44.17</v>
      </c>
      <c r="L48" s="186">
        <f t="shared" si="18"/>
        <v>-2.6000000000081513E-3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186</v>
      </c>
      <c r="B49" s="117">
        <f>R75</f>
        <v>2778.4300000000003</v>
      </c>
      <c r="C49" s="116">
        <v>7.4999999999999997E-3</v>
      </c>
      <c r="D49" s="117">
        <f t="shared" si="17"/>
        <v>20.838225000000001</v>
      </c>
      <c r="E49" s="172">
        <v>0</v>
      </c>
      <c r="F49" s="117">
        <f t="shared" si="15"/>
        <v>0</v>
      </c>
      <c r="G49" s="117">
        <f t="shared" si="16"/>
        <v>2757.5917750000003</v>
      </c>
      <c r="H49" s="173">
        <f t="shared" si="19"/>
        <v>44778</v>
      </c>
      <c r="I49" s="176">
        <v>2778.03</v>
      </c>
      <c r="J49" s="81">
        <f t="shared" si="0"/>
        <v>0.40000000000009095</v>
      </c>
      <c r="K49" s="80">
        <v>2757.59</v>
      </c>
      <c r="L49" s="186">
        <f t="shared" si="18"/>
        <v>1.7750000001797162E-3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1878.1599999999999</v>
      </c>
      <c r="C50" s="116">
        <v>7.4999999999999997E-3</v>
      </c>
      <c r="D50" s="117">
        <f t="shared" si="17"/>
        <v>14.086199999999998</v>
      </c>
      <c r="E50" s="172">
        <v>0</v>
      </c>
      <c r="F50" s="117">
        <f t="shared" si="15"/>
        <v>0</v>
      </c>
      <c r="G50" s="117">
        <f t="shared" si="16"/>
        <v>1864.0737999999999</v>
      </c>
      <c r="H50" s="173">
        <f t="shared" si="19"/>
        <v>44778</v>
      </c>
      <c r="I50" s="175">
        <v>3166.87</v>
      </c>
      <c r="J50" s="81">
        <f t="shared" si="0"/>
        <v>-1288.71</v>
      </c>
      <c r="K50" s="80">
        <v>1864.07</v>
      </c>
      <c r="L50" s="186">
        <f t="shared" si="18"/>
        <v>3.7999999999556167E-3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501.86</v>
      </c>
      <c r="C51" s="116">
        <v>1.4999999999999999E-2</v>
      </c>
      <c r="D51" s="117">
        <f>+B51*C51</f>
        <v>7.5278999999999998</v>
      </c>
      <c r="E51" s="172">
        <v>0</v>
      </c>
      <c r="F51" s="117">
        <f>D51*E51</f>
        <v>0</v>
      </c>
      <c r="G51" s="117">
        <f t="shared" si="16"/>
        <v>494.33210000000003</v>
      </c>
      <c r="H51" s="173">
        <f t="shared" si="19"/>
        <v>44778</v>
      </c>
      <c r="I51" s="175"/>
      <c r="J51" s="81">
        <f t="shared" si="0"/>
        <v>501.86</v>
      </c>
      <c r="K51" s="80">
        <v>494.33</v>
      </c>
      <c r="L51" s="186">
        <f t="shared" si="18"/>
        <v>2.1000000000412911E-3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189.89000000000001</v>
      </c>
      <c r="C52" s="116">
        <v>2.5000000000000001E-2</v>
      </c>
      <c r="D52" s="117">
        <f>B52*C52</f>
        <v>4.7472500000000002</v>
      </c>
      <c r="E52" s="172">
        <v>0.05</v>
      </c>
      <c r="F52" s="117">
        <f>(B52/E$10)*E52</f>
        <v>8.1849137931034495</v>
      </c>
      <c r="G52" s="117">
        <f>B52-D52-F52</f>
        <v>176.95783620689656</v>
      </c>
      <c r="H52" s="188">
        <f t="shared" si="19"/>
        <v>44778</v>
      </c>
      <c r="I52" s="176">
        <v>189.89</v>
      </c>
      <c r="J52" s="81">
        <f t="shared" si="0"/>
        <v>0</v>
      </c>
      <c r="K52" s="80">
        <v>14.2</v>
      </c>
      <c r="L52" s="186">
        <f>K52-G52</f>
        <v>-162.75783620689657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276</v>
      </c>
      <c r="B56" s="117">
        <f>T75</f>
        <v>33.590000000000003</v>
      </c>
      <c r="C56" s="116">
        <v>2.5000000000000001E-2</v>
      </c>
      <c r="D56" s="117">
        <f t="shared" si="20"/>
        <v>0.83975000000000011</v>
      </c>
      <c r="E56" s="172">
        <v>0.05</v>
      </c>
      <c r="F56" s="117">
        <f t="shared" si="21"/>
        <v>1.4478448275862073</v>
      </c>
      <c r="G56" s="117">
        <f t="shared" si="22"/>
        <v>31.302405172413795</v>
      </c>
      <c r="H56" s="173">
        <f t="shared" si="19"/>
        <v>44778</v>
      </c>
      <c r="I56" s="176">
        <v>33.590000000000003</v>
      </c>
      <c r="J56" s="81">
        <f t="shared" si="0"/>
        <v>0</v>
      </c>
      <c r="K56" s="80">
        <v>31.3</v>
      </c>
      <c r="L56" s="186">
        <f t="shared" si="18"/>
        <v>2.4051724137947872E-3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122.36739999999999</v>
      </c>
      <c r="E61" s="177"/>
      <c r="F61" s="57">
        <f>SUM(F46:F58)</f>
        <v>9.6327586206896569</v>
      </c>
      <c r="G61" s="57">
        <f>SUM(G46:G58)</f>
        <v>15115.499841379313</v>
      </c>
      <c r="H61" s="173">
        <f t="shared" si="19"/>
        <v>44778</v>
      </c>
      <c r="I61" s="175"/>
      <c r="J61" s="81">
        <f t="shared" si="0"/>
        <v>0</v>
      </c>
      <c r="K61" s="80"/>
      <c r="L61" s="186">
        <f t="shared" si="18"/>
        <v>15115.499841379313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24</v>
      </c>
      <c r="C62" s="18"/>
      <c r="D62" s="101"/>
      <c r="E62" s="178"/>
      <c r="F62" s="101"/>
      <c r="G62" s="57"/>
      <c r="H62" s="173">
        <f>B$6+1</f>
        <v>44778</v>
      </c>
      <c r="I62" s="176"/>
      <c r="J62" s="81">
        <f t="shared" si="0"/>
        <v>24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30230.999682758626</v>
      </c>
      <c r="H64" s="184"/>
      <c r="I64" s="175"/>
      <c r="J64" s="81">
        <f t="shared" si="0"/>
        <v>0</v>
      </c>
      <c r="K64" s="80"/>
      <c r="L64" s="186">
        <f t="shared" si="18"/>
        <v>30230.999682758626</v>
      </c>
      <c r="M64" s="130"/>
      <c r="N64" s="87">
        <v>1</v>
      </c>
      <c r="O64" s="122" t="s">
        <v>240</v>
      </c>
      <c r="P64" s="225"/>
      <c r="Q64" s="225">
        <v>4256</v>
      </c>
      <c r="R64" s="221">
        <v>27.24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0.20429999999999998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27.035699999999999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25754.910200000002</v>
      </c>
      <c r="G65" s="22"/>
      <c r="L65" s="132"/>
      <c r="M65" s="131"/>
      <c r="N65" s="87">
        <v>2</v>
      </c>
      <c r="O65" s="122" t="s">
        <v>240</v>
      </c>
      <c r="P65" s="225"/>
      <c r="Q65" s="225">
        <v>4767</v>
      </c>
      <c r="R65" s="225">
        <v>6.6</v>
      </c>
      <c r="S65" s="225"/>
      <c r="T65" s="225"/>
      <c r="U65" s="189">
        <f t="shared" si="27"/>
        <v>0</v>
      </c>
      <c r="V65" s="189">
        <f t="shared" si="28"/>
        <v>4.9499999999999995E-2</v>
      </c>
      <c r="W65" s="189">
        <f t="shared" si="29"/>
        <v>0</v>
      </c>
      <c r="X65" s="189">
        <f t="shared" si="30"/>
        <v>0</v>
      </c>
      <c r="Y65" s="189">
        <f t="shared" si="31"/>
        <v>6.5504999999999995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240</v>
      </c>
      <c r="P66" s="225"/>
      <c r="Q66" s="225">
        <v>5981</v>
      </c>
      <c r="R66" s="225">
        <v>11</v>
      </c>
      <c r="S66" s="225"/>
      <c r="T66" s="225"/>
      <c r="U66" s="189">
        <f t="shared" si="27"/>
        <v>0</v>
      </c>
      <c r="V66" s="189">
        <f t="shared" si="28"/>
        <v>8.249999999999999E-2</v>
      </c>
      <c r="W66" s="189">
        <f t="shared" si="29"/>
        <v>0</v>
      </c>
      <c r="X66" s="189">
        <f t="shared" si="30"/>
        <v>0</v>
      </c>
      <c r="Y66" s="189">
        <f t="shared" si="31"/>
        <v>10.9175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173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25645.83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173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25391.01</v>
      </c>
      <c r="C69" s="59"/>
      <c r="F69" s="87" t="s">
        <v>127</v>
      </c>
      <c r="G69" s="22"/>
      <c r="H69" s="89"/>
      <c r="I69" s="136"/>
      <c r="J69" s="136">
        <f>K52</f>
        <v>14.2</v>
      </c>
      <c r="N69" s="312" t="s">
        <v>108</v>
      </c>
      <c r="O69" s="312"/>
      <c r="P69" s="313"/>
      <c r="Q69" s="313"/>
      <c r="R69" s="192">
        <f>SUM(R64:R68)</f>
        <v>44.839999999999996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0.33629999999999993</v>
      </c>
      <c r="W69" s="192">
        <f t="shared" si="33"/>
        <v>0</v>
      </c>
      <c r="X69" s="192">
        <f t="shared" si="33"/>
        <v>0</v>
      </c>
      <c r="Y69" s="192">
        <f t="shared" si="33"/>
        <v>44.503699999999995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254.82000000000335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234</v>
      </c>
      <c r="P70" s="225">
        <v>195</v>
      </c>
      <c r="Q70" s="225">
        <v>2001</v>
      </c>
      <c r="R70" s="221">
        <v>19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0.14249999999999999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18.857500000000002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109.08020000000033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14.2</v>
      </c>
      <c r="N71" s="87">
        <v>2</v>
      </c>
      <c r="O71" s="122" t="s">
        <v>234</v>
      </c>
      <c r="P71" s="225">
        <v>196</v>
      </c>
      <c r="Q71" s="225">
        <v>2001</v>
      </c>
      <c r="R71" s="221">
        <v>22.7</v>
      </c>
      <c r="S71" s="225"/>
      <c r="T71" s="225"/>
      <c r="U71" s="189">
        <f t="shared" si="34"/>
        <v>0</v>
      </c>
      <c r="V71" s="189">
        <f t="shared" si="35"/>
        <v>0.17024999999999998</v>
      </c>
      <c r="W71" s="189">
        <f t="shared" si="36"/>
        <v>0</v>
      </c>
      <c r="X71" s="189">
        <f t="shared" si="37"/>
        <v>0</v>
      </c>
      <c r="Y71" s="189">
        <f t="shared" si="38"/>
        <v>22.52975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234</v>
      </c>
      <c r="P72" s="225">
        <v>46</v>
      </c>
      <c r="Q72" s="225">
        <v>2001</v>
      </c>
      <c r="R72" s="221">
        <v>1173.31</v>
      </c>
      <c r="S72" s="225"/>
      <c r="T72" s="225"/>
      <c r="U72" s="189">
        <f t="shared" si="34"/>
        <v>0</v>
      </c>
      <c r="V72" s="189">
        <f t="shared" si="35"/>
        <v>8.7998249999999985</v>
      </c>
      <c r="W72" s="189">
        <f t="shared" si="36"/>
        <v>0</v>
      </c>
      <c r="X72" s="189">
        <f t="shared" si="37"/>
        <v>0</v>
      </c>
      <c r="Y72" s="189">
        <f t="shared" si="38"/>
        <v>1164.5101749999999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234</v>
      </c>
      <c r="P73" s="225">
        <v>113</v>
      </c>
      <c r="Q73" s="225"/>
      <c r="R73" s="221">
        <v>1563.42</v>
      </c>
      <c r="S73" s="225"/>
      <c r="T73" s="225">
        <v>33.590000000000003</v>
      </c>
      <c r="U73" s="189">
        <f t="shared" si="34"/>
        <v>1.4478448275862073</v>
      </c>
      <c r="V73" s="189">
        <f t="shared" si="35"/>
        <v>11.72565</v>
      </c>
      <c r="W73" s="189">
        <f t="shared" si="36"/>
        <v>0</v>
      </c>
      <c r="X73" s="189">
        <f t="shared" si="37"/>
        <v>0.83975000000000011</v>
      </c>
      <c r="Y73" s="189">
        <f t="shared" si="38"/>
        <v>1551.69435</v>
      </c>
      <c r="Z73" s="189">
        <f t="shared" si="38"/>
        <v>0</v>
      </c>
      <c r="AA73" s="189">
        <f t="shared" si="39"/>
        <v>31.302405172413795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234</v>
      </c>
      <c r="P74" s="225"/>
      <c r="Q74" s="225"/>
      <c r="R74" s="221"/>
      <c r="S74" s="225"/>
      <c r="T74" s="225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2778.4300000000003</v>
      </c>
      <c r="S75" s="192"/>
      <c r="T75" s="192">
        <f>SUM(T70:T74)</f>
        <v>33.590000000000003</v>
      </c>
      <c r="U75" s="192">
        <f>SUM(U70:U74)</f>
        <v>1.4478448275862073</v>
      </c>
      <c r="V75" s="192">
        <f t="shared" ref="V75:AA75" si="41">SUM(V70:V74)</f>
        <v>20.838224999999998</v>
      </c>
      <c r="W75" s="192">
        <f t="shared" si="41"/>
        <v>0</v>
      </c>
      <c r="X75" s="192">
        <f t="shared" si="41"/>
        <v>0.83975000000000011</v>
      </c>
      <c r="Y75" s="192">
        <f t="shared" si="41"/>
        <v>2757.5917749999999</v>
      </c>
      <c r="Z75" s="192">
        <f t="shared" si="41"/>
        <v>0</v>
      </c>
      <c r="AA75" s="193">
        <f t="shared" si="41"/>
        <v>31.302405172413795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318.76+33.9+312.12</f>
        <v>664.78</v>
      </c>
      <c r="R78" s="82">
        <v>7.4999999999999997E-3</v>
      </c>
      <c r="S78" s="194">
        <f>+(P78+Q78)*R78</f>
        <v>4.9858499999999992</v>
      </c>
      <c r="T78" s="254">
        <f>+(P78+Q78)-S78</f>
        <v>659.79414999999995</v>
      </c>
      <c r="U78" s="211">
        <f>110.45+29.42</f>
        <v>139.87</v>
      </c>
      <c r="V78" s="112"/>
      <c r="W78" s="113">
        <v>1.4999999999999999E-2</v>
      </c>
      <c r="X78" s="196">
        <f>+(U78+V78)*W78</f>
        <v>2.0980500000000002</v>
      </c>
      <c r="Y78" s="234">
        <f>+(U78+V78)-X78</f>
        <v>137.77195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f>151.92+59.67+233.94</f>
        <v>445.53</v>
      </c>
      <c r="R79" s="82">
        <v>7.4999999999999997E-3</v>
      </c>
      <c r="S79" s="194">
        <f t="shared" ref="S79:S97" si="43">+(P79+Q79)*R79</f>
        <v>3.3414749999999995</v>
      </c>
      <c r="T79" s="254">
        <f t="shared" ref="T79:T97" si="44">+(P79+Q79)-S79</f>
        <v>442.18852499999997</v>
      </c>
      <c r="U79" s="211">
        <f>26.59+50.14</f>
        <v>76.73</v>
      </c>
      <c r="V79" s="112"/>
      <c r="W79" s="113">
        <v>1.4999999999999999E-2</v>
      </c>
      <c r="X79" s="196">
        <f t="shared" ref="X79:X97" si="45">+(U79+V79)*W79</f>
        <v>1.1509499999999999</v>
      </c>
      <c r="Y79" s="234">
        <f t="shared" ref="Y79:Y97" si="46">+(U79+V79)-X79</f>
        <v>75.579050000000009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19.33+1.6+364.14+11.81</f>
        <v>396.88</v>
      </c>
      <c r="R80" s="82">
        <v>7.4999999999999997E-3</v>
      </c>
      <c r="S80" s="194">
        <f t="shared" si="43"/>
        <v>2.9765999999999999</v>
      </c>
      <c r="T80" s="219">
        <f t="shared" si="44"/>
        <v>393.90339999999998</v>
      </c>
      <c r="U80" s="211">
        <f>19.25+51.94</f>
        <v>71.19</v>
      </c>
      <c r="V80" s="112"/>
      <c r="W80" s="113">
        <v>1.4999999999999999E-2</v>
      </c>
      <c r="X80" s="196">
        <f t="shared" si="45"/>
        <v>1.06785</v>
      </c>
      <c r="Y80" s="254">
        <f t="shared" si="46"/>
        <v>70.122150000000005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71.6+11.25</f>
        <v>82.85</v>
      </c>
      <c r="R81" s="82">
        <v>7.4999999999999997E-3</v>
      </c>
      <c r="S81" s="194">
        <f t="shared" si="43"/>
        <v>0.6213749999999999</v>
      </c>
      <c r="T81" s="219">
        <f t="shared" si="44"/>
        <v>82.228624999999994</v>
      </c>
      <c r="U81" s="211">
        <f>177.75</f>
        <v>177.75</v>
      </c>
      <c r="V81" s="112"/>
      <c r="W81" s="113">
        <v>1.4999999999999999E-2</v>
      </c>
      <c r="X81" s="196">
        <f t="shared" si="45"/>
        <v>2.6662499999999998</v>
      </c>
      <c r="Y81" s="254">
        <f t="shared" si="46"/>
        <v>175.08375000000001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268.34+19.78</f>
        <v>288.12</v>
      </c>
      <c r="R82" s="82">
        <v>7.4999999999999997E-3</v>
      </c>
      <c r="S82" s="194">
        <f t="shared" si="43"/>
        <v>2.1608999999999998</v>
      </c>
      <c r="T82" s="219">
        <f t="shared" si="44"/>
        <v>285.95909999999998</v>
      </c>
      <c r="U82" s="211">
        <v>36.32</v>
      </c>
      <c r="V82" s="112"/>
      <c r="W82" s="113">
        <v>1.4999999999999999E-2</v>
      </c>
      <c r="X82" s="196">
        <f t="shared" si="45"/>
        <v>0.54479999999999995</v>
      </c>
      <c r="Y82" s="234">
        <f t="shared" si="46"/>
        <v>35.775199999999998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54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54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9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216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16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1878.1599999999999</v>
      </c>
      <c r="R98" s="111"/>
      <c r="S98" s="195">
        <f>SUM(S78:S97)</f>
        <v>14.086199999999998</v>
      </c>
      <c r="T98" s="195">
        <f>SUM(T78:T97)</f>
        <v>1864.0737999999999</v>
      </c>
      <c r="U98" s="114">
        <f>SUM(U78:U97)</f>
        <v>501.86</v>
      </c>
      <c r="V98" s="114">
        <f>SUM(V78:V97)</f>
        <v>0</v>
      </c>
      <c r="W98" s="112"/>
      <c r="X98" s="197">
        <f>SUM(X78:X97)</f>
        <v>7.5279000000000007</v>
      </c>
      <c r="Y98" s="197">
        <f>SUM(Y78:Y97)</f>
        <v>494.33210000000003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</row>
    <row r="100" spans="14:30" x14ac:dyDescent="0.25">
      <c r="N100" s="85"/>
      <c r="O100" s="84"/>
      <c r="P100" s="215">
        <f t="shared" ref="P100:P109" si="50">P78+Q78+U78</f>
        <v>804.65</v>
      </c>
    </row>
    <row r="101" spans="14:30" x14ac:dyDescent="0.25">
      <c r="N101" s="85"/>
      <c r="O101" s="84"/>
      <c r="P101" s="215">
        <f t="shared" si="50"/>
        <v>522.26</v>
      </c>
      <c r="Q101" s="212"/>
    </row>
    <row r="102" spans="14:30" x14ac:dyDescent="0.25">
      <c r="N102" s="85"/>
      <c r="O102" s="84"/>
      <c r="P102" s="215">
        <f>P80+Q80+U80</f>
        <v>468.07</v>
      </c>
      <c r="Q102" s="212"/>
    </row>
    <row r="103" spans="14:30" x14ac:dyDescent="0.25">
      <c r="N103" s="85"/>
      <c r="O103" s="84"/>
      <c r="P103" s="215">
        <f t="shared" si="50"/>
        <v>260.60000000000002</v>
      </c>
      <c r="Q103" s="212"/>
    </row>
    <row r="104" spans="14:30" x14ac:dyDescent="0.25">
      <c r="N104" s="85"/>
      <c r="O104" s="84"/>
      <c r="P104" s="215">
        <f>P82+Q82+U82</f>
        <v>324.44</v>
      </c>
      <c r="Q104" s="212"/>
    </row>
    <row r="105" spans="14:30" x14ac:dyDescent="0.25">
      <c r="N105" s="85"/>
      <c r="O105" s="84"/>
      <c r="P105" s="215">
        <f>P83+Q83+U83</f>
        <v>0</v>
      </c>
      <c r="Q105" s="212"/>
    </row>
    <row r="106" spans="14:30" x14ac:dyDescent="0.25">
      <c r="N106" s="85"/>
      <c r="O106" s="84"/>
      <c r="P106" s="246">
        <f>P84+Q84+U84</f>
        <v>0</v>
      </c>
      <c r="Q106" s="212"/>
    </row>
    <row r="107" spans="14:30" x14ac:dyDescent="0.25">
      <c r="N107" s="85"/>
      <c r="O107" s="84"/>
      <c r="P107" s="84">
        <f t="shared" si="50"/>
        <v>0</v>
      </c>
    </row>
    <row r="108" spans="14:30" x14ac:dyDescent="0.25">
      <c r="N108" s="85"/>
      <c r="O108" s="84"/>
      <c r="P108" s="246">
        <f t="shared" si="50"/>
        <v>0</v>
      </c>
    </row>
    <row r="109" spans="14:30" x14ac:dyDescent="0.25">
      <c r="N109" s="85"/>
      <c r="O109" s="84"/>
      <c r="P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5" zoomScale="90" zoomScaleNormal="90" workbookViewId="0">
      <selection activeCell="K69" sqref="K6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5.84</v>
      </c>
      <c r="C8" s="85" t="s">
        <v>92</v>
      </c>
      <c r="D8" s="108"/>
    </row>
    <row r="9" spans="1:28" x14ac:dyDescent="0.25">
      <c r="A9" s="7" t="s">
        <v>76</v>
      </c>
      <c r="B9" s="108">
        <v>5.87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1811.5</v>
      </c>
      <c r="C12" s="15"/>
      <c r="D12" s="56"/>
      <c r="E12" s="16"/>
      <c r="F12" s="56"/>
      <c r="G12" s="56"/>
      <c r="H12" s="17"/>
      <c r="I12" s="83">
        <v>1811.5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220</v>
      </c>
      <c r="P12" s="158">
        <v>214</v>
      </c>
      <c r="Q12" s="158">
        <v>11</v>
      </c>
      <c r="R12" s="159">
        <v>1537.52</v>
      </c>
      <c r="S12" s="160"/>
      <c r="T12" s="160"/>
      <c r="U12" s="189">
        <f>((T12/U$10)*U$9)</f>
        <v>0</v>
      </c>
      <c r="V12" s="189">
        <f>R12*V$10</f>
        <v>11.5314</v>
      </c>
      <c r="W12" s="189">
        <f>+S12*V$10</f>
        <v>0</v>
      </c>
      <c r="X12" s="189">
        <f>+T12*X$10</f>
        <v>0</v>
      </c>
      <c r="Y12" s="189">
        <f>R12-V12</f>
        <v>1525.9885999999999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866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866</v>
      </c>
      <c r="K13" s="75"/>
      <c r="L13" s="186">
        <f t="shared" ref="L13:L42" si="1">+G13-K13</f>
        <v>0</v>
      </c>
      <c r="M13" s="106"/>
      <c r="N13" s="104">
        <v>2</v>
      </c>
      <c r="O13" s="152" t="s">
        <v>220</v>
      </c>
      <c r="P13" s="158">
        <v>213</v>
      </c>
      <c r="Q13" s="158">
        <v>11</v>
      </c>
      <c r="R13" s="159">
        <v>808.8</v>
      </c>
      <c r="S13" s="160"/>
      <c r="T13" s="161">
        <v>48.36</v>
      </c>
      <c r="U13" s="189">
        <f t="shared" ref="U13:U41" si="2">((T13/U$10)*U$9)</f>
        <v>2.0844827586206898</v>
      </c>
      <c r="V13" s="189">
        <f t="shared" ref="V13:V41" si="3">R13*V$10</f>
        <v>6.0659999999999998</v>
      </c>
      <c r="W13" s="189">
        <f t="shared" ref="W13:W41" si="4">+S13*V$10</f>
        <v>0</v>
      </c>
      <c r="X13" s="189">
        <f t="shared" ref="X13:X41" si="5">+T13*X$10</f>
        <v>1.2090000000000001</v>
      </c>
      <c r="Y13" s="189">
        <f t="shared" ref="Y13:Z41" si="6">R13-V13</f>
        <v>802.73399999999992</v>
      </c>
      <c r="Z13" s="189">
        <f t="shared" si="6"/>
        <v>0</v>
      </c>
      <c r="AA13" s="189">
        <f t="shared" ref="AA13:AA41" si="7">T13-U13-X13</f>
        <v>45.066517241379309</v>
      </c>
      <c r="AB13" s="156"/>
    </row>
    <row r="14" spans="1:28" ht="15.75" x14ac:dyDescent="0.25">
      <c r="A14" s="86" t="s">
        <v>81</v>
      </c>
      <c r="B14" s="57">
        <f>B13*B8</f>
        <v>5057.4399999999996</v>
      </c>
      <c r="C14" s="15"/>
      <c r="D14" s="56"/>
      <c r="E14" s="16"/>
      <c r="F14" s="56"/>
      <c r="G14" s="56"/>
      <c r="H14" s="17"/>
      <c r="I14" s="83"/>
      <c r="J14" s="81">
        <f t="shared" si="0"/>
        <v>5057.4399999999996</v>
      </c>
      <c r="K14" s="80"/>
      <c r="L14" s="186">
        <f t="shared" si="1"/>
        <v>0</v>
      </c>
      <c r="M14" s="107"/>
      <c r="N14" s="104">
        <v>3</v>
      </c>
      <c r="O14" s="152" t="s">
        <v>220</v>
      </c>
      <c r="P14" s="158">
        <v>597</v>
      </c>
      <c r="Q14" s="158">
        <v>2</v>
      </c>
      <c r="R14" s="159">
        <v>2518.37</v>
      </c>
      <c r="S14" s="160"/>
      <c r="T14" s="161">
        <v>75.66</v>
      </c>
      <c r="U14" s="189">
        <f t="shared" si="2"/>
        <v>3.2612068965517249</v>
      </c>
      <c r="V14" s="189">
        <f t="shared" si="3"/>
        <v>18.887774999999998</v>
      </c>
      <c r="W14" s="189">
        <f t="shared" si="4"/>
        <v>0</v>
      </c>
      <c r="X14" s="189">
        <f t="shared" si="5"/>
        <v>1.8915</v>
      </c>
      <c r="Y14" s="189">
        <f t="shared" si="6"/>
        <v>2499.4822249999997</v>
      </c>
      <c r="Z14" s="189">
        <f t="shared" si="6"/>
        <v>0</v>
      </c>
      <c r="AA14" s="189">
        <f t="shared" si="7"/>
        <v>70.507293103448276</v>
      </c>
      <c r="AB14" s="156"/>
    </row>
    <row r="15" spans="1:28" ht="15.75" x14ac:dyDescent="0.25">
      <c r="A15" s="86" t="s">
        <v>77</v>
      </c>
      <c r="B15" s="56">
        <v>1388</v>
      </c>
      <c r="C15" s="15"/>
      <c r="D15" s="56"/>
      <c r="E15" s="16"/>
      <c r="F15" s="56"/>
      <c r="G15" s="56"/>
      <c r="H15" s="17"/>
      <c r="I15" s="83"/>
      <c r="J15" s="81">
        <f t="shared" si="0"/>
        <v>1388</v>
      </c>
      <c r="K15" s="80"/>
      <c r="L15" s="186">
        <f t="shared" si="1"/>
        <v>0</v>
      </c>
      <c r="M15" s="107"/>
      <c r="N15" s="104">
        <v>4</v>
      </c>
      <c r="O15" s="152" t="s">
        <v>220</v>
      </c>
      <c r="P15" s="158">
        <v>596</v>
      </c>
      <c r="Q15" s="158">
        <v>2</v>
      </c>
      <c r="R15" s="159">
        <v>1316.08</v>
      </c>
      <c r="S15" s="160"/>
      <c r="T15" s="161">
        <v>129.63</v>
      </c>
      <c r="U15" s="189">
        <f t="shared" si="2"/>
        <v>5.5875000000000004</v>
      </c>
      <c r="V15" s="189">
        <f t="shared" si="3"/>
        <v>9.8705999999999996</v>
      </c>
      <c r="W15" s="189">
        <f t="shared" si="4"/>
        <v>0</v>
      </c>
      <c r="X15" s="189">
        <f t="shared" si="5"/>
        <v>3.2407500000000002</v>
      </c>
      <c r="Y15" s="189">
        <f t="shared" si="6"/>
        <v>1306.2094</v>
      </c>
      <c r="Z15" s="189">
        <f t="shared" si="6"/>
        <v>0</v>
      </c>
      <c r="AA15" s="189">
        <f t="shared" si="7"/>
        <v>120.80174999999998</v>
      </c>
      <c r="AB15" s="156"/>
    </row>
    <row r="16" spans="1:28" ht="15.75" x14ac:dyDescent="0.25">
      <c r="A16" s="86" t="s">
        <v>81</v>
      </c>
      <c r="B16" s="57">
        <f>B15*B9</f>
        <v>8147.56</v>
      </c>
      <c r="C16" s="15"/>
      <c r="D16" s="56"/>
      <c r="E16" s="16"/>
      <c r="F16" s="56"/>
      <c r="G16" s="56"/>
      <c r="H16" s="17"/>
      <c r="I16" s="83"/>
      <c r="J16" s="81">
        <f t="shared" si="0"/>
        <v>8147.56</v>
      </c>
      <c r="K16" s="80"/>
      <c r="L16" s="186">
        <f t="shared" si="1"/>
        <v>0</v>
      </c>
      <c r="M16" s="107"/>
      <c r="N16" s="104">
        <v>5</v>
      </c>
      <c r="O16" s="152" t="s">
        <v>220</v>
      </c>
      <c r="P16" s="158">
        <v>578</v>
      </c>
      <c r="Q16" s="158">
        <v>4</v>
      </c>
      <c r="R16" s="159">
        <v>1580.15</v>
      </c>
      <c r="S16" s="160"/>
      <c r="T16" s="161">
        <v>282.25</v>
      </c>
      <c r="U16" s="189">
        <f t="shared" si="2"/>
        <v>12.165948275862071</v>
      </c>
      <c r="V16" s="189">
        <f t="shared" si="3"/>
        <v>11.851125</v>
      </c>
      <c r="W16" s="189">
        <f t="shared" si="4"/>
        <v>0</v>
      </c>
      <c r="X16" s="189">
        <f t="shared" si="5"/>
        <v>7.0562500000000004</v>
      </c>
      <c r="Y16" s="189">
        <f t="shared" si="6"/>
        <v>1568.2988750000002</v>
      </c>
      <c r="Z16" s="189">
        <f t="shared" si="6"/>
        <v>0</v>
      </c>
      <c r="AA16" s="189">
        <f t="shared" si="7"/>
        <v>263.02780172413793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220</v>
      </c>
      <c r="P17" s="158">
        <v>577</v>
      </c>
      <c r="Q17" s="158">
        <v>4</v>
      </c>
      <c r="R17" s="159">
        <v>464.24</v>
      </c>
      <c r="S17" s="160"/>
      <c r="T17" s="161"/>
      <c r="U17" s="189">
        <f t="shared" si="2"/>
        <v>0</v>
      </c>
      <c r="V17" s="189">
        <f t="shared" si="3"/>
        <v>3.4817999999999998</v>
      </c>
      <c r="W17" s="189">
        <f t="shared" si="4"/>
        <v>0</v>
      </c>
      <c r="X17" s="189">
        <f t="shared" si="5"/>
        <v>0</v>
      </c>
      <c r="Y17" s="189">
        <f t="shared" si="6"/>
        <v>460.75819999999999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220</v>
      </c>
      <c r="P18" s="158">
        <v>1</v>
      </c>
      <c r="Q18" s="158">
        <v>13</v>
      </c>
      <c r="R18" s="159">
        <v>561.66</v>
      </c>
      <c r="S18" s="160"/>
      <c r="T18" s="161"/>
      <c r="U18" s="189">
        <f t="shared" si="2"/>
        <v>0</v>
      </c>
      <c r="V18" s="189">
        <f t="shared" si="3"/>
        <v>4.2124499999999996</v>
      </c>
      <c r="W18" s="189">
        <f t="shared" si="4"/>
        <v>0</v>
      </c>
      <c r="X18" s="189">
        <f t="shared" si="5"/>
        <v>0</v>
      </c>
      <c r="Y18" s="189">
        <f t="shared" si="6"/>
        <v>557.44754999999998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2254</v>
      </c>
      <c r="C19" s="95"/>
      <c r="D19" s="94"/>
      <c r="E19" s="96"/>
      <c r="F19" s="94"/>
      <c r="G19" s="94"/>
      <c r="H19" s="98"/>
      <c r="I19" s="99">
        <v>2254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220</v>
      </c>
      <c r="P19" s="158">
        <v>214</v>
      </c>
      <c r="Q19" s="158">
        <v>10</v>
      </c>
      <c r="R19" s="159">
        <v>1664.25</v>
      </c>
      <c r="S19" s="160"/>
      <c r="T19" s="161">
        <v>17.350000000000001</v>
      </c>
      <c r="U19" s="189">
        <f t="shared" si="2"/>
        <v>0.74784482758620707</v>
      </c>
      <c r="V19" s="189">
        <f t="shared" si="3"/>
        <v>12.481874999999999</v>
      </c>
      <c r="W19" s="189">
        <f t="shared" si="4"/>
        <v>0</v>
      </c>
      <c r="X19" s="189">
        <f t="shared" si="5"/>
        <v>0.43375000000000008</v>
      </c>
      <c r="Y19" s="189">
        <f t="shared" si="6"/>
        <v>1651.7681250000001</v>
      </c>
      <c r="Z19" s="189">
        <f t="shared" si="6"/>
        <v>0</v>
      </c>
      <c r="AA19" s="189">
        <f t="shared" si="7"/>
        <v>16.168405172413795</v>
      </c>
      <c r="AB19" s="156"/>
    </row>
    <row r="20" spans="1:28" ht="15.75" x14ac:dyDescent="0.25">
      <c r="A20" s="93" t="s">
        <v>80</v>
      </c>
      <c r="B20" s="97">
        <f>+B14+B16+B18</f>
        <v>13205</v>
      </c>
      <c r="C20" s="95"/>
      <c r="D20" s="94"/>
      <c r="E20" s="96"/>
      <c r="F20" s="94"/>
      <c r="G20" s="94"/>
      <c r="H20" s="98"/>
      <c r="I20" s="99"/>
      <c r="J20" s="185">
        <f t="shared" si="0"/>
        <v>13205</v>
      </c>
      <c r="K20" s="99"/>
      <c r="L20" s="187">
        <f t="shared" si="1"/>
        <v>0</v>
      </c>
      <c r="M20" s="107"/>
      <c r="N20" s="104">
        <v>9</v>
      </c>
      <c r="O20" s="152" t="s">
        <v>220</v>
      </c>
      <c r="P20" s="158">
        <v>213</v>
      </c>
      <c r="Q20" s="158">
        <v>10</v>
      </c>
      <c r="R20" s="159">
        <v>1466.8</v>
      </c>
      <c r="S20" s="160"/>
      <c r="T20" s="161">
        <v>20.04</v>
      </c>
      <c r="U20" s="189">
        <f t="shared" si="2"/>
        <v>0.86379310344827587</v>
      </c>
      <c r="V20" s="189">
        <f t="shared" si="3"/>
        <v>11.000999999999999</v>
      </c>
      <c r="W20" s="189">
        <f t="shared" si="4"/>
        <v>0</v>
      </c>
      <c r="X20" s="189">
        <f t="shared" si="5"/>
        <v>0.501</v>
      </c>
      <c r="Y20" s="189">
        <f t="shared" si="6"/>
        <v>1455.799</v>
      </c>
      <c r="Z20" s="189">
        <f t="shared" si="6"/>
        <v>0</v>
      </c>
      <c r="AA20" s="189">
        <f t="shared" si="7"/>
        <v>18.675206896551721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/>
      <c r="M21" s="107"/>
      <c r="N21" s="104">
        <v>10</v>
      </c>
      <c r="O21" s="152" t="s">
        <v>220</v>
      </c>
      <c r="P21" s="158">
        <v>667</v>
      </c>
      <c r="Q21" s="158">
        <v>18</v>
      </c>
      <c r="R21" s="159">
        <v>1413.15</v>
      </c>
      <c r="S21" s="160"/>
      <c r="T21" s="161">
        <v>90.38</v>
      </c>
      <c r="U21" s="189">
        <f t="shared" si="2"/>
        <v>3.8956896551724136</v>
      </c>
      <c r="V21" s="189">
        <f t="shared" si="3"/>
        <v>10.598625</v>
      </c>
      <c r="W21" s="189">
        <f t="shared" si="4"/>
        <v>0</v>
      </c>
      <c r="X21" s="189">
        <f t="shared" si="5"/>
        <v>2.2595000000000001</v>
      </c>
      <c r="Y21" s="189">
        <f t="shared" si="6"/>
        <v>1402.551375</v>
      </c>
      <c r="Z21" s="189">
        <f t="shared" si="6"/>
        <v>0</v>
      </c>
      <c r="AA21" s="189">
        <f t="shared" si="7"/>
        <v>84.224810344827574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/>
      <c r="M22" s="107"/>
      <c r="N22" s="104">
        <v>11</v>
      </c>
      <c r="O22" s="152" t="s">
        <v>220</v>
      </c>
      <c r="P22" s="158">
        <v>666</v>
      </c>
      <c r="Q22" s="158">
        <v>18</v>
      </c>
      <c r="R22" s="162">
        <v>471.4</v>
      </c>
      <c r="S22" s="160"/>
      <c r="T22" s="160">
        <v>74.849999999999994</v>
      </c>
      <c r="U22" s="189">
        <f t="shared" si="2"/>
        <v>3.2262931034482762</v>
      </c>
      <c r="V22" s="189">
        <f t="shared" si="3"/>
        <v>3.5354999999999999</v>
      </c>
      <c r="W22" s="189">
        <f t="shared" si="4"/>
        <v>0</v>
      </c>
      <c r="X22" s="189">
        <f t="shared" si="5"/>
        <v>1.8712499999999999</v>
      </c>
      <c r="Y22" s="189">
        <f t="shared" si="6"/>
        <v>467.86449999999996</v>
      </c>
      <c r="Z22" s="189">
        <f t="shared" si="6"/>
        <v>0</v>
      </c>
      <c r="AA22" s="189">
        <f t="shared" si="7"/>
        <v>69.75245689655172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220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/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/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1.95</v>
      </c>
      <c r="C37" s="100"/>
      <c r="D37" s="66"/>
      <c r="E37" s="67"/>
      <c r="F37" s="66"/>
      <c r="G37" s="66"/>
      <c r="H37" s="102"/>
      <c r="I37" s="79"/>
      <c r="J37" s="81">
        <f t="shared" si="0"/>
        <v>1.95</v>
      </c>
      <c r="K37" s="80"/>
      <c r="L37" s="186">
        <f t="shared" si="8"/>
        <v>-1.95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11.388</v>
      </c>
      <c r="C38" s="100"/>
      <c r="D38" s="66"/>
      <c r="E38" s="67"/>
      <c r="F38" s="66"/>
      <c r="G38" s="66"/>
      <c r="H38" s="102"/>
      <c r="I38" s="79"/>
      <c r="J38" s="81">
        <f t="shared" si="0"/>
        <v>11.388</v>
      </c>
      <c r="K38" s="80"/>
      <c r="L38" s="186">
        <f t="shared" si="8"/>
        <v>-11.388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10</v>
      </c>
      <c r="C39" s="100"/>
      <c r="D39" s="66"/>
      <c r="E39" s="67"/>
      <c r="F39" s="66"/>
      <c r="G39" s="66"/>
      <c r="H39" s="102"/>
      <c r="I39" s="79"/>
      <c r="J39" s="81">
        <f t="shared" si="0"/>
        <v>10</v>
      </c>
      <c r="K39" s="80"/>
      <c r="L39" s="186">
        <f t="shared" si="8"/>
        <v>-10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58.7</v>
      </c>
      <c r="C40" s="100"/>
      <c r="D40" s="66"/>
      <c r="E40" s="67"/>
      <c r="F40" s="66"/>
      <c r="G40" s="66"/>
      <c r="H40" s="102"/>
      <c r="I40" s="79"/>
      <c r="J40" s="81">
        <f t="shared" si="0"/>
        <v>58.7</v>
      </c>
      <c r="K40" s="80"/>
      <c r="L40" s="186">
        <f t="shared" si="8"/>
        <v>-58.7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13802.419999999998</v>
      </c>
      <c r="S42" s="190">
        <f t="shared" si="9"/>
        <v>0</v>
      </c>
      <c r="T42" s="190">
        <f t="shared" si="9"/>
        <v>738.52</v>
      </c>
      <c r="U42" s="190">
        <f t="shared" si="9"/>
        <v>31.83275862068966</v>
      </c>
      <c r="V42" s="190">
        <f t="shared" si="9"/>
        <v>103.51814999999999</v>
      </c>
      <c r="W42" s="190">
        <f t="shared" si="9"/>
        <v>0</v>
      </c>
      <c r="X42" s="190">
        <f t="shared" si="9"/>
        <v>18.463000000000001</v>
      </c>
      <c r="Y42" s="190">
        <f t="shared" si="9"/>
        <v>13698.901849999998</v>
      </c>
      <c r="Z42" s="190">
        <f t="shared" si="9"/>
        <v>0</v>
      </c>
      <c r="AA42" s="190">
        <f t="shared" si="9"/>
        <v>688.22424137931034</v>
      </c>
      <c r="AB42" s="166"/>
    </row>
    <row r="43" spans="1:28" ht="15.75" x14ac:dyDescent="0.25">
      <c r="A43" s="93" t="s">
        <v>101</v>
      </c>
      <c r="B43" s="97">
        <f>+B37+B39+B41</f>
        <v>11.95</v>
      </c>
      <c r="C43" s="95"/>
      <c r="D43" s="94"/>
      <c r="E43" s="96"/>
      <c r="F43" s="94"/>
      <c r="G43" s="94"/>
      <c r="H43" s="98"/>
      <c r="I43" s="99">
        <v>11.95</v>
      </c>
      <c r="J43" s="185">
        <f t="shared" si="0"/>
        <v>0</v>
      </c>
      <c r="K43" s="99"/>
      <c r="L43" s="187">
        <f>K43-B43</f>
        <v>-11.95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70.088000000000008</v>
      </c>
      <c r="C44" s="95"/>
      <c r="D44" s="94"/>
      <c r="E44" s="96"/>
      <c r="F44" s="94"/>
      <c r="G44" s="94"/>
      <c r="H44" s="98"/>
      <c r="I44" s="99"/>
      <c r="J44" s="185">
        <f t="shared" si="0"/>
        <v>70.088000000000008</v>
      </c>
      <c r="K44" s="99"/>
      <c r="L44" s="187">
        <f>K44-B44</f>
        <v>-70.088000000000008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13802.419999999998</v>
      </c>
      <c r="C46" s="116">
        <v>7.4999999999999997E-3</v>
      </c>
      <c r="D46" s="117">
        <f>B46*C46</f>
        <v>103.51814999999998</v>
      </c>
      <c r="E46" s="172">
        <v>0</v>
      </c>
      <c r="F46" s="117">
        <f t="shared" ref="F46:F50" si="16">D46*E46</f>
        <v>0</v>
      </c>
      <c r="G46" s="117">
        <f t="shared" ref="G46:G51" si="17">B46-D46-F46</f>
        <v>13698.901849999998</v>
      </c>
      <c r="H46" s="173">
        <f>B$6+1</f>
        <v>44779</v>
      </c>
      <c r="I46" s="252">
        <v>13802.42</v>
      </c>
      <c r="J46" s="81">
        <f t="shared" si="0"/>
        <v>0</v>
      </c>
      <c r="K46" s="80">
        <v>14180.21</v>
      </c>
      <c r="L46" s="186">
        <f>K46-G46</f>
        <v>481.30815000000075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44779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560.79999999999995</v>
      </c>
      <c r="C48" s="116">
        <v>1.4999999999999999E-2</v>
      </c>
      <c r="D48" s="117">
        <f t="shared" si="18"/>
        <v>8.411999999999999</v>
      </c>
      <c r="E48" s="172">
        <v>0</v>
      </c>
      <c r="F48" s="117">
        <f t="shared" si="16"/>
        <v>0</v>
      </c>
      <c r="G48" s="117">
        <f t="shared" si="17"/>
        <v>552.38799999999992</v>
      </c>
      <c r="H48" s="173">
        <f t="shared" ref="H48:H61" si="20">B$6+1</f>
        <v>44779</v>
      </c>
      <c r="I48" s="176">
        <v>560.79999999999995</v>
      </c>
      <c r="J48" s="81">
        <f t="shared" si="0"/>
        <v>0</v>
      </c>
      <c r="K48" s="80">
        <v>552.39</v>
      </c>
      <c r="L48" s="186">
        <f t="shared" si="19"/>
        <v>-2.0000000000663931E-3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211</v>
      </c>
      <c r="B49" s="117">
        <f>R75</f>
        <v>4211.82</v>
      </c>
      <c r="C49" s="116">
        <v>7.4999999999999997E-3</v>
      </c>
      <c r="D49" s="117">
        <f t="shared" si="18"/>
        <v>31.588649999999998</v>
      </c>
      <c r="E49" s="172">
        <v>0</v>
      </c>
      <c r="F49" s="117">
        <f t="shared" si="16"/>
        <v>0</v>
      </c>
      <c r="G49" s="117">
        <f t="shared" si="17"/>
        <v>4180.23135</v>
      </c>
      <c r="H49" s="173">
        <f t="shared" si="20"/>
        <v>44779</v>
      </c>
      <c r="I49" s="176">
        <v>3814.7</v>
      </c>
      <c r="J49" s="81">
        <f t="shared" si="0"/>
        <v>397.11999999999989</v>
      </c>
      <c r="K49" s="80"/>
      <c r="L49" s="186">
        <f t="shared" si="19"/>
        <v>4180.23135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1791.89</v>
      </c>
      <c r="C50" s="116">
        <v>7.4999999999999997E-3</v>
      </c>
      <c r="D50" s="117">
        <f t="shared" si="18"/>
        <v>13.439175000000001</v>
      </c>
      <c r="E50" s="172">
        <v>0</v>
      </c>
      <c r="F50" s="117">
        <f t="shared" si="16"/>
        <v>0</v>
      </c>
      <c r="G50" s="117">
        <f t="shared" si="17"/>
        <v>1778.4508250000001</v>
      </c>
      <c r="H50" s="173">
        <f t="shared" si="20"/>
        <v>44779</v>
      </c>
      <c r="I50" s="175">
        <v>2192.5</v>
      </c>
      <c r="J50" s="81">
        <f t="shared" si="0"/>
        <v>-400.6099999999999</v>
      </c>
      <c r="K50" s="80">
        <f>422.02+137.65+258.96+217.79+707.96</f>
        <v>1744.3799999999999</v>
      </c>
      <c r="L50" s="186">
        <f t="shared" si="19"/>
        <v>34.070825000000241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400.61</v>
      </c>
      <c r="C51" s="116">
        <v>1.4999999999999999E-2</v>
      </c>
      <c r="D51" s="117">
        <f>+B51*C51</f>
        <v>6.00915</v>
      </c>
      <c r="E51" s="172">
        <v>0</v>
      </c>
      <c r="F51" s="117">
        <f>D51*E51</f>
        <v>0</v>
      </c>
      <c r="G51" s="117">
        <f t="shared" si="17"/>
        <v>394.60085000000004</v>
      </c>
      <c r="H51" s="173">
        <f t="shared" si="20"/>
        <v>44779</v>
      </c>
      <c r="I51" s="175"/>
      <c r="J51" s="81">
        <f t="shared" si="0"/>
        <v>400.61</v>
      </c>
      <c r="K51" s="80">
        <v>394.6</v>
      </c>
      <c r="L51" s="186">
        <f t="shared" si="19"/>
        <v>8.5000000001400622E-4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738.52</v>
      </c>
      <c r="C52" s="116">
        <v>2.5000000000000001E-2</v>
      </c>
      <c r="D52" s="117">
        <f>B52*C52</f>
        <v>18.463000000000001</v>
      </c>
      <c r="E52" s="172">
        <v>0.05</v>
      </c>
      <c r="F52" s="117">
        <f>(B52/E$10)*E52</f>
        <v>31.83275862068966</v>
      </c>
      <c r="G52" s="117">
        <f>B52-D52-F52</f>
        <v>688.22424137931034</v>
      </c>
      <c r="H52" s="188">
        <f t="shared" si="20"/>
        <v>44779</v>
      </c>
      <c r="I52" s="176">
        <v>738.52</v>
      </c>
      <c r="J52" s="81">
        <f t="shared" si="0"/>
        <v>0</v>
      </c>
      <c r="K52" s="80">
        <v>236.38</v>
      </c>
      <c r="L52" s="186">
        <f>K52-G52</f>
        <v>-451.84424137931035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44779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44779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44779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207</v>
      </c>
      <c r="B56" s="117">
        <f>T75</f>
        <v>166.72000000000003</v>
      </c>
      <c r="C56" s="116">
        <v>2.5000000000000001E-2</v>
      </c>
      <c r="D56" s="117">
        <f t="shared" si="21"/>
        <v>4.168000000000001</v>
      </c>
      <c r="E56" s="172">
        <v>0.05</v>
      </c>
      <c r="F56" s="117">
        <f t="shared" si="22"/>
        <v>7.1862068965517256</v>
      </c>
      <c r="G56" s="117">
        <f t="shared" si="23"/>
        <v>155.36579310344828</v>
      </c>
      <c r="H56" s="173">
        <f t="shared" si="20"/>
        <v>44779</v>
      </c>
      <c r="I56" s="219">
        <v>135.11000000000001</v>
      </c>
      <c r="J56" s="81">
        <f t="shared" si="0"/>
        <v>31.610000000000014</v>
      </c>
      <c r="K56" s="80"/>
      <c r="L56" s="186">
        <f t="shared" si="19"/>
        <v>155.36579310344828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44781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44783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44808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185.59812499999998</v>
      </c>
      <c r="E61" s="177"/>
      <c r="F61" s="57">
        <f>SUM(F46:F58)</f>
        <v>39.018965517241384</v>
      </c>
      <c r="G61" s="57">
        <f>SUM(G46:G58)</f>
        <v>21448.162909482751</v>
      </c>
      <c r="H61" s="173">
        <f t="shared" si="20"/>
        <v>44779</v>
      </c>
      <c r="I61" s="175"/>
      <c r="J61" s="81">
        <f t="shared" si="0"/>
        <v>0</v>
      </c>
      <c r="K61" s="80"/>
      <c r="L61" s="186">
        <f t="shared" si="19"/>
        <v>21448.162909482751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</v>
      </c>
      <c r="C62" s="18"/>
      <c r="D62" s="101"/>
      <c r="E62" s="178"/>
      <c r="F62" s="101"/>
      <c r="G62" s="57"/>
      <c r="H62" s="173">
        <f>B$6+1</f>
        <v>44779</v>
      </c>
      <c r="I62" s="176"/>
      <c r="J62" s="81">
        <f t="shared" si="0"/>
        <v>36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42896.325818965503</v>
      </c>
      <c r="H64" s="184"/>
      <c r="I64" s="175"/>
      <c r="J64" s="81">
        <f t="shared" si="0"/>
        <v>0</v>
      </c>
      <c r="K64" s="80"/>
      <c r="L64" s="186">
        <f t="shared" si="19"/>
        <v>42896.325818965503</v>
      </c>
      <c r="M64" s="130"/>
      <c r="N64" s="87">
        <v>1</v>
      </c>
      <c r="O64" s="122" t="s">
        <v>195</v>
      </c>
      <c r="P64" s="87"/>
      <c r="Q64" s="225">
        <v>7861</v>
      </c>
      <c r="R64" s="236">
        <f>12.14+27.81+1.5</f>
        <v>41.45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0.31087500000000001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41.139125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36723.367999999995</v>
      </c>
      <c r="G65" s="22"/>
      <c r="L65" s="132"/>
      <c r="M65" s="131"/>
      <c r="N65" s="87">
        <v>2</v>
      </c>
      <c r="O65" s="122" t="s">
        <v>195</v>
      </c>
      <c r="P65" s="87"/>
      <c r="Q65" s="225">
        <v>6012</v>
      </c>
      <c r="R65" s="240">
        <v>45.43</v>
      </c>
      <c r="S65" s="225"/>
      <c r="T65" s="225"/>
      <c r="U65" s="189">
        <f t="shared" si="28"/>
        <v>0</v>
      </c>
      <c r="V65" s="189">
        <f t="shared" si="29"/>
        <v>0.340725</v>
      </c>
      <c r="W65" s="189">
        <f t="shared" si="30"/>
        <v>0</v>
      </c>
      <c r="X65" s="189">
        <f t="shared" si="31"/>
        <v>0</v>
      </c>
      <c r="Y65" s="189">
        <f t="shared" si="32"/>
        <v>45.089275000000001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195</v>
      </c>
      <c r="P66" s="87"/>
      <c r="Q66" s="225">
        <v>3741</v>
      </c>
      <c r="R66" s="240">
        <v>19.21</v>
      </c>
      <c r="S66" s="225"/>
      <c r="T66" s="225"/>
      <c r="U66" s="189">
        <f t="shared" si="28"/>
        <v>0</v>
      </c>
      <c r="V66" s="189">
        <f t="shared" si="29"/>
        <v>0.14407500000000001</v>
      </c>
      <c r="W66" s="189">
        <f t="shared" si="30"/>
        <v>0</v>
      </c>
      <c r="X66" s="189">
        <f t="shared" si="31"/>
        <v>0</v>
      </c>
      <c r="Y66" s="189">
        <f t="shared" si="32"/>
        <v>19.065925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195</v>
      </c>
      <c r="P67" s="87"/>
      <c r="Q67" s="225">
        <v>820</v>
      </c>
      <c r="R67" s="240">
        <v>141.63999999999999</v>
      </c>
      <c r="S67" s="225"/>
      <c r="T67" s="225"/>
      <c r="U67" s="189">
        <f t="shared" si="28"/>
        <v>0</v>
      </c>
      <c r="V67" s="189">
        <f t="shared" si="29"/>
        <v>1.0622999999999998</v>
      </c>
      <c r="W67" s="189">
        <f t="shared" si="30"/>
        <v>0</v>
      </c>
      <c r="X67" s="189">
        <f t="shared" si="31"/>
        <v>0</v>
      </c>
      <c r="Y67" s="189">
        <f t="shared" si="32"/>
        <v>140.57769999999999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36172.67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195</v>
      </c>
      <c r="P68" s="87"/>
      <c r="Q68" s="225">
        <v>3053</v>
      </c>
      <c r="R68" s="225">
        <f>243.75+39.95+29.37</f>
        <v>313.07</v>
      </c>
      <c r="S68" s="225"/>
      <c r="T68" s="225"/>
      <c r="U68" s="189">
        <f t="shared" si="28"/>
        <v>0</v>
      </c>
      <c r="V68" s="189">
        <f t="shared" si="29"/>
        <v>2.3480249999999998</v>
      </c>
      <c r="W68" s="189">
        <f t="shared" si="30"/>
        <v>0</v>
      </c>
      <c r="X68" s="189">
        <f t="shared" si="31"/>
        <v>0</v>
      </c>
      <c r="Y68" s="189">
        <f t="shared" si="32"/>
        <v>310.72197499999999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35824.629999999997</v>
      </c>
      <c r="C69" s="59"/>
      <c r="F69" s="87" t="s">
        <v>127</v>
      </c>
      <c r="G69" s="22"/>
      <c r="H69" s="89"/>
      <c r="I69" s="136"/>
      <c r="J69" s="136">
        <f>K52</f>
        <v>236.38</v>
      </c>
      <c r="N69" s="312" t="s">
        <v>108</v>
      </c>
      <c r="O69" s="312"/>
      <c r="P69" s="313"/>
      <c r="Q69" s="313"/>
      <c r="R69" s="192">
        <f>SUM(R64:R68)</f>
        <v>560.79999999999995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4.2059999999999995</v>
      </c>
      <c r="W69" s="192">
        <f t="shared" si="34"/>
        <v>0</v>
      </c>
      <c r="X69" s="192">
        <f t="shared" si="34"/>
        <v>0</v>
      </c>
      <c r="Y69" s="192">
        <f t="shared" si="34"/>
        <v>556.59399999999994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348.04000000000087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25">
        <v>198</v>
      </c>
      <c r="Q70" s="225">
        <v>2001</v>
      </c>
      <c r="R70" s="221">
        <v>325.32</v>
      </c>
      <c r="S70" s="225"/>
      <c r="T70" s="221"/>
      <c r="U70" s="189">
        <f t="shared" ref="U70:U74" si="35">((T70/U$10)*U$9)</f>
        <v>0</v>
      </c>
      <c r="V70" s="189">
        <f t="shared" ref="V70:V74" si="36">R70*V$10</f>
        <v>2.4398999999999997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322.88009999999997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550.69799999999668</v>
      </c>
      <c r="C71" s="64"/>
      <c r="F71" s="87" t="s">
        <v>129</v>
      </c>
      <c r="G71" s="137"/>
      <c r="H71" s="87"/>
      <c r="I71" s="81"/>
      <c r="J71" s="81">
        <f>+J69-H69-H70-H71-H72-H73</f>
        <v>236.38</v>
      </c>
      <c r="N71" s="87">
        <v>2</v>
      </c>
      <c r="O71" s="122" t="s">
        <v>212</v>
      </c>
      <c r="P71" s="225">
        <v>197</v>
      </c>
      <c r="Q71" s="225">
        <v>2001</v>
      </c>
      <c r="R71" s="221">
        <v>309.07</v>
      </c>
      <c r="S71" s="225"/>
      <c r="T71" s="221"/>
      <c r="U71" s="189">
        <f t="shared" si="35"/>
        <v>0</v>
      </c>
      <c r="V71" s="189">
        <f t="shared" si="36"/>
        <v>2.318025</v>
      </c>
      <c r="W71" s="189">
        <f t="shared" si="37"/>
        <v>0</v>
      </c>
      <c r="X71" s="189">
        <f t="shared" si="38"/>
        <v>0</v>
      </c>
      <c r="Y71" s="189">
        <f t="shared" si="39"/>
        <v>306.75197500000002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12</v>
      </c>
      <c r="Q72" s="225">
        <v>47</v>
      </c>
      <c r="R72" s="221">
        <v>463.09</v>
      </c>
      <c r="S72" s="225"/>
      <c r="T72" s="225">
        <v>31.61</v>
      </c>
      <c r="U72" s="189">
        <f t="shared" si="35"/>
        <v>1.3625</v>
      </c>
      <c r="V72" s="189">
        <f t="shared" si="36"/>
        <v>3.4731749999999999</v>
      </c>
      <c r="W72" s="189">
        <f t="shared" si="37"/>
        <v>0</v>
      </c>
      <c r="X72" s="189">
        <f t="shared" si="38"/>
        <v>0.79025000000000001</v>
      </c>
      <c r="Y72" s="189">
        <f t="shared" si="39"/>
        <v>459.61682499999995</v>
      </c>
      <c r="Z72" s="189">
        <f t="shared" si="39"/>
        <v>0</v>
      </c>
      <c r="AA72" s="189">
        <f t="shared" si="40"/>
        <v>29.457249999999998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205</v>
      </c>
      <c r="P73" s="225">
        <v>114</v>
      </c>
      <c r="Q73" s="225">
        <v>1001</v>
      </c>
      <c r="R73" s="221">
        <v>2351.0700000000002</v>
      </c>
      <c r="S73" s="225"/>
      <c r="T73" s="225">
        <v>135.11000000000001</v>
      </c>
      <c r="U73" s="189">
        <f t="shared" si="35"/>
        <v>5.8237068965517258</v>
      </c>
      <c r="V73" s="189">
        <f t="shared" si="36"/>
        <v>17.633025</v>
      </c>
      <c r="W73" s="189">
        <f t="shared" si="37"/>
        <v>0</v>
      </c>
      <c r="X73" s="189">
        <f t="shared" si="38"/>
        <v>3.3777500000000007</v>
      </c>
      <c r="Y73" s="189">
        <f t="shared" si="39"/>
        <v>2333.4369750000001</v>
      </c>
      <c r="Z73" s="189">
        <f t="shared" si="39"/>
        <v>0</v>
      </c>
      <c r="AA73" s="189">
        <f t="shared" si="40"/>
        <v>125.90854310344828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>
        <v>197</v>
      </c>
      <c r="R74" s="221">
        <v>763.27</v>
      </c>
      <c r="S74" s="225"/>
      <c r="T74" s="225"/>
      <c r="U74" s="189">
        <f t="shared" si="35"/>
        <v>0</v>
      </c>
      <c r="V74" s="189">
        <f t="shared" si="36"/>
        <v>5.7245249999999999</v>
      </c>
      <c r="W74" s="189">
        <f t="shared" si="37"/>
        <v>0</v>
      </c>
      <c r="X74" s="189">
        <f t="shared" si="38"/>
        <v>0</v>
      </c>
      <c r="Y74" s="189">
        <f t="shared" si="39"/>
        <v>757.54547500000001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4211.82</v>
      </c>
      <c r="S75" s="192"/>
      <c r="T75" s="192">
        <f>SUM(T70:T74)</f>
        <v>166.72000000000003</v>
      </c>
      <c r="U75" s="192">
        <f>SUM(U70:U74)</f>
        <v>7.1862068965517256</v>
      </c>
      <c r="V75" s="192">
        <f t="shared" ref="V75:AA75" si="42">SUM(V70:V74)</f>
        <v>31.588650000000001</v>
      </c>
      <c r="W75" s="192">
        <f t="shared" si="42"/>
        <v>0</v>
      </c>
      <c r="X75" s="192">
        <f t="shared" si="42"/>
        <v>4.168000000000001</v>
      </c>
      <c r="Y75" s="192">
        <f t="shared" si="42"/>
        <v>4180.23135</v>
      </c>
      <c r="Z75" s="192">
        <f t="shared" si="42"/>
        <v>0</v>
      </c>
      <c r="AA75" s="193">
        <f t="shared" si="42"/>
        <v>155.36579310344828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453.05+34.31+260.34</f>
        <v>747.7</v>
      </c>
      <c r="R78" s="82">
        <v>7.4999999999999997E-3</v>
      </c>
      <c r="S78" s="216">
        <f>+(P78+Q78)*R78</f>
        <v>5.6077500000000002</v>
      </c>
      <c r="T78" s="219">
        <f>+(P78+Q78)-S78</f>
        <v>742.09225000000004</v>
      </c>
      <c r="U78" s="211">
        <f>14.51+84.35</f>
        <v>98.86</v>
      </c>
      <c r="V78" s="112"/>
      <c r="W78" s="113">
        <v>1.4999999999999999E-2</v>
      </c>
      <c r="X78" s="196">
        <f>+(U78+V78)*W78</f>
        <v>1.4828999999999999</v>
      </c>
      <c r="Y78" s="232">
        <f>+(U78+V78)-X78</f>
        <v>97.377099999999999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f>115.4+76.35+20.44+7.2</f>
        <v>219.39</v>
      </c>
      <c r="R79" s="82">
        <v>7.4999999999999997E-3</v>
      </c>
      <c r="S79" s="216">
        <f t="shared" ref="S79:S97" si="44">+(P79+Q79)*R79</f>
        <v>1.6454249999999999</v>
      </c>
      <c r="T79" s="219">
        <f t="shared" ref="T79:T97" si="45">+(P79+Q79)-S79</f>
        <v>217.744575</v>
      </c>
      <c r="U79" s="211">
        <f>50.69+51</f>
        <v>101.69</v>
      </c>
      <c r="V79" s="112"/>
      <c r="W79" s="113">
        <v>1.4999999999999999E-2</v>
      </c>
      <c r="X79" s="196">
        <f t="shared" ref="X79:X97" si="46">+(U79+V79)*W79</f>
        <v>1.52535</v>
      </c>
      <c r="Y79" s="232">
        <f t="shared" ref="Y79:Y97" si="47">+(U79+V79)-X79</f>
        <v>100.16464999999999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157.14+80.37+16.92+6.48</f>
        <v>260.91000000000003</v>
      </c>
      <c r="R80" s="82">
        <v>7.4999999999999997E-3</v>
      </c>
      <c r="S80" s="194">
        <f t="shared" si="44"/>
        <v>1.956825</v>
      </c>
      <c r="T80" s="271">
        <f t="shared" si="45"/>
        <v>258.95317500000004</v>
      </c>
      <c r="U80" s="211">
        <f>74.01+16.87</f>
        <v>90.88000000000001</v>
      </c>
      <c r="V80" s="112"/>
      <c r="W80" s="113">
        <v>1.4999999999999999E-2</v>
      </c>
      <c r="X80" s="196">
        <f t="shared" si="46"/>
        <v>1.3632000000000002</v>
      </c>
      <c r="Y80" s="232">
        <f t="shared" si="47"/>
        <v>89.516800000000003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71.02+65.11+2.56</f>
        <v>138.69</v>
      </c>
      <c r="R81" s="82">
        <v>7.4999999999999997E-3</v>
      </c>
      <c r="S81" s="194">
        <f t="shared" si="44"/>
        <v>1.0401749999999998</v>
      </c>
      <c r="T81" s="271">
        <f t="shared" si="45"/>
        <v>137.64982499999999</v>
      </c>
      <c r="U81" s="211">
        <f>104.02+3.89+1.27</f>
        <v>109.17999999999999</v>
      </c>
      <c r="V81" s="112"/>
      <c r="W81" s="113">
        <v>1.4999999999999999E-2</v>
      </c>
      <c r="X81" s="196">
        <f t="shared" si="46"/>
        <v>1.6376999999999999</v>
      </c>
      <c r="Y81" s="262">
        <f t="shared" si="47"/>
        <v>107.5423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87">
        <f>399.13+26.07</f>
        <v>425.2</v>
      </c>
      <c r="R82" s="82">
        <v>7.4999999999999997E-3</v>
      </c>
      <c r="S82" s="194">
        <f t="shared" si="44"/>
        <v>3.1889999999999996</v>
      </c>
      <c r="T82" s="271">
        <f t="shared" si="45"/>
        <v>422.01099999999997</v>
      </c>
      <c r="U82" s="211"/>
      <c r="V82" s="112"/>
      <c r="W82" s="113">
        <v>1.4999999999999999E-2</v>
      </c>
      <c r="X82" s="196">
        <f t="shared" si="46"/>
        <v>0</v>
      </c>
      <c r="Y82" s="262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4"/>
        <v>0</v>
      </c>
      <c r="T83" s="254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262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263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54">
        <f t="shared" si="45"/>
        <v>0</v>
      </c>
      <c r="U85" s="211"/>
      <c r="V85" s="112"/>
      <c r="W85" s="113">
        <v>1.4999999999999999E-2</v>
      </c>
      <c r="X85" s="196">
        <f t="shared" si="46"/>
        <v>0</v>
      </c>
      <c r="Y85" s="263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3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54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3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54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1791.89</v>
      </c>
      <c r="R98" s="111"/>
      <c r="S98" s="195">
        <f>SUM(S78:S97)</f>
        <v>13.439175000000001</v>
      </c>
      <c r="T98" s="195">
        <f>SUM(T78:T97)</f>
        <v>1778.4508250000001</v>
      </c>
      <c r="U98" s="114">
        <f>SUM(U78:U97)</f>
        <v>400.61</v>
      </c>
      <c r="V98" s="114">
        <f>SUM(V78:V97)</f>
        <v>0</v>
      </c>
      <c r="W98" s="112"/>
      <c r="X98" s="197">
        <f>SUM(X78:X97)</f>
        <v>6.00915</v>
      </c>
      <c r="Y98" s="197">
        <f>SUM(Y78:Y97)</f>
        <v>394.60084999999998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846.56000000000006</v>
      </c>
    </row>
    <row r="103" spans="14:30" x14ac:dyDescent="0.25">
      <c r="N103" s="85"/>
      <c r="Q103" s="215">
        <f>U79+Q79+P79</f>
        <v>321.08</v>
      </c>
    </row>
    <row r="104" spans="14:30" x14ac:dyDescent="0.25">
      <c r="N104" s="85"/>
      <c r="Q104" s="215">
        <f>P80+Q80+U80</f>
        <v>351.79</v>
      </c>
    </row>
    <row r="105" spans="14:30" x14ac:dyDescent="0.25">
      <c r="N105" s="85"/>
      <c r="Q105" s="215">
        <f>P81+Q81+U81</f>
        <v>247.87</v>
      </c>
    </row>
    <row r="106" spans="14:30" x14ac:dyDescent="0.25">
      <c r="N106" s="85"/>
      <c r="Q106" s="215">
        <f>P82+U82+Q82</f>
        <v>425.2</v>
      </c>
    </row>
    <row r="107" spans="14:30" x14ac:dyDescent="0.25">
      <c r="N107" s="85"/>
      <c r="Q107" s="246">
        <f>P83+Q83+U83</f>
        <v>0</v>
      </c>
    </row>
    <row r="108" spans="14:30" x14ac:dyDescent="0.25">
      <c r="N108" s="85"/>
      <c r="Q108" s="246">
        <f t="shared" ref="Q108:Q112" si="51">P84+Q84+U84</f>
        <v>0</v>
      </c>
    </row>
    <row r="109" spans="14:30" x14ac:dyDescent="0.25">
      <c r="N109" s="85"/>
      <c r="Q109" s="215">
        <f>P85+Q85+U85</f>
        <v>0</v>
      </c>
    </row>
    <row r="110" spans="14:30" x14ac:dyDescent="0.25">
      <c r="N110" s="85"/>
      <c r="Q110" s="246">
        <f>P86+Q86+U86</f>
        <v>0</v>
      </c>
    </row>
    <row r="111" spans="14:30" x14ac:dyDescent="0.25">
      <c r="N111" s="85"/>
      <c r="Q111" s="246">
        <f t="shared" si="51"/>
        <v>0</v>
      </c>
    </row>
    <row r="112" spans="14:30" x14ac:dyDescent="0.25">
      <c r="N112" s="85"/>
      <c r="Q112" s="246">
        <f t="shared" si="51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44" zoomScale="90" zoomScaleNormal="90" workbookViewId="0">
      <selection activeCell="L71" sqref="L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5.87</v>
      </c>
      <c r="C8" s="85" t="s">
        <v>92</v>
      </c>
      <c r="D8" s="108"/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1394.5</v>
      </c>
      <c r="C12" s="15"/>
      <c r="D12" s="56"/>
      <c r="E12" s="16"/>
      <c r="F12" s="56"/>
      <c r="G12" s="56"/>
      <c r="H12" s="17"/>
      <c r="I12" s="83">
        <v>1394.5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215</v>
      </c>
      <c r="Q12" s="158">
        <v>11</v>
      </c>
      <c r="R12" s="159">
        <v>1717.37</v>
      </c>
      <c r="S12" s="160"/>
      <c r="T12" s="160">
        <v>168.18</v>
      </c>
      <c r="U12" s="189">
        <f>((T12/U$10)*U$9)</f>
        <v>7.2491379310344843</v>
      </c>
      <c r="V12" s="189">
        <f>R12*V$10</f>
        <v>12.880274999999999</v>
      </c>
      <c r="W12" s="189">
        <f>+S12*V$10</f>
        <v>0</v>
      </c>
      <c r="X12" s="189">
        <f>+T12*X$10</f>
        <v>4.2045000000000003</v>
      </c>
      <c r="Y12" s="189">
        <f>R12-V12</f>
        <v>1704.4897249999999</v>
      </c>
      <c r="Z12" s="189">
        <f>S12-W12</f>
        <v>0</v>
      </c>
      <c r="AA12" s="189">
        <f>T12-U12-X12</f>
        <v>156.72636206896553</v>
      </c>
      <c r="AB12" s="156"/>
    </row>
    <row r="13" spans="1:28" ht="15.75" x14ac:dyDescent="0.25">
      <c r="A13" s="86" t="s">
        <v>74</v>
      </c>
      <c r="B13" s="89">
        <v>2845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2845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598</v>
      </c>
      <c r="Q13" s="158">
        <v>2</v>
      </c>
      <c r="R13" s="159">
        <v>2311.5100000000002</v>
      </c>
      <c r="S13" s="160"/>
      <c r="T13" s="161">
        <v>26.77</v>
      </c>
      <c r="U13" s="189">
        <f t="shared" ref="U13:U41" si="2">((T13/U$10)*U$9)</f>
        <v>1.1538793103448277</v>
      </c>
      <c r="V13" s="189">
        <f t="shared" ref="V13:V41" si="3">R13*V$10</f>
        <v>17.336325000000002</v>
      </c>
      <c r="W13" s="189">
        <f t="shared" ref="W13:W41" si="4">+S13*V$10</f>
        <v>0</v>
      </c>
      <c r="X13" s="189">
        <f t="shared" ref="X13:X41" si="5">+T13*X$10</f>
        <v>0.66925000000000001</v>
      </c>
      <c r="Y13" s="189">
        <f t="shared" ref="Y13:Z41" si="6">R13-V13</f>
        <v>2294.173675</v>
      </c>
      <c r="Z13" s="189">
        <f t="shared" si="6"/>
        <v>0</v>
      </c>
      <c r="AA13" s="189">
        <f t="shared" ref="AA13:AA41" si="7">T13-U13-X13</f>
        <v>24.946870689655171</v>
      </c>
      <c r="AB13" s="156"/>
    </row>
    <row r="14" spans="1:28" ht="15.75" x14ac:dyDescent="0.25">
      <c r="A14" s="86" t="s">
        <v>81</v>
      </c>
      <c r="B14" s="57">
        <f>B13*B8</f>
        <v>16700.150000000001</v>
      </c>
      <c r="C14" s="15"/>
      <c r="D14" s="56"/>
      <c r="E14" s="16"/>
      <c r="F14" s="56"/>
      <c r="G14" s="56"/>
      <c r="H14" s="17"/>
      <c r="I14" s="83"/>
      <c r="J14" s="81">
        <f t="shared" si="0"/>
        <v>16700.150000000001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599</v>
      </c>
      <c r="Q14" s="158">
        <v>2</v>
      </c>
      <c r="R14" s="159">
        <v>1612.46</v>
      </c>
      <c r="S14" s="160"/>
      <c r="T14" s="161">
        <v>28.4</v>
      </c>
      <c r="U14" s="189">
        <f t="shared" si="2"/>
        <v>1.2241379310344829</v>
      </c>
      <c r="V14" s="189">
        <f t="shared" si="3"/>
        <v>12.093450000000001</v>
      </c>
      <c r="W14" s="189">
        <f t="shared" si="4"/>
        <v>0</v>
      </c>
      <c r="X14" s="189">
        <f t="shared" si="5"/>
        <v>0.71</v>
      </c>
      <c r="Y14" s="189">
        <f t="shared" si="6"/>
        <v>1600.36655</v>
      </c>
      <c r="Z14" s="189">
        <f t="shared" si="6"/>
        <v>0</v>
      </c>
      <c r="AA14" s="189">
        <f t="shared" si="7"/>
        <v>26.465862068965514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579</v>
      </c>
      <c r="Q15" s="158">
        <v>4</v>
      </c>
      <c r="R15" s="159">
        <v>1634.07</v>
      </c>
      <c r="S15" s="160"/>
      <c r="T15" s="161">
        <v>129.38</v>
      </c>
      <c r="U15" s="189">
        <f t="shared" si="2"/>
        <v>5.5767241379310351</v>
      </c>
      <c r="V15" s="189">
        <f t="shared" si="3"/>
        <v>12.255524999999999</v>
      </c>
      <c r="W15" s="189">
        <f t="shared" si="4"/>
        <v>0</v>
      </c>
      <c r="X15" s="189">
        <f t="shared" si="5"/>
        <v>3.2345000000000002</v>
      </c>
      <c r="Y15" s="189">
        <f t="shared" si="6"/>
        <v>1621.8144749999999</v>
      </c>
      <c r="Z15" s="189">
        <f t="shared" si="6"/>
        <v>0</v>
      </c>
      <c r="AA15" s="189">
        <f t="shared" si="7"/>
        <v>120.56877586206896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580</v>
      </c>
      <c r="Q16" s="158">
        <v>4</v>
      </c>
      <c r="R16" s="159">
        <v>1814.38</v>
      </c>
      <c r="S16" s="160"/>
      <c r="T16" s="161">
        <v>12.05</v>
      </c>
      <c r="U16" s="189">
        <f t="shared" si="2"/>
        <v>0.51939655172413801</v>
      </c>
      <c r="V16" s="189">
        <f t="shared" si="3"/>
        <v>13.607850000000001</v>
      </c>
      <c r="W16" s="189">
        <f t="shared" si="4"/>
        <v>0</v>
      </c>
      <c r="X16" s="189">
        <f t="shared" si="5"/>
        <v>0.30125000000000002</v>
      </c>
      <c r="Y16" s="189">
        <f t="shared" si="6"/>
        <v>1800.77215</v>
      </c>
      <c r="Z16" s="189">
        <f t="shared" si="6"/>
        <v>0</v>
      </c>
      <c r="AA16" s="189">
        <f t="shared" si="7"/>
        <v>11.229353448275862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2</v>
      </c>
      <c r="Q17" s="158">
        <v>13</v>
      </c>
      <c r="R17" s="159">
        <v>374.2</v>
      </c>
      <c r="S17" s="160"/>
      <c r="T17" s="161"/>
      <c r="U17" s="189">
        <f t="shared" si="2"/>
        <v>0</v>
      </c>
      <c r="V17" s="189">
        <f t="shared" si="3"/>
        <v>2.8064999999999998</v>
      </c>
      <c r="W17" s="189">
        <f t="shared" si="4"/>
        <v>0</v>
      </c>
      <c r="X17" s="189">
        <f t="shared" si="5"/>
        <v>0</v>
      </c>
      <c r="Y17" s="189">
        <f t="shared" si="6"/>
        <v>371.39350000000002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216</v>
      </c>
      <c r="Q18" s="158">
        <v>10</v>
      </c>
      <c r="R18" s="159">
        <v>1256.43</v>
      </c>
      <c r="S18" s="160"/>
      <c r="T18" s="161">
        <v>281.87</v>
      </c>
      <c r="U18" s="189">
        <f t="shared" si="2"/>
        <v>12.149568965517243</v>
      </c>
      <c r="V18" s="189">
        <f t="shared" si="3"/>
        <v>9.4232250000000004</v>
      </c>
      <c r="W18" s="189">
        <f t="shared" si="4"/>
        <v>0</v>
      </c>
      <c r="X18" s="189">
        <f t="shared" si="5"/>
        <v>7.0467500000000003</v>
      </c>
      <c r="Y18" s="189">
        <f t="shared" si="6"/>
        <v>1247.0067750000001</v>
      </c>
      <c r="Z18" s="189">
        <f t="shared" si="6"/>
        <v>0</v>
      </c>
      <c r="AA18" s="189">
        <f t="shared" si="7"/>
        <v>262.6736810344828</v>
      </c>
      <c r="AB18" s="156"/>
    </row>
    <row r="19" spans="1:28" ht="15.75" x14ac:dyDescent="0.25">
      <c r="A19" s="93" t="s">
        <v>79</v>
      </c>
      <c r="B19" s="97">
        <f>+B13+B15+B17</f>
        <v>2845</v>
      </c>
      <c r="C19" s="95"/>
      <c r="D19" s="94"/>
      <c r="E19" s="96"/>
      <c r="F19" s="94"/>
      <c r="G19" s="94"/>
      <c r="H19" s="98"/>
      <c r="I19" s="99">
        <v>2845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215</v>
      </c>
      <c r="Q19" s="158">
        <v>10</v>
      </c>
      <c r="R19" s="159">
        <v>1096.07</v>
      </c>
      <c r="S19" s="160"/>
      <c r="T19" s="161">
        <v>67.55</v>
      </c>
      <c r="U19" s="189">
        <f t="shared" si="2"/>
        <v>2.9116379310344831</v>
      </c>
      <c r="V19" s="189">
        <f t="shared" si="3"/>
        <v>8.2205249999999985</v>
      </c>
      <c r="W19" s="189">
        <f t="shared" si="4"/>
        <v>0</v>
      </c>
      <c r="X19" s="189">
        <f t="shared" si="5"/>
        <v>1.68875</v>
      </c>
      <c r="Y19" s="189">
        <f t="shared" si="6"/>
        <v>1087.849475</v>
      </c>
      <c r="Z19" s="189">
        <f t="shared" si="6"/>
        <v>0</v>
      </c>
      <c r="AA19" s="189">
        <f t="shared" si="7"/>
        <v>62.949612068965521</v>
      </c>
      <c r="AB19" s="156"/>
    </row>
    <row r="20" spans="1:28" ht="15.75" x14ac:dyDescent="0.25">
      <c r="A20" s="93" t="s">
        <v>80</v>
      </c>
      <c r="B20" s="97">
        <f>+B14+B16+B18</f>
        <v>16700.150000000001</v>
      </c>
      <c r="C20" s="95"/>
      <c r="D20" s="94"/>
      <c r="E20" s="96"/>
      <c r="F20" s="94"/>
      <c r="G20" s="94"/>
      <c r="H20" s="98"/>
      <c r="I20" s="99"/>
      <c r="J20" s="185">
        <f t="shared" si="0"/>
        <v>16700.150000000001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668</v>
      </c>
      <c r="Q20" s="158">
        <v>18</v>
      </c>
      <c r="R20" s="159">
        <v>534.39</v>
      </c>
      <c r="S20" s="160"/>
      <c r="T20" s="161"/>
      <c r="U20" s="189">
        <f t="shared" si="2"/>
        <v>0</v>
      </c>
      <c r="V20" s="189">
        <f t="shared" si="3"/>
        <v>4.0079250000000002</v>
      </c>
      <c r="W20" s="189">
        <f t="shared" si="4"/>
        <v>0</v>
      </c>
      <c r="X20" s="189">
        <f t="shared" si="5"/>
        <v>0</v>
      </c>
      <c r="Y20" s="189">
        <f t="shared" si="6"/>
        <v>530.38207499999999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669</v>
      </c>
      <c r="Q21" s="158">
        <v>18</v>
      </c>
      <c r="R21" s="159">
        <v>1127.51</v>
      </c>
      <c r="S21" s="160"/>
      <c r="T21" s="161">
        <v>18.89</v>
      </c>
      <c r="U21" s="189">
        <f t="shared" si="2"/>
        <v>0.81422413793103454</v>
      </c>
      <c r="V21" s="189">
        <f t="shared" si="3"/>
        <v>8.4563249999999996</v>
      </c>
      <c r="W21" s="189">
        <f t="shared" si="4"/>
        <v>0</v>
      </c>
      <c r="X21" s="189">
        <f t="shared" si="5"/>
        <v>0.47225000000000006</v>
      </c>
      <c r="Y21" s="189">
        <f t="shared" si="6"/>
        <v>1119.0536749999999</v>
      </c>
      <c r="Z21" s="189">
        <f t="shared" si="6"/>
        <v>0</v>
      </c>
      <c r="AA21" s="189">
        <f t="shared" si="7"/>
        <v>17.603525862068967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43.6</v>
      </c>
      <c r="C29" s="100"/>
      <c r="D29" s="66"/>
      <c r="E29" s="67"/>
      <c r="F29" s="66"/>
      <c r="G29" s="66"/>
      <c r="H29" s="102"/>
      <c r="I29" s="79"/>
      <c r="J29" s="81">
        <f t="shared" si="0"/>
        <v>43.6</v>
      </c>
      <c r="K29" s="80"/>
      <c r="L29" s="186">
        <f>K29-B29</f>
        <v>-43.6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255.93200000000002</v>
      </c>
      <c r="C30" s="100"/>
      <c r="D30" s="66"/>
      <c r="E30" s="67"/>
      <c r="F30" s="66"/>
      <c r="G30" s="66"/>
      <c r="H30" s="102"/>
      <c r="I30" s="79"/>
      <c r="J30" s="81">
        <f t="shared" si="0"/>
        <v>255.93200000000002</v>
      </c>
      <c r="K30" s="80"/>
      <c r="L30" s="186">
        <f>K30-B30</f>
        <v>-255.93200000000002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43.6</v>
      </c>
      <c r="C35" s="95"/>
      <c r="D35" s="94"/>
      <c r="E35" s="96"/>
      <c r="F35" s="94"/>
      <c r="G35" s="94"/>
      <c r="H35" s="98"/>
      <c r="I35" s="99">
        <v>43.6</v>
      </c>
      <c r="J35" s="185">
        <f t="shared" si="0"/>
        <v>0</v>
      </c>
      <c r="K35" s="99"/>
      <c r="L35" s="187">
        <f>K35-B35</f>
        <v>-43.6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255.93200000000002</v>
      </c>
      <c r="C36" s="95"/>
      <c r="D36" s="94"/>
      <c r="E36" s="96"/>
      <c r="F36" s="94"/>
      <c r="G36" s="94"/>
      <c r="H36" s="98"/>
      <c r="I36" s="99"/>
      <c r="J36" s="185">
        <f t="shared" si="0"/>
        <v>255.93200000000002</v>
      </c>
      <c r="K36" s="99"/>
      <c r="L36" s="187">
        <f>K36-B36</f>
        <v>-255.93200000000002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24.17</v>
      </c>
      <c r="C37" s="100"/>
      <c r="D37" s="66"/>
      <c r="E37" s="67"/>
      <c r="F37" s="66"/>
      <c r="G37" s="66"/>
      <c r="H37" s="102"/>
      <c r="I37" s="79"/>
      <c r="J37" s="81">
        <f t="shared" si="0"/>
        <v>24.17</v>
      </c>
      <c r="K37" s="80"/>
      <c r="L37" s="186">
        <f>K37-B37</f>
        <v>-24.17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141.87790000000001</v>
      </c>
      <c r="C38" s="100"/>
      <c r="D38" s="66"/>
      <c r="E38" s="67"/>
      <c r="F38" s="66"/>
      <c r="G38" s="66"/>
      <c r="H38" s="102"/>
      <c r="I38" s="79"/>
      <c r="J38" s="81">
        <f t="shared" si="0"/>
        <v>141.87790000000001</v>
      </c>
      <c r="K38" s="80"/>
      <c r="L38" s="186">
        <f>K38-B38</f>
        <v>-141.87790000000001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13478.390000000001</v>
      </c>
      <c r="S42" s="190">
        <f t="shared" si="8"/>
        <v>0</v>
      </c>
      <c r="T42" s="190">
        <f t="shared" si="8"/>
        <v>733.09</v>
      </c>
      <c r="U42" s="190">
        <f t="shared" si="8"/>
        <v>31.598706896551729</v>
      </c>
      <c r="V42" s="190">
        <f t="shared" si="8"/>
        <v>101.08792500000001</v>
      </c>
      <c r="W42" s="190">
        <f t="shared" si="8"/>
        <v>0</v>
      </c>
      <c r="X42" s="190">
        <f t="shared" si="8"/>
        <v>18.327249999999999</v>
      </c>
      <c r="Y42" s="190">
        <f t="shared" si="8"/>
        <v>13377.302074999998</v>
      </c>
      <c r="Z42" s="190">
        <f t="shared" si="8"/>
        <v>0</v>
      </c>
      <c r="AA42" s="190">
        <f t="shared" si="8"/>
        <v>683.16404310344831</v>
      </c>
      <c r="AB42" s="166"/>
    </row>
    <row r="43" spans="1:28" ht="15.75" x14ac:dyDescent="0.25">
      <c r="A43" s="93" t="s">
        <v>101</v>
      </c>
      <c r="B43" s="97">
        <f>+B37+B39+B41</f>
        <v>24.17</v>
      </c>
      <c r="C43" s="95"/>
      <c r="D43" s="94"/>
      <c r="E43" s="96"/>
      <c r="F43" s="94"/>
      <c r="G43" s="94"/>
      <c r="H43" s="98"/>
      <c r="I43" s="99">
        <v>24.17</v>
      </c>
      <c r="J43" s="185">
        <f t="shared" si="0"/>
        <v>0</v>
      </c>
      <c r="K43" s="99"/>
      <c r="L43" s="187">
        <f>K43-B43</f>
        <v>-24.17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141.87790000000001</v>
      </c>
      <c r="C44" s="95"/>
      <c r="D44" s="94"/>
      <c r="E44" s="96"/>
      <c r="F44" s="94"/>
      <c r="G44" s="94"/>
      <c r="H44" s="98"/>
      <c r="I44" s="99"/>
      <c r="J44" s="185">
        <f t="shared" si="0"/>
        <v>141.87790000000001</v>
      </c>
      <c r="K44" s="99"/>
      <c r="L44" s="187">
        <f>K44-B44</f>
        <v>-141.87790000000001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13478.390000000001</v>
      </c>
      <c r="C46" s="116">
        <v>7.4999999999999997E-3</v>
      </c>
      <c r="D46" s="117">
        <f>B46*C46</f>
        <v>101.087925</v>
      </c>
      <c r="E46" s="172">
        <v>0</v>
      </c>
      <c r="F46" s="117">
        <f t="shared" ref="F46:F50" si="15">D46*E46</f>
        <v>0</v>
      </c>
      <c r="G46" s="117">
        <f t="shared" ref="G46:G51" si="16">B46-D46-F46</f>
        <v>13377.302075000001</v>
      </c>
      <c r="H46" s="173">
        <f>B$6+1</f>
        <v>44780</v>
      </c>
      <c r="I46" s="174">
        <v>13478.39</v>
      </c>
      <c r="J46" s="81">
        <f t="shared" si="0"/>
        <v>0</v>
      </c>
      <c r="K46" s="80">
        <v>13966.22</v>
      </c>
      <c r="L46" s="186">
        <f t="shared" ref="L46:L64" si="17">+G46-K46</f>
        <v>-588.91792499999792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244.92</v>
      </c>
      <c r="C48" s="116">
        <v>1.4999999999999999E-2</v>
      </c>
      <c r="D48" s="117">
        <f t="shared" si="18"/>
        <v>3.6737999999999995</v>
      </c>
      <c r="E48" s="172">
        <v>0</v>
      </c>
      <c r="F48" s="117">
        <f t="shared" si="15"/>
        <v>0</v>
      </c>
      <c r="G48" s="117">
        <f t="shared" si="16"/>
        <v>241.24619999999999</v>
      </c>
      <c r="H48" s="173">
        <f t="shared" ref="H48:H61" si="19">B$6+1</f>
        <v>44780</v>
      </c>
      <c r="I48" s="176">
        <v>244.92</v>
      </c>
      <c r="J48" s="81">
        <f t="shared" si="0"/>
        <v>0</v>
      </c>
      <c r="K48" s="80">
        <v>241.25</v>
      </c>
      <c r="L48" s="186">
        <f t="shared" si="17"/>
        <v>-3.8000000000124601E-3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235</v>
      </c>
      <c r="B49" s="117">
        <f>R75</f>
        <v>3301.3099999999995</v>
      </c>
      <c r="C49" s="116">
        <v>7.4999999999999997E-3</v>
      </c>
      <c r="D49" s="117">
        <f t="shared" si="18"/>
        <v>24.759824999999996</v>
      </c>
      <c r="E49" s="172">
        <v>0</v>
      </c>
      <c r="F49" s="117">
        <f t="shared" si="15"/>
        <v>0</v>
      </c>
      <c r="G49" s="117">
        <f t="shared" si="16"/>
        <v>3276.5501749999994</v>
      </c>
      <c r="H49" s="173">
        <f t="shared" si="19"/>
        <v>44780</v>
      </c>
      <c r="I49" s="176">
        <v>3301.31</v>
      </c>
      <c r="J49" s="81">
        <f t="shared" si="0"/>
        <v>0</v>
      </c>
      <c r="K49" s="80"/>
      <c r="L49" s="186">
        <f t="shared" si="17"/>
        <v>3276.5501749999994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2161.11</v>
      </c>
      <c r="C50" s="116">
        <v>7.4999999999999997E-3</v>
      </c>
      <c r="D50" s="117">
        <f t="shared" si="18"/>
        <v>16.208325000000002</v>
      </c>
      <c r="E50" s="172">
        <v>0</v>
      </c>
      <c r="F50" s="117">
        <f t="shared" si="15"/>
        <v>0</v>
      </c>
      <c r="G50" s="117">
        <f t="shared" si="16"/>
        <v>2144.9016750000001</v>
      </c>
      <c r="H50" s="173">
        <f t="shared" si="19"/>
        <v>44780</v>
      </c>
      <c r="I50" s="175">
        <v>2794.4</v>
      </c>
      <c r="J50" s="81">
        <f t="shared" si="0"/>
        <v>-633.29</v>
      </c>
      <c r="K50" s="80">
        <f>924.9+199.48+224.02+397.77+302.41</f>
        <v>2048.58</v>
      </c>
      <c r="L50" s="186">
        <f t="shared" si="17"/>
        <v>96.321675000000141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645.3599999999999</v>
      </c>
      <c r="C51" s="116">
        <v>1.4999999999999999E-2</v>
      </c>
      <c r="D51" s="117">
        <f>+B51*C51</f>
        <v>9.6803999999999988</v>
      </c>
      <c r="E51" s="172">
        <v>0</v>
      </c>
      <c r="F51" s="117">
        <f>D51*E51</f>
        <v>0</v>
      </c>
      <c r="G51" s="117">
        <f t="shared" si="16"/>
        <v>635.67959999999994</v>
      </c>
      <c r="H51" s="173">
        <f t="shared" si="19"/>
        <v>44780</v>
      </c>
      <c r="I51" s="175"/>
      <c r="J51" s="81">
        <f t="shared" si="0"/>
        <v>645.3599999999999</v>
      </c>
      <c r="K51" s="80">
        <v>635.67999999999995</v>
      </c>
      <c r="L51" s="186">
        <f t="shared" si="17"/>
        <v>-4.0000000001327862E-4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733.09</v>
      </c>
      <c r="C52" s="116">
        <v>2.5000000000000001E-2</v>
      </c>
      <c r="D52" s="117">
        <f>B52*C52</f>
        <v>18.327250000000003</v>
      </c>
      <c r="E52" s="172">
        <v>0.05</v>
      </c>
      <c r="F52" s="117">
        <f>(B52/E$10)*E52</f>
        <v>31.598706896551729</v>
      </c>
      <c r="G52" s="117">
        <f>B52-D52-F52</f>
        <v>683.16404310344831</v>
      </c>
      <c r="H52" s="188">
        <f t="shared" si="19"/>
        <v>44780</v>
      </c>
      <c r="I52" s="176">
        <v>733.09</v>
      </c>
      <c r="J52" s="81">
        <f t="shared" si="0"/>
        <v>0</v>
      </c>
      <c r="K52" s="80">
        <v>130.07</v>
      </c>
      <c r="L52" s="186">
        <f t="shared" si="17"/>
        <v>553.09404310344826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8"/>
      <c r="R54" s="160"/>
      <c r="S54" s="160"/>
      <c r="T54" s="160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213</v>
      </c>
      <c r="B56" s="117">
        <f>T75</f>
        <v>129.76</v>
      </c>
      <c r="C56" s="116">
        <v>2.5000000000000001E-2</v>
      </c>
      <c r="D56" s="117">
        <f t="shared" si="20"/>
        <v>3.2439999999999998</v>
      </c>
      <c r="E56" s="172">
        <v>0.05</v>
      </c>
      <c r="F56" s="117">
        <f t="shared" si="21"/>
        <v>5.5931034482758619</v>
      </c>
      <c r="G56" s="117">
        <f t="shared" si="22"/>
        <v>120.92289655172414</v>
      </c>
      <c r="H56" s="173">
        <f t="shared" si="19"/>
        <v>44780</v>
      </c>
      <c r="I56" s="176">
        <v>129.76</v>
      </c>
      <c r="J56" s="81">
        <f t="shared" si="0"/>
        <v>0</v>
      </c>
      <c r="K56" s="80"/>
      <c r="L56" s="186">
        <f t="shared" si="17"/>
        <v>120.92289655172414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176.98152499999998</v>
      </c>
      <c r="E61" s="177"/>
      <c r="F61" s="57">
        <f>SUM(F46:F58)</f>
        <v>37.191810344827587</v>
      </c>
      <c r="G61" s="57">
        <f>SUM(G46:G58)</f>
        <v>20479.766664655173</v>
      </c>
      <c r="H61" s="173">
        <f t="shared" si="19"/>
        <v>44780</v>
      </c>
      <c r="I61" s="175"/>
      <c r="J61" s="81">
        <f t="shared" si="0"/>
        <v>0</v>
      </c>
      <c r="K61" s="80"/>
      <c r="L61" s="186">
        <f t="shared" si="17"/>
        <v>20479.766664655173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12</v>
      </c>
      <c r="C62" s="18"/>
      <c r="D62" s="101"/>
      <c r="E62" s="178"/>
      <c r="F62" s="101"/>
      <c r="G62" s="57"/>
      <c r="H62" s="173">
        <f>B$6+1</f>
        <v>44780</v>
      </c>
      <c r="I62" s="176"/>
      <c r="J62" s="81">
        <f t="shared" si="0"/>
        <v>12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40959.533329310347</v>
      </c>
      <c r="H64" s="184"/>
      <c r="I64" s="175"/>
      <c r="J64" s="81">
        <f t="shared" si="0"/>
        <v>0</v>
      </c>
      <c r="K64" s="80"/>
      <c r="L64" s="186">
        <f t="shared" si="17"/>
        <v>40959.533329310347</v>
      </c>
      <c r="M64" s="130"/>
      <c r="N64" s="87">
        <v>1</v>
      </c>
      <c r="O64" s="122" t="s">
        <v>214</v>
      </c>
      <c r="P64" s="225"/>
      <c r="Q64" s="225">
        <v>4101</v>
      </c>
      <c r="R64" s="240">
        <v>32.51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0.24382499999999999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32.266174999999997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39174.399899999997</v>
      </c>
      <c r="G65" s="22"/>
      <c r="L65" s="132"/>
      <c r="M65" s="131"/>
      <c r="N65" s="87">
        <v>2</v>
      </c>
      <c r="O65" s="122" t="s">
        <v>214</v>
      </c>
      <c r="P65" s="225"/>
      <c r="Q65" s="225">
        <v>8645</v>
      </c>
      <c r="R65" s="240">
        <v>70.25</v>
      </c>
      <c r="S65" s="225"/>
      <c r="T65" s="87"/>
      <c r="U65" s="189">
        <f t="shared" si="27"/>
        <v>0</v>
      </c>
      <c r="V65" s="189">
        <f t="shared" si="28"/>
        <v>0.52687499999999998</v>
      </c>
      <c r="W65" s="189">
        <f t="shared" si="29"/>
        <v>0</v>
      </c>
      <c r="X65" s="189">
        <f t="shared" si="30"/>
        <v>0</v>
      </c>
      <c r="Y65" s="189">
        <f t="shared" si="31"/>
        <v>69.723124999999996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214</v>
      </c>
      <c r="P66" s="225"/>
      <c r="Q66" s="225">
        <v>6372</v>
      </c>
      <c r="R66" s="240">
        <v>33.979999999999997</v>
      </c>
      <c r="S66" s="225"/>
      <c r="T66" s="87"/>
      <c r="U66" s="189">
        <f t="shared" si="27"/>
        <v>0</v>
      </c>
      <c r="V66" s="189">
        <f t="shared" si="28"/>
        <v>0.25484999999999997</v>
      </c>
      <c r="W66" s="189">
        <f t="shared" si="29"/>
        <v>0</v>
      </c>
      <c r="X66" s="189">
        <f t="shared" si="30"/>
        <v>0</v>
      </c>
      <c r="Y66" s="189">
        <f t="shared" si="31"/>
        <v>33.725149999999999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214</v>
      </c>
      <c r="P67" s="225"/>
      <c r="Q67" s="225">
        <v>5271</v>
      </c>
      <c r="R67" s="240">
        <v>22.43</v>
      </c>
      <c r="S67" s="225"/>
      <c r="T67" s="87"/>
      <c r="U67" s="189">
        <f t="shared" si="27"/>
        <v>0</v>
      </c>
      <c r="V67" s="189">
        <f t="shared" si="28"/>
        <v>0.16822499999999999</v>
      </c>
      <c r="W67" s="189">
        <f t="shared" si="29"/>
        <v>0</v>
      </c>
      <c r="X67" s="189">
        <f t="shared" si="30"/>
        <v>0</v>
      </c>
      <c r="Y67" s="189">
        <f t="shared" si="31"/>
        <v>22.261775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39113.120000000003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214</v>
      </c>
      <c r="P68" s="225"/>
      <c r="Q68" s="225">
        <v>112</v>
      </c>
      <c r="R68" s="240">
        <f>36.29+4.78+44.68</f>
        <v>85.75</v>
      </c>
      <c r="S68" s="225"/>
      <c r="T68" s="87"/>
      <c r="U68" s="189">
        <f t="shared" si="27"/>
        <v>0</v>
      </c>
      <c r="V68" s="189">
        <f t="shared" si="28"/>
        <v>0.64312499999999995</v>
      </c>
      <c r="W68" s="189">
        <f t="shared" si="29"/>
        <v>0</v>
      </c>
      <c r="X68" s="189">
        <f t="shared" si="30"/>
        <v>0</v>
      </c>
      <c r="Y68" s="189">
        <f t="shared" si="31"/>
        <v>85.106875000000002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38656.78</v>
      </c>
      <c r="C69" s="59"/>
      <c r="F69" s="87" t="s">
        <v>127</v>
      </c>
      <c r="G69" s="22"/>
      <c r="H69" s="89"/>
      <c r="I69" s="136"/>
      <c r="J69" s="136"/>
      <c r="N69" s="312" t="s">
        <v>108</v>
      </c>
      <c r="O69" s="312"/>
      <c r="P69" s="313"/>
      <c r="Q69" s="313"/>
      <c r="R69" s="192">
        <f>SUM(R64:R68)</f>
        <v>244.92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1.8369</v>
      </c>
      <c r="W69" s="192">
        <f t="shared" si="33"/>
        <v>0</v>
      </c>
      <c r="X69" s="192">
        <f t="shared" si="33"/>
        <v>0</v>
      </c>
      <c r="Y69" s="192">
        <f t="shared" si="33"/>
        <v>243.0831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456.34000000000378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/>
      <c r="Q70" s="225">
        <v>200</v>
      </c>
      <c r="R70" s="225">
        <v>1036.3499999999999</v>
      </c>
      <c r="S70" s="225"/>
      <c r="T70" s="225">
        <v>129.76</v>
      </c>
      <c r="U70" s="189">
        <f t="shared" ref="U70:U74" si="34">((T70/U$10)*U$9)</f>
        <v>5.5931034482758619</v>
      </c>
      <c r="V70" s="189">
        <f t="shared" ref="V70:V74" si="35">R70*V$10</f>
        <v>7.7726249999999988</v>
      </c>
      <c r="W70" s="189">
        <f t="shared" ref="W70:W74" si="36">+S70*V$10</f>
        <v>0</v>
      </c>
      <c r="X70" s="189">
        <f t="shared" ref="X70:X74" si="37">+T70*X$10</f>
        <v>3.2439999999999998</v>
      </c>
      <c r="Y70" s="189">
        <f t="shared" ref="Y70:Z74" si="38">R70-V70</f>
        <v>1028.5773749999998</v>
      </c>
      <c r="Z70" s="189">
        <f t="shared" si="38"/>
        <v>0</v>
      </c>
      <c r="AA70" s="189">
        <f t="shared" ref="AA70:AA74" si="39">T70-U70-X70</f>
        <v>120.92289655172414</v>
      </c>
      <c r="AB70" s="87"/>
    </row>
    <row r="71" spans="1:30" ht="28.5" customHeight="1" thickBot="1" x14ac:dyDescent="0.3">
      <c r="A71" s="25" t="s">
        <v>56</v>
      </c>
      <c r="B71" s="70">
        <f>B65-B68</f>
        <v>61.279899999994086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208</v>
      </c>
      <c r="P71" s="225"/>
      <c r="Q71" s="225">
        <v>199</v>
      </c>
      <c r="R71" s="225">
        <v>34.6</v>
      </c>
      <c r="S71" s="225"/>
      <c r="T71" s="225"/>
      <c r="U71" s="189">
        <f t="shared" si="34"/>
        <v>0</v>
      </c>
      <c r="V71" s="189">
        <f t="shared" si="35"/>
        <v>0.25950000000000001</v>
      </c>
      <c r="W71" s="189">
        <f t="shared" si="36"/>
        <v>0</v>
      </c>
      <c r="X71" s="189">
        <f t="shared" si="37"/>
        <v>0</v>
      </c>
      <c r="Y71" s="189">
        <f t="shared" si="38"/>
        <v>34.340499999999999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/>
      <c r="Q72" s="225">
        <v>50</v>
      </c>
      <c r="R72" s="225">
        <v>144.6</v>
      </c>
      <c r="S72" s="225"/>
      <c r="T72" s="225"/>
      <c r="U72" s="189">
        <f t="shared" si="34"/>
        <v>0</v>
      </c>
      <c r="V72" s="189">
        <f t="shared" si="35"/>
        <v>1.0845</v>
      </c>
      <c r="W72" s="189">
        <f t="shared" si="36"/>
        <v>0</v>
      </c>
      <c r="X72" s="189">
        <f t="shared" si="37"/>
        <v>0</v>
      </c>
      <c r="Y72" s="189">
        <f t="shared" si="38"/>
        <v>143.5155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/>
      <c r="Q73" s="225">
        <v>199</v>
      </c>
      <c r="R73" s="225">
        <v>69.05</v>
      </c>
      <c r="S73" s="225"/>
      <c r="T73" s="225"/>
      <c r="U73" s="189">
        <f t="shared" si="34"/>
        <v>0</v>
      </c>
      <c r="V73" s="189">
        <f t="shared" si="35"/>
        <v>0.51787499999999997</v>
      </c>
      <c r="W73" s="189">
        <f t="shared" si="36"/>
        <v>0</v>
      </c>
      <c r="X73" s="189">
        <f t="shared" si="37"/>
        <v>0</v>
      </c>
      <c r="Y73" s="189">
        <f t="shared" si="38"/>
        <v>68.532124999999994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>
        <v>200</v>
      </c>
      <c r="R74" s="225">
        <v>2016.71</v>
      </c>
      <c r="S74" s="225"/>
      <c r="T74" s="225"/>
      <c r="U74" s="189">
        <f t="shared" si="34"/>
        <v>0</v>
      </c>
      <c r="V74" s="189">
        <f t="shared" si="35"/>
        <v>15.125325</v>
      </c>
      <c r="W74" s="189">
        <f t="shared" si="36"/>
        <v>0</v>
      </c>
      <c r="X74" s="189">
        <f t="shared" si="37"/>
        <v>0</v>
      </c>
      <c r="Y74" s="189">
        <f t="shared" si="38"/>
        <v>2001.5846750000001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3301.3099999999995</v>
      </c>
      <c r="S75" s="192"/>
      <c r="T75" s="192">
        <f>SUM(T70:T74)</f>
        <v>129.76</v>
      </c>
      <c r="U75" s="192">
        <f>SUM(U70:U74)</f>
        <v>5.5931034482758619</v>
      </c>
      <c r="V75" s="192">
        <f t="shared" ref="V75:AA75" si="41">SUM(V70:V74)</f>
        <v>24.759824999999999</v>
      </c>
      <c r="W75" s="192">
        <f t="shared" si="41"/>
        <v>0</v>
      </c>
      <c r="X75" s="192">
        <f t="shared" si="41"/>
        <v>3.2439999999999998</v>
      </c>
      <c r="Y75" s="192">
        <f t="shared" si="41"/>
        <v>3276.5501749999999</v>
      </c>
      <c r="Z75" s="192">
        <f t="shared" si="41"/>
        <v>0</v>
      </c>
      <c r="AA75" s="193">
        <f t="shared" si="41"/>
        <v>120.92289655172414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170.82+139.98+55.67</f>
        <v>366.46999999999997</v>
      </c>
      <c r="R78" s="82">
        <v>7.4999999999999997E-3</v>
      </c>
      <c r="S78" s="194">
        <f>+(P78+Q78)*R78</f>
        <v>2.7485249999999999</v>
      </c>
      <c r="T78" s="254">
        <f>+(P78+Q78)-S78</f>
        <v>363.721475</v>
      </c>
      <c r="U78" s="211">
        <f>40.33+36.9</f>
        <v>77.22999999999999</v>
      </c>
      <c r="V78" s="112"/>
      <c r="W78" s="113">
        <v>1.4999999999999999E-2</v>
      </c>
      <c r="X78" s="196">
        <f>+(U78+V78)*W78</f>
        <v>1.1584499999999998</v>
      </c>
      <c r="Y78" s="254">
        <f>+(U78+V78)-X78</f>
        <v>76.071549999999988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f>34.12+215.77</f>
        <v>249.89000000000001</v>
      </c>
      <c r="R79" s="82">
        <v>7.4999999999999997E-3</v>
      </c>
      <c r="S79" s="194">
        <f t="shared" ref="S79:S97" si="43">+(P79+Q79)*R79</f>
        <v>1.8741750000000001</v>
      </c>
      <c r="T79" s="254">
        <f t="shared" ref="T79:T97" si="44">+(P79+Q79)-S79</f>
        <v>248.01582500000001</v>
      </c>
      <c r="U79" s="211">
        <f>76.94+74.79</f>
        <v>151.73000000000002</v>
      </c>
      <c r="V79" s="112"/>
      <c r="W79" s="113">
        <v>1.4999999999999999E-2</v>
      </c>
      <c r="X79" s="196">
        <f t="shared" ref="X79:X97" si="45">+(U79+V79)*W79</f>
        <v>2.2759500000000004</v>
      </c>
      <c r="Y79" s="254">
        <f t="shared" ref="Y79:Y97" si="46">+(U79+V79)-X79</f>
        <v>149.45405000000002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184.7+72.05+579.89+106.85</f>
        <v>943.49</v>
      </c>
      <c r="R80" s="82">
        <v>7.4999999999999997E-3</v>
      </c>
      <c r="S80" s="216">
        <f t="shared" si="43"/>
        <v>7.0761750000000001</v>
      </c>
      <c r="T80" s="213">
        <f t="shared" si="44"/>
        <v>936.41382499999997</v>
      </c>
      <c r="U80" s="211">
        <f>46.28+122.31</f>
        <v>168.59</v>
      </c>
      <c r="V80" s="112"/>
      <c r="W80" s="113">
        <v>1.4999999999999999E-2</v>
      </c>
      <c r="X80" s="196">
        <f t="shared" si="45"/>
        <v>2.5288499999999998</v>
      </c>
      <c r="Y80" s="213">
        <f t="shared" si="46"/>
        <v>166.06115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13.57+8.15+200.51+95.71</f>
        <v>317.94</v>
      </c>
      <c r="R81" s="82">
        <v>7.4999999999999997E-3</v>
      </c>
      <c r="S81" s="216">
        <f t="shared" si="43"/>
        <v>2.3845499999999999</v>
      </c>
      <c r="T81" s="213">
        <f t="shared" si="44"/>
        <v>315.55545000000001</v>
      </c>
      <c r="U81" s="211">
        <f>7.63+173.39</f>
        <v>181.01999999999998</v>
      </c>
      <c r="V81" s="112"/>
      <c r="W81" s="113">
        <v>1.4999999999999999E-2</v>
      </c>
      <c r="X81" s="196">
        <f t="shared" si="45"/>
        <v>2.7152999999999996</v>
      </c>
      <c r="Y81" s="213">
        <f t="shared" si="46"/>
        <v>178.30469999999997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269.24+14.08</f>
        <v>283.32</v>
      </c>
      <c r="R82" s="82">
        <v>7.4999999999999997E-3</v>
      </c>
      <c r="S82" s="216">
        <f t="shared" si="43"/>
        <v>2.1248999999999998</v>
      </c>
      <c r="T82" s="254">
        <f t="shared" si="44"/>
        <v>281.19509999999997</v>
      </c>
      <c r="U82" s="211">
        <v>66.790000000000006</v>
      </c>
      <c r="V82" s="112"/>
      <c r="W82" s="113">
        <v>1.4999999999999999E-2</v>
      </c>
      <c r="X82" s="196">
        <f t="shared" si="45"/>
        <v>1.0018500000000001</v>
      </c>
      <c r="Y82" s="254">
        <f t="shared" si="46"/>
        <v>65.788150000000002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54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5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216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3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3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54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3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54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2161.11</v>
      </c>
      <c r="R98" s="111"/>
      <c r="S98" s="195">
        <f>SUM(S78:S97)</f>
        <v>16.208325000000002</v>
      </c>
      <c r="T98" s="195">
        <f>SUM(T78:T97)</f>
        <v>2144.9016750000001</v>
      </c>
      <c r="U98" s="114">
        <f>SUM(U78:U97)</f>
        <v>645.3599999999999</v>
      </c>
      <c r="V98" s="114">
        <f>SUM(V78:V97)</f>
        <v>0</v>
      </c>
      <c r="W98" s="112"/>
      <c r="X98" s="197">
        <f>SUM(X78:X97)</f>
        <v>9.6803999999999988</v>
      </c>
      <c r="Y98" s="197">
        <f>SUM(Y78:Y97)</f>
        <v>635.67959999999994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84"/>
    </row>
    <row r="103" spans="14:30" x14ac:dyDescent="0.25">
      <c r="N103" s="85"/>
      <c r="Q103" s="215">
        <f t="shared" ref="Q103:Q108" si="50">P78+Q78+U78</f>
        <v>443.69999999999993</v>
      </c>
    </row>
    <row r="104" spans="14:30" x14ac:dyDescent="0.25">
      <c r="N104" s="85"/>
      <c r="Q104" s="215">
        <f t="shared" si="50"/>
        <v>401.62</v>
      </c>
    </row>
    <row r="105" spans="14:30" x14ac:dyDescent="0.25">
      <c r="N105" s="85"/>
      <c r="Q105" s="215">
        <f>P80+Q80+U80</f>
        <v>1112.08</v>
      </c>
    </row>
    <row r="106" spans="14:30" x14ac:dyDescent="0.25">
      <c r="N106" s="85"/>
      <c r="Q106" s="215">
        <f t="shared" si="50"/>
        <v>498.96</v>
      </c>
    </row>
    <row r="107" spans="14:30" x14ac:dyDescent="0.25">
      <c r="N107" s="85"/>
      <c r="Q107" s="215">
        <f>P82+Q82+U82</f>
        <v>350.11</v>
      </c>
    </row>
    <row r="108" spans="14:30" x14ac:dyDescent="0.25">
      <c r="N108" s="85"/>
      <c r="Q108" s="84">
        <f t="shared" si="50"/>
        <v>0</v>
      </c>
    </row>
    <row r="109" spans="14:30" x14ac:dyDescent="0.25">
      <c r="N109" s="85"/>
      <c r="Q109" s="246">
        <f>P84+Q84+U84</f>
        <v>0</v>
      </c>
    </row>
    <row r="110" spans="14:30" x14ac:dyDescent="0.25">
      <c r="N110" s="85"/>
      <c r="Q110" s="246">
        <f>P85+Q85+U85</f>
        <v>0</v>
      </c>
    </row>
    <row r="111" spans="14:30" x14ac:dyDescent="0.25">
      <c r="N111" s="85"/>
      <c r="Q111" s="246">
        <f>P86+Q86+U86</f>
        <v>0</v>
      </c>
    </row>
    <row r="112" spans="14:30" x14ac:dyDescent="0.25">
      <c r="N112" s="85"/>
      <c r="Q112" s="246">
        <f>P87+Q87+U87</f>
        <v>0</v>
      </c>
    </row>
    <row r="113" spans="14:20" x14ac:dyDescent="0.25">
      <c r="N113" s="85"/>
      <c r="Q113" s="85">
        <f>P88+Q88+U88</f>
        <v>0</v>
      </c>
      <c r="T113" s="85">
        <v>1391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6" zoomScale="90" zoomScaleNormal="90" workbookViewId="0">
      <selection activeCell="S69" sqref="S6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5.87</v>
      </c>
      <c r="C8" s="85" t="s">
        <v>92</v>
      </c>
      <c r="D8" s="108">
        <v>5.96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1990</v>
      </c>
      <c r="C12" s="15"/>
      <c r="D12" s="56"/>
      <c r="E12" s="16"/>
      <c r="F12" s="56"/>
      <c r="G12" s="56"/>
      <c r="H12" s="17"/>
      <c r="I12" s="83">
        <v>1990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216</v>
      </c>
      <c r="Q12" s="158">
        <v>11</v>
      </c>
      <c r="R12" s="159">
        <v>1541.68</v>
      </c>
      <c r="S12" s="160"/>
      <c r="T12" s="160">
        <v>27.99</v>
      </c>
      <c r="U12" s="189">
        <f>((T12/U$10)*U$9)</f>
        <v>1.2064655172413794</v>
      </c>
      <c r="V12" s="189">
        <f>R12*V$10</f>
        <v>11.5626</v>
      </c>
      <c r="W12" s="189">
        <f>+S12*V$10</f>
        <v>0</v>
      </c>
      <c r="X12" s="189">
        <f>+T12*X$10</f>
        <v>0.69974999999999998</v>
      </c>
      <c r="Y12" s="189">
        <f>R12-V12</f>
        <v>1530.1174000000001</v>
      </c>
      <c r="Z12" s="189">
        <f>S12-W12</f>
        <v>0</v>
      </c>
      <c r="AA12" s="189">
        <f>T12-U12-X12</f>
        <v>26.083784482758617</v>
      </c>
      <c r="AB12" s="156"/>
    </row>
    <row r="13" spans="1:28" ht="15.75" x14ac:dyDescent="0.25">
      <c r="A13" s="86" t="s">
        <v>74</v>
      </c>
      <c r="B13" s="89">
        <v>3042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3042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217</v>
      </c>
      <c r="Q13" s="158">
        <v>11</v>
      </c>
      <c r="R13" s="159">
        <v>63.62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0.47714999999999996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63.142849999999996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17856.54</v>
      </c>
      <c r="C14" s="15"/>
      <c r="D14" s="56"/>
      <c r="E14" s="16"/>
      <c r="F14" s="56"/>
      <c r="G14" s="56"/>
      <c r="H14" s="17"/>
      <c r="I14" s="83"/>
      <c r="J14" s="81">
        <f t="shared" si="0"/>
        <v>17856.54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600</v>
      </c>
      <c r="Q14" s="158">
        <v>2</v>
      </c>
      <c r="R14" s="159">
        <v>1776.79</v>
      </c>
      <c r="S14" s="160"/>
      <c r="T14" s="161">
        <v>57.52</v>
      </c>
      <c r="U14" s="189">
        <f t="shared" si="2"/>
        <v>2.4793103448275868</v>
      </c>
      <c r="V14" s="189">
        <f t="shared" si="3"/>
        <v>13.325925</v>
      </c>
      <c r="W14" s="189">
        <f t="shared" si="4"/>
        <v>0</v>
      </c>
      <c r="X14" s="189">
        <f t="shared" si="5"/>
        <v>1.4380000000000002</v>
      </c>
      <c r="Y14" s="189">
        <f t="shared" si="6"/>
        <v>1763.4640749999999</v>
      </c>
      <c r="Z14" s="189">
        <f t="shared" si="6"/>
        <v>0</v>
      </c>
      <c r="AA14" s="189">
        <f t="shared" si="7"/>
        <v>53.602689655172412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601</v>
      </c>
      <c r="Q15" s="158">
        <v>2</v>
      </c>
      <c r="R15" s="159">
        <v>1709.63</v>
      </c>
      <c r="S15" s="160"/>
      <c r="T15" s="161">
        <v>49.19</v>
      </c>
      <c r="U15" s="189">
        <f t="shared" si="2"/>
        <v>2.1202586206896554</v>
      </c>
      <c r="V15" s="189">
        <f t="shared" si="3"/>
        <v>12.822225</v>
      </c>
      <c r="W15" s="189">
        <f t="shared" si="4"/>
        <v>0</v>
      </c>
      <c r="X15" s="189">
        <f t="shared" si="5"/>
        <v>1.2297500000000001</v>
      </c>
      <c r="Y15" s="189">
        <f t="shared" si="6"/>
        <v>1696.8077750000002</v>
      </c>
      <c r="Z15" s="189">
        <f t="shared" si="6"/>
        <v>0</v>
      </c>
      <c r="AA15" s="189">
        <f t="shared" si="7"/>
        <v>45.839991379310341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581</v>
      </c>
      <c r="Q16" s="158">
        <v>4</v>
      </c>
      <c r="R16" s="159">
        <v>1866.71</v>
      </c>
      <c r="S16" s="160"/>
      <c r="T16" s="161">
        <v>102.5</v>
      </c>
      <c r="U16" s="189">
        <f t="shared" si="2"/>
        <v>4.418103448275863</v>
      </c>
      <c r="V16" s="189">
        <f t="shared" si="3"/>
        <v>14.000325</v>
      </c>
      <c r="W16" s="189">
        <f t="shared" si="4"/>
        <v>0</v>
      </c>
      <c r="X16" s="189">
        <f t="shared" si="5"/>
        <v>2.5625</v>
      </c>
      <c r="Y16" s="189">
        <f t="shared" si="6"/>
        <v>1852.7096750000001</v>
      </c>
      <c r="Z16" s="189">
        <f t="shared" si="6"/>
        <v>0</v>
      </c>
      <c r="AA16" s="189">
        <f t="shared" si="7"/>
        <v>95.519396551724142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582</v>
      </c>
      <c r="Q17" s="158">
        <v>4</v>
      </c>
      <c r="R17" s="159">
        <v>1903.24</v>
      </c>
      <c r="S17" s="160"/>
      <c r="T17" s="161"/>
      <c r="U17" s="189">
        <f t="shared" si="2"/>
        <v>0</v>
      </c>
      <c r="V17" s="189">
        <f t="shared" si="3"/>
        <v>14.2743</v>
      </c>
      <c r="W17" s="189">
        <f t="shared" si="4"/>
        <v>0</v>
      </c>
      <c r="X17" s="189">
        <f t="shared" si="5"/>
        <v>0</v>
      </c>
      <c r="Y17" s="189">
        <f t="shared" si="6"/>
        <v>1888.9657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3</v>
      </c>
      <c r="Q18" s="158">
        <v>13</v>
      </c>
      <c r="R18" s="159">
        <v>494.03</v>
      </c>
      <c r="S18" s="160"/>
      <c r="T18" s="161"/>
      <c r="U18" s="189">
        <f t="shared" si="2"/>
        <v>0</v>
      </c>
      <c r="V18" s="189">
        <f t="shared" si="3"/>
        <v>3.7052249999999995</v>
      </c>
      <c r="W18" s="189">
        <f t="shared" si="4"/>
        <v>0</v>
      </c>
      <c r="X18" s="189">
        <f t="shared" si="5"/>
        <v>0</v>
      </c>
      <c r="Y18" s="189">
        <f t="shared" si="6"/>
        <v>490.32477499999999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3042</v>
      </c>
      <c r="C19" s="95"/>
      <c r="D19" s="94"/>
      <c r="E19" s="96"/>
      <c r="F19" s="94"/>
      <c r="G19" s="94"/>
      <c r="H19" s="98"/>
      <c r="I19" s="99">
        <v>3042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218</v>
      </c>
      <c r="Q19" s="158">
        <v>10</v>
      </c>
      <c r="R19" s="159">
        <v>1027.56</v>
      </c>
      <c r="S19" s="160"/>
      <c r="T19" s="161">
        <v>20</v>
      </c>
      <c r="U19" s="189">
        <f t="shared" si="2"/>
        <v>0.86206896551724155</v>
      </c>
      <c r="V19" s="189">
        <f t="shared" si="3"/>
        <v>7.7066999999999997</v>
      </c>
      <c r="W19" s="189">
        <f t="shared" si="4"/>
        <v>0</v>
      </c>
      <c r="X19" s="189">
        <f t="shared" si="5"/>
        <v>0.5</v>
      </c>
      <c r="Y19" s="189">
        <f t="shared" si="6"/>
        <v>1019.8533</v>
      </c>
      <c r="Z19" s="189">
        <f t="shared" si="6"/>
        <v>0</v>
      </c>
      <c r="AA19" s="189">
        <f t="shared" si="7"/>
        <v>18.637931034482758</v>
      </c>
      <c r="AB19" s="156"/>
    </row>
    <row r="20" spans="1:28" ht="15.75" x14ac:dyDescent="0.25">
      <c r="A20" s="93" t="s">
        <v>80</v>
      </c>
      <c r="B20" s="97">
        <f>+B14+B16+B18</f>
        <v>17856.54</v>
      </c>
      <c r="C20" s="95"/>
      <c r="D20" s="94"/>
      <c r="E20" s="96"/>
      <c r="F20" s="94"/>
      <c r="G20" s="94"/>
      <c r="H20" s="98"/>
      <c r="I20" s="99"/>
      <c r="J20" s="185">
        <f t="shared" si="0"/>
        <v>17856.54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217</v>
      </c>
      <c r="Q20" s="158">
        <v>10</v>
      </c>
      <c r="R20" s="159">
        <v>201.37</v>
      </c>
      <c r="S20" s="160"/>
      <c r="T20" s="161">
        <v>14.56</v>
      </c>
      <c r="U20" s="189">
        <f t="shared" si="2"/>
        <v>0.62758620689655187</v>
      </c>
      <c r="V20" s="189">
        <f t="shared" si="3"/>
        <v>1.510275</v>
      </c>
      <c r="W20" s="189">
        <f t="shared" si="4"/>
        <v>0</v>
      </c>
      <c r="X20" s="189">
        <f t="shared" si="5"/>
        <v>0.36400000000000005</v>
      </c>
      <c r="Y20" s="189">
        <f t="shared" si="6"/>
        <v>199.859725</v>
      </c>
      <c r="Z20" s="189">
        <f t="shared" si="6"/>
        <v>0</v>
      </c>
      <c r="AA20" s="189">
        <f t="shared" si="7"/>
        <v>13.568413793103447</v>
      </c>
      <c r="AB20" s="156"/>
    </row>
    <row r="21" spans="1:28" ht="15.75" x14ac:dyDescent="0.25">
      <c r="A21" s="86" t="s">
        <v>82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671</v>
      </c>
      <c r="Q21" s="158">
        <v>18</v>
      </c>
      <c r="R21" s="159">
        <v>1018.35</v>
      </c>
      <c r="S21" s="160"/>
      <c r="T21" s="161">
        <v>34.909999999999997</v>
      </c>
      <c r="U21" s="189">
        <f t="shared" si="2"/>
        <v>1.504741379310345</v>
      </c>
      <c r="V21" s="189">
        <f t="shared" si="3"/>
        <v>7.6376249999999999</v>
      </c>
      <c r="W21" s="189">
        <f t="shared" si="4"/>
        <v>0</v>
      </c>
      <c r="X21" s="189">
        <f t="shared" si="5"/>
        <v>0.87274999999999991</v>
      </c>
      <c r="Y21" s="189">
        <f t="shared" si="6"/>
        <v>1010.7123750000001</v>
      </c>
      <c r="Z21" s="189">
        <f t="shared" si="6"/>
        <v>0</v>
      </c>
      <c r="AA21" s="189">
        <f t="shared" si="7"/>
        <v>32.532508620689654</v>
      </c>
      <c r="AB21" s="156"/>
    </row>
    <row r="22" spans="1:28" ht="15.75" x14ac:dyDescent="0.25">
      <c r="A22" s="86" t="s">
        <v>85</v>
      </c>
      <c r="B22" s="57">
        <f>B21*D8</f>
        <v>119.2</v>
      </c>
      <c r="C22" s="100"/>
      <c r="D22" s="66"/>
      <c r="E22" s="67"/>
      <c r="F22" s="66"/>
      <c r="G22" s="66"/>
      <c r="H22" s="102"/>
      <c r="I22" s="79"/>
      <c r="J22" s="81">
        <f t="shared" si="0"/>
        <v>119.2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670</v>
      </c>
      <c r="Q22" s="158">
        <v>18</v>
      </c>
      <c r="R22" s="162">
        <v>861.88</v>
      </c>
      <c r="S22" s="160"/>
      <c r="T22" s="160"/>
      <c r="U22" s="189">
        <f t="shared" si="2"/>
        <v>0</v>
      </c>
      <c r="V22" s="189">
        <f t="shared" si="3"/>
        <v>6.4640999999999993</v>
      </c>
      <c r="W22" s="189">
        <f t="shared" si="4"/>
        <v>0</v>
      </c>
      <c r="X22" s="189">
        <f t="shared" si="5"/>
        <v>0</v>
      </c>
      <c r="Y22" s="189">
        <f t="shared" si="6"/>
        <v>855.41589999999997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20</v>
      </c>
      <c r="C27" s="95"/>
      <c r="D27" s="94"/>
      <c r="E27" s="96"/>
      <c r="F27" s="94"/>
      <c r="G27" s="94"/>
      <c r="H27" s="98"/>
      <c r="I27" s="99">
        <v>20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6.5" customHeight="1" x14ac:dyDescent="0.25">
      <c r="A28" s="93" t="s">
        <v>87</v>
      </c>
      <c r="B28" s="97">
        <f>+B22+B24+B26</f>
        <v>119.2</v>
      </c>
      <c r="C28" s="95"/>
      <c r="D28" s="94"/>
      <c r="E28" s="96"/>
      <c r="F28" s="94"/>
      <c r="G28" s="94"/>
      <c r="H28" s="98"/>
      <c r="I28" s="99"/>
      <c r="J28" s="185">
        <f t="shared" si="0"/>
        <v>119.2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23.3</v>
      </c>
      <c r="C29" s="100"/>
      <c r="D29" s="66"/>
      <c r="E29" s="67"/>
      <c r="F29" s="66"/>
      <c r="G29" s="66"/>
      <c r="H29" s="102"/>
      <c r="I29" s="79"/>
      <c r="J29" s="81">
        <f t="shared" si="0"/>
        <v>23.3</v>
      </c>
      <c r="K29" s="80"/>
      <c r="L29" s="186">
        <f>K29-B29</f>
        <v>-23.3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136.77100000000002</v>
      </c>
      <c r="C30" s="100"/>
      <c r="D30" s="66"/>
      <c r="E30" s="67"/>
      <c r="F30" s="66"/>
      <c r="G30" s="66"/>
      <c r="H30" s="102"/>
      <c r="I30" s="79"/>
      <c r="J30" s="81">
        <f t="shared" si="0"/>
        <v>136.77100000000002</v>
      </c>
      <c r="K30" s="80"/>
      <c r="L30" s="186">
        <f>K30-B30</f>
        <v>-136.77100000000002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23.3</v>
      </c>
      <c r="C35" s="95"/>
      <c r="D35" s="94"/>
      <c r="E35" s="96"/>
      <c r="F35" s="94"/>
      <c r="G35" s="94"/>
      <c r="H35" s="98"/>
      <c r="I35" s="99">
        <v>23.3</v>
      </c>
      <c r="J35" s="185">
        <f t="shared" si="0"/>
        <v>0</v>
      </c>
      <c r="K35" s="99"/>
      <c r="L35" s="187">
        <f>K35-B35</f>
        <v>-23.3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136.77100000000002</v>
      </c>
      <c r="C36" s="95"/>
      <c r="D36" s="94"/>
      <c r="E36" s="96"/>
      <c r="F36" s="94"/>
      <c r="G36" s="94"/>
      <c r="H36" s="98"/>
      <c r="I36" s="99"/>
      <c r="J36" s="185">
        <f t="shared" si="0"/>
        <v>136.77100000000002</v>
      </c>
      <c r="K36" s="99"/>
      <c r="L36" s="187">
        <f>K36-B36</f>
        <v>-136.77100000000002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85.48</v>
      </c>
      <c r="C37" s="100"/>
      <c r="D37" s="66"/>
      <c r="E37" s="67"/>
      <c r="F37" s="66"/>
      <c r="G37" s="66"/>
      <c r="H37" s="102"/>
      <c r="I37" s="79"/>
      <c r="J37" s="81">
        <f t="shared" si="0"/>
        <v>85.48</v>
      </c>
      <c r="K37" s="80"/>
      <c r="L37" s="186">
        <f>K37-B37</f>
        <v>-85.48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501.76760000000002</v>
      </c>
      <c r="C38" s="100"/>
      <c r="D38" s="66"/>
      <c r="E38" s="67"/>
      <c r="F38" s="66"/>
      <c r="G38" s="66"/>
      <c r="H38" s="102"/>
      <c r="I38" s="79"/>
      <c r="J38" s="81">
        <f t="shared" si="0"/>
        <v>501.76760000000002</v>
      </c>
      <c r="K38" s="80"/>
      <c r="L38" s="186">
        <f>K38-B38</f>
        <v>-501.76760000000002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12464.86</v>
      </c>
      <c r="S42" s="190">
        <f t="shared" si="8"/>
        <v>0</v>
      </c>
      <c r="T42" s="190">
        <f t="shared" si="8"/>
        <v>306.66999999999996</v>
      </c>
      <c r="U42" s="190">
        <f t="shared" si="8"/>
        <v>13.218534482758624</v>
      </c>
      <c r="V42" s="190">
        <f t="shared" si="8"/>
        <v>93.486450000000005</v>
      </c>
      <c r="W42" s="190">
        <f t="shared" si="8"/>
        <v>0</v>
      </c>
      <c r="X42" s="190">
        <f t="shared" si="8"/>
        <v>7.6667499999999995</v>
      </c>
      <c r="Y42" s="190">
        <f t="shared" si="8"/>
        <v>12371.37355</v>
      </c>
      <c r="Z42" s="190">
        <f t="shared" si="8"/>
        <v>0</v>
      </c>
      <c r="AA42" s="190">
        <f t="shared" si="8"/>
        <v>285.78471551724135</v>
      </c>
      <c r="AB42" s="166"/>
    </row>
    <row r="43" spans="1:28" ht="15.75" x14ac:dyDescent="0.25">
      <c r="A43" s="93" t="s">
        <v>101</v>
      </c>
      <c r="B43" s="97">
        <f>+B37+B39+B41</f>
        <v>85.48</v>
      </c>
      <c r="C43" s="95"/>
      <c r="D43" s="94"/>
      <c r="E43" s="96"/>
      <c r="F43" s="94"/>
      <c r="G43" s="94"/>
      <c r="H43" s="98"/>
      <c r="I43" s="99">
        <v>85.48</v>
      </c>
      <c r="J43" s="185">
        <f t="shared" si="0"/>
        <v>0</v>
      </c>
      <c r="K43" s="99"/>
      <c r="L43" s="187">
        <f>K43-B43</f>
        <v>-85.48</v>
      </c>
      <c r="M43" s="107"/>
      <c r="N43" s="104">
        <v>1</v>
      </c>
      <c r="O43" s="167" t="s">
        <v>187</v>
      </c>
      <c r="P43" s="158"/>
      <c r="Q43" s="158"/>
      <c r="R43" s="160">
        <v>526.58000000000004</v>
      </c>
      <c r="S43" s="160"/>
      <c r="T43" s="160">
        <v>7.57</v>
      </c>
      <c r="U43" s="189">
        <f t="shared" ref="U43:U62" si="9">((T43/U$10)*U$9)</f>
        <v>0.32629310344827589</v>
      </c>
      <c r="V43" s="189">
        <f t="shared" ref="V43:V62" si="10">R43*V$10</f>
        <v>3.9493500000000004</v>
      </c>
      <c r="W43" s="189">
        <f t="shared" ref="W43:W62" si="11">+S43*V$10</f>
        <v>0</v>
      </c>
      <c r="X43" s="189">
        <f t="shared" ref="X43:X62" si="12">+T43*X$10</f>
        <v>0.18925000000000003</v>
      </c>
      <c r="Y43" s="189">
        <f t="shared" ref="Y43:Z58" si="13">R43-V43</f>
        <v>522.63065000000006</v>
      </c>
      <c r="Z43" s="189">
        <f t="shared" si="13"/>
        <v>0</v>
      </c>
      <c r="AA43" s="189">
        <f t="shared" ref="AA43:AA62" si="14">T43-U43-X43</f>
        <v>7.0544568965517245</v>
      </c>
      <c r="AB43" s="156"/>
    </row>
    <row r="44" spans="1:28" ht="15.75" x14ac:dyDescent="0.25">
      <c r="A44" s="93" t="s">
        <v>102</v>
      </c>
      <c r="B44" s="97">
        <f>+B38+B40+B42</f>
        <v>501.76760000000002</v>
      </c>
      <c r="C44" s="95"/>
      <c r="D44" s="94"/>
      <c r="E44" s="96"/>
      <c r="F44" s="94"/>
      <c r="G44" s="94"/>
      <c r="H44" s="98"/>
      <c r="I44" s="99"/>
      <c r="J44" s="185"/>
      <c r="K44" s="99"/>
      <c r="L44" s="187">
        <f>K44-B44</f>
        <v>-501.76760000000002</v>
      </c>
      <c r="M44" s="107"/>
      <c r="N44" s="104">
        <v>2</v>
      </c>
      <c r="O44" s="167" t="s">
        <v>187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12464.86</v>
      </c>
      <c r="C46" s="116">
        <v>7.4999999999999997E-3</v>
      </c>
      <c r="D46" s="117">
        <f>B46*C46</f>
        <v>93.486450000000005</v>
      </c>
      <c r="E46" s="172">
        <v>0</v>
      </c>
      <c r="F46" s="117">
        <f t="shared" ref="F46:F50" si="15">D46*E46</f>
        <v>0</v>
      </c>
      <c r="G46" s="117">
        <f t="shared" ref="G46:G51" si="16">B46-D46-F46</f>
        <v>12371.37355</v>
      </c>
      <c r="H46" s="173">
        <f>B$6+1</f>
        <v>44781</v>
      </c>
      <c r="I46" s="174">
        <v>12464.86</v>
      </c>
      <c r="J46" s="81">
        <f t="shared" si="0"/>
        <v>0</v>
      </c>
      <c r="K46" s="80">
        <v>12469.5</v>
      </c>
      <c r="L46" s="186">
        <f>K46-G46</f>
        <v>98.12644999999975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526.58000000000004</v>
      </c>
      <c r="C47" s="116">
        <v>7.4999999999999997E-3</v>
      </c>
      <c r="D47" s="117">
        <f t="shared" ref="D47:D50" si="17">B47*C47</f>
        <v>3.9493500000000004</v>
      </c>
      <c r="E47" s="172">
        <v>0</v>
      </c>
      <c r="F47" s="117">
        <f t="shared" si="15"/>
        <v>0</v>
      </c>
      <c r="G47" s="117">
        <f t="shared" si="16"/>
        <v>522.63065000000006</v>
      </c>
      <c r="H47" s="173">
        <f>B$6+1</f>
        <v>44781</v>
      </c>
      <c r="I47" s="175">
        <v>534.15</v>
      </c>
      <c r="J47" s="81">
        <f t="shared" si="0"/>
        <v>-7.5699999999999363</v>
      </c>
      <c r="K47" s="80">
        <v>522.61</v>
      </c>
      <c r="L47" s="186">
        <f t="shared" ref="L47:L64" si="18">+G47-K47</f>
        <v>2.065000000004602E-2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103.13</v>
      </c>
      <c r="C48" s="116">
        <v>1.4999999999999999E-2</v>
      </c>
      <c r="D48" s="117">
        <f t="shared" si="17"/>
        <v>1.5469499999999998</v>
      </c>
      <c r="E48" s="172">
        <v>0</v>
      </c>
      <c r="F48" s="117">
        <f t="shared" si="15"/>
        <v>0</v>
      </c>
      <c r="G48" s="117">
        <f t="shared" si="16"/>
        <v>101.58305</v>
      </c>
      <c r="H48" s="173">
        <f t="shared" ref="H48:H61" si="19">B$6+1</f>
        <v>44781</v>
      </c>
      <c r="I48" s="176">
        <v>103.13</v>
      </c>
      <c r="J48" s="81">
        <f t="shared" si="0"/>
        <v>0</v>
      </c>
      <c r="K48" s="80">
        <v>101.58</v>
      </c>
      <c r="L48" s="186">
        <f t="shared" si="18"/>
        <v>3.0500000000017735E-3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3079.6</v>
      </c>
      <c r="C49" s="116">
        <v>7.4999999999999997E-3</v>
      </c>
      <c r="D49" s="117">
        <f t="shared" si="17"/>
        <v>23.096999999999998</v>
      </c>
      <c r="E49" s="172">
        <v>0</v>
      </c>
      <c r="F49" s="117">
        <f t="shared" si="15"/>
        <v>0</v>
      </c>
      <c r="G49" s="117">
        <f t="shared" si="16"/>
        <v>3056.5029999999997</v>
      </c>
      <c r="H49" s="173">
        <f t="shared" si="19"/>
        <v>44781</v>
      </c>
      <c r="I49" s="176">
        <v>3079.56</v>
      </c>
      <c r="J49" s="81">
        <f t="shared" si="0"/>
        <v>3.999999999996362E-2</v>
      </c>
      <c r="K49" s="80"/>
      <c r="L49" s="186">
        <f t="shared" si="18"/>
        <v>3056.5029999999997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1646.8</v>
      </c>
      <c r="C50" s="116">
        <v>7.4999999999999997E-3</v>
      </c>
      <c r="D50" s="117">
        <f t="shared" si="17"/>
        <v>12.350999999999999</v>
      </c>
      <c r="E50" s="172">
        <v>0</v>
      </c>
      <c r="F50" s="117">
        <f t="shared" si="15"/>
        <v>0</v>
      </c>
      <c r="G50" s="117">
        <f t="shared" si="16"/>
        <v>1634.4490000000001</v>
      </c>
      <c r="H50" s="173">
        <f t="shared" si="19"/>
        <v>44781</v>
      </c>
      <c r="I50" s="175">
        <v>1968.16</v>
      </c>
      <c r="J50" s="81">
        <f t="shared" si="0"/>
        <v>-321.36000000000013</v>
      </c>
      <c r="K50" s="80"/>
      <c r="L50" s="186">
        <f t="shared" si="18"/>
        <v>1634.4490000000001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318.40000000000003</v>
      </c>
      <c r="C51" s="116">
        <v>1.4999999999999999E-2</v>
      </c>
      <c r="D51" s="117">
        <f>+B51*C51</f>
        <v>4.7760000000000007</v>
      </c>
      <c r="E51" s="172">
        <v>0</v>
      </c>
      <c r="F51" s="117">
        <f>D51*E51</f>
        <v>0</v>
      </c>
      <c r="G51" s="117">
        <f t="shared" si="16"/>
        <v>313.62400000000002</v>
      </c>
      <c r="H51" s="173">
        <f t="shared" si="19"/>
        <v>44781</v>
      </c>
      <c r="I51" s="175"/>
      <c r="J51" s="81">
        <f t="shared" si="0"/>
        <v>318.40000000000003</v>
      </c>
      <c r="K51" s="80">
        <v>313.62</v>
      </c>
      <c r="L51" s="186">
        <f t="shared" si="18"/>
        <v>4.0000000000190994E-3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306.66999999999996</v>
      </c>
      <c r="C52" s="116">
        <v>2.5000000000000001E-2</v>
      </c>
      <c r="D52" s="117">
        <f>B52*C52</f>
        <v>7.6667499999999995</v>
      </c>
      <c r="E52" s="172">
        <v>0.05</v>
      </c>
      <c r="F52" s="117">
        <f>(B52/E$10)*E52</f>
        <v>13.218534482758621</v>
      </c>
      <c r="G52" s="117">
        <f>B52-D52-F52</f>
        <v>285.78471551724135</v>
      </c>
      <c r="H52" s="188">
        <f t="shared" si="19"/>
        <v>44781</v>
      </c>
      <c r="I52" s="176">
        <v>306.67</v>
      </c>
      <c r="J52" s="81">
        <f t="shared" si="0"/>
        <v>0</v>
      </c>
      <c r="K52" s="80">
        <v>193.56</v>
      </c>
      <c r="L52" s="186">
        <f>K52-G52</f>
        <v>-92.22471551724135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7.57</v>
      </c>
      <c r="C53" s="116">
        <v>2.5000000000000001E-2</v>
      </c>
      <c r="D53" s="117">
        <f t="shared" ref="D53:D56" si="20">B53*C53</f>
        <v>0.18925000000000003</v>
      </c>
      <c r="E53" s="172">
        <v>0.05</v>
      </c>
      <c r="F53" s="117">
        <f t="shared" ref="F53:F56" si="21">(B53/E$10)*E53</f>
        <v>0.32629310344827589</v>
      </c>
      <c r="G53" s="117">
        <f t="shared" ref="G53:G58" si="22">B53-D53-F53</f>
        <v>7.0544568965517236</v>
      </c>
      <c r="H53" s="188">
        <f t="shared" si="19"/>
        <v>44781</v>
      </c>
      <c r="I53" s="176">
        <v>7.57</v>
      </c>
      <c r="J53" s="81">
        <f t="shared" si="0"/>
        <v>0</v>
      </c>
      <c r="K53" s="80"/>
      <c r="L53" s="186">
        <f t="shared" si="18"/>
        <v>7.0544568965517236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168</v>
      </c>
      <c r="B56" s="117">
        <f>T75</f>
        <v>142.69999999999999</v>
      </c>
      <c r="C56" s="116">
        <v>2.5000000000000001E-2</v>
      </c>
      <c r="D56" s="117">
        <f t="shared" si="20"/>
        <v>3.5674999999999999</v>
      </c>
      <c r="E56" s="172">
        <v>0.05</v>
      </c>
      <c r="F56" s="117">
        <f t="shared" si="21"/>
        <v>6.1508620689655178</v>
      </c>
      <c r="G56" s="117">
        <f t="shared" si="22"/>
        <v>132.98163793103447</v>
      </c>
      <c r="H56" s="173">
        <f t="shared" si="19"/>
        <v>44781</v>
      </c>
      <c r="I56" s="176">
        <v>81.709999999999994</v>
      </c>
      <c r="J56" s="81">
        <f t="shared" si="0"/>
        <v>60.989999999999995</v>
      </c>
      <c r="K56" s="80"/>
      <c r="L56" s="186">
        <f t="shared" si="18"/>
        <v>132.98163793103447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150.63024999999999</v>
      </c>
      <c r="E61" s="177"/>
      <c r="F61" s="57">
        <f>SUM(F46:F58)</f>
        <v>19.695689655172416</v>
      </c>
      <c r="G61" s="57">
        <f>SUM(G46:G58)</f>
        <v>18425.984060344828</v>
      </c>
      <c r="H61" s="173">
        <f t="shared" si="19"/>
        <v>44781</v>
      </c>
      <c r="I61" s="175"/>
      <c r="J61" s="81">
        <f t="shared" si="0"/>
        <v>0</v>
      </c>
      <c r="K61" s="80"/>
      <c r="L61" s="186">
        <f t="shared" si="18"/>
        <v>18425.984060344828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44781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251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526.58000000000004</v>
      </c>
      <c r="S63" s="191">
        <f>SUM(S43:S62)</f>
        <v>0</v>
      </c>
      <c r="T63" s="191">
        <f>SUM(T43:T62)</f>
        <v>7.57</v>
      </c>
      <c r="U63" s="191">
        <f t="shared" ref="U63:X63" si="25">SUM(U43:U62)</f>
        <v>0.32629310344827589</v>
      </c>
      <c r="V63" s="191">
        <f t="shared" si="25"/>
        <v>3.9493500000000004</v>
      </c>
      <c r="W63" s="191">
        <f t="shared" si="25"/>
        <v>0</v>
      </c>
      <c r="X63" s="191">
        <f t="shared" si="25"/>
        <v>0.18925000000000003</v>
      </c>
      <c r="Y63" s="191">
        <f>SUM(Y43:Y62)</f>
        <v>522.63065000000006</v>
      </c>
      <c r="Z63" s="191">
        <f t="shared" ref="Z63:AA63" si="26">SUM(Z43:Z62)</f>
        <v>0</v>
      </c>
      <c r="AA63" s="191">
        <f t="shared" si="26"/>
        <v>7.0544568965517245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36851.968120689657</v>
      </c>
      <c r="H64" s="184"/>
      <c r="I64" s="175"/>
      <c r="J64" s="81">
        <f t="shared" si="0"/>
        <v>0</v>
      </c>
      <c r="K64" s="80"/>
      <c r="L64" s="186">
        <f t="shared" si="18"/>
        <v>36851.968120689657</v>
      </c>
      <c r="M64" s="130"/>
      <c r="N64" s="87">
        <v>1</v>
      </c>
      <c r="O64" s="122" t="s">
        <v>196</v>
      </c>
      <c r="P64" s="87"/>
      <c r="Q64" s="225">
        <v>9833</v>
      </c>
      <c r="R64" s="221">
        <v>24.61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0.18457499999999999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24.425425000000001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39200.588600000003</v>
      </c>
      <c r="G65" s="22"/>
      <c r="L65" s="132"/>
      <c r="M65" s="131"/>
      <c r="N65" s="87">
        <v>2</v>
      </c>
      <c r="O65" s="122" t="s">
        <v>196</v>
      </c>
      <c r="P65" s="87"/>
      <c r="Q65" s="225">
        <v>7843</v>
      </c>
      <c r="R65" s="225">
        <v>35.869999999999997</v>
      </c>
      <c r="S65" s="225"/>
      <c r="T65" s="87"/>
      <c r="U65" s="189">
        <f t="shared" si="27"/>
        <v>0</v>
      </c>
      <c r="V65" s="189">
        <f t="shared" si="28"/>
        <v>0.26902499999999996</v>
      </c>
      <c r="W65" s="189">
        <f t="shared" si="29"/>
        <v>0</v>
      </c>
      <c r="X65" s="189">
        <f t="shared" si="30"/>
        <v>0</v>
      </c>
      <c r="Y65" s="189">
        <f t="shared" si="31"/>
        <v>35.600974999999998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196</v>
      </c>
      <c r="P66" s="87"/>
      <c r="Q66" s="225">
        <v>9189</v>
      </c>
      <c r="R66" s="225">
        <v>16.43</v>
      </c>
      <c r="S66" s="225"/>
      <c r="T66" s="87"/>
      <c r="U66" s="189">
        <f t="shared" si="27"/>
        <v>0</v>
      </c>
      <c r="V66" s="189">
        <f t="shared" si="28"/>
        <v>0.12322499999999999</v>
      </c>
      <c r="W66" s="189">
        <f t="shared" si="29"/>
        <v>0</v>
      </c>
      <c r="X66" s="189">
        <f t="shared" si="30"/>
        <v>0</v>
      </c>
      <c r="Y66" s="189">
        <f t="shared" si="31"/>
        <v>16.306774999999998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/>
      <c r="P67" s="87"/>
      <c r="Q67" s="225">
        <v>4051</v>
      </c>
      <c r="R67" s="225">
        <v>26.22</v>
      </c>
      <c r="S67" s="225"/>
      <c r="T67" s="87"/>
      <c r="U67" s="189">
        <f t="shared" si="27"/>
        <v>0</v>
      </c>
      <c r="V67" s="189">
        <f t="shared" si="28"/>
        <v>0.19664999999999999</v>
      </c>
      <c r="W67" s="189">
        <f t="shared" si="29"/>
        <v>0</v>
      </c>
      <c r="X67" s="189">
        <f t="shared" si="30"/>
        <v>0</v>
      </c>
      <c r="Y67" s="189">
        <f t="shared" si="31"/>
        <v>26.023350000000001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39153.9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38644.69</v>
      </c>
      <c r="C69" s="59"/>
      <c r="F69" s="87" t="s">
        <v>127</v>
      </c>
      <c r="G69" s="22"/>
      <c r="H69" s="89"/>
      <c r="I69" s="136"/>
      <c r="J69" s="136">
        <f>K52</f>
        <v>193.56</v>
      </c>
      <c r="N69" s="312" t="s">
        <v>108</v>
      </c>
      <c r="O69" s="312"/>
      <c r="P69" s="313"/>
      <c r="Q69" s="313"/>
      <c r="R69" s="192">
        <f>SUM(R64:R68)</f>
        <v>103.13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0.77347499999999991</v>
      </c>
      <c r="W69" s="192">
        <f t="shared" si="33"/>
        <v>0</v>
      </c>
      <c r="X69" s="192">
        <f t="shared" si="33"/>
        <v>0</v>
      </c>
      <c r="Y69" s="192">
        <f t="shared" si="33"/>
        <v>102.356525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509.20999999999913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201</v>
      </c>
      <c r="Q70" s="225">
        <v>2001</v>
      </c>
      <c r="R70" s="221">
        <v>85.02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0.63764999999999994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84.382350000000002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46.688600000001315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193.56</v>
      </c>
      <c r="N71" s="87">
        <v>2</v>
      </c>
      <c r="O71" s="122" t="s">
        <v>208</v>
      </c>
      <c r="P71" s="225">
        <v>202</v>
      </c>
      <c r="Q71" s="225">
        <v>2001</v>
      </c>
      <c r="R71" s="221">
        <v>1271.44</v>
      </c>
      <c r="S71" s="225"/>
      <c r="T71" s="225">
        <v>78.88</v>
      </c>
      <c r="U71" s="189">
        <f t="shared" si="34"/>
        <v>3.4000000000000004</v>
      </c>
      <c r="V71" s="189">
        <f t="shared" si="35"/>
        <v>9.5358000000000001</v>
      </c>
      <c r="W71" s="189">
        <f t="shared" si="36"/>
        <v>0</v>
      </c>
      <c r="X71" s="189">
        <f t="shared" si="37"/>
        <v>1.972</v>
      </c>
      <c r="Y71" s="189">
        <f t="shared" si="38"/>
        <v>1261.9041999999999</v>
      </c>
      <c r="Z71" s="189">
        <f t="shared" si="38"/>
        <v>0</v>
      </c>
      <c r="AA71" s="189">
        <f t="shared" si="39"/>
        <v>73.507999999999996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>
        <v>51</v>
      </c>
      <c r="Q72" s="225">
        <v>2001</v>
      </c>
      <c r="R72" s="221">
        <v>67.47</v>
      </c>
      <c r="S72" s="225"/>
      <c r="T72" s="221"/>
      <c r="U72" s="189">
        <f t="shared" si="34"/>
        <v>0</v>
      </c>
      <c r="V72" s="189">
        <f t="shared" si="35"/>
        <v>0.50602499999999995</v>
      </c>
      <c r="W72" s="189">
        <f t="shared" si="36"/>
        <v>0</v>
      </c>
      <c r="X72" s="189">
        <f t="shared" si="37"/>
        <v>0</v>
      </c>
      <c r="Y72" s="189">
        <f t="shared" si="38"/>
        <v>66.963975000000005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>
        <v>201</v>
      </c>
      <c r="Q73" s="225"/>
      <c r="R73" s="221">
        <v>204.86</v>
      </c>
      <c r="S73" s="225"/>
      <c r="T73" s="225"/>
      <c r="U73" s="189">
        <f t="shared" si="34"/>
        <v>0</v>
      </c>
      <c r="V73" s="189">
        <f t="shared" si="35"/>
        <v>1.5364500000000001</v>
      </c>
      <c r="W73" s="189">
        <f t="shared" si="36"/>
        <v>0</v>
      </c>
      <c r="X73" s="189">
        <f t="shared" si="37"/>
        <v>0</v>
      </c>
      <c r="Y73" s="189">
        <f t="shared" si="38"/>
        <v>203.32355000000001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208</v>
      </c>
      <c r="P74" s="225">
        <v>115</v>
      </c>
      <c r="Q74" s="225">
        <v>1001</v>
      </c>
      <c r="R74" s="221">
        <v>1450.81</v>
      </c>
      <c r="S74" s="225"/>
      <c r="T74" s="225">
        <v>63.82</v>
      </c>
      <c r="U74" s="189">
        <f t="shared" si="34"/>
        <v>2.7508620689655174</v>
      </c>
      <c r="V74" s="189">
        <f t="shared" si="35"/>
        <v>10.881074999999999</v>
      </c>
      <c r="W74" s="189">
        <f t="shared" si="36"/>
        <v>0</v>
      </c>
      <c r="X74" s="189">
        <f t="shared" si="37"/>
        <v>1.5955000000000001</v>
      </c>
      <c r="Y74" s="189">
        <f t="shared" si="38"/>
        <v>1439.9289249999999</v>
      </c>
      <c r="Z74" s="189">
        <f t="shared" si="38"/>
        <v>0</v>
      </c>
      <c r="AA74" s="189">
        <f t="shared" si="39"/>
        <v>59.473637931034482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3079.6</v>
      </c>
      <c r="S75" s="192"/>
      <c r="T75" s="192">
        <f>SUM(T70:T74)</f>
        <v>142.69999999999999</v>
      </c>
      <c r="U75" s="192">
        <f>SUM(U70:U74)</f>
        <v>6.1508620689655178</v>
      </c>
      <c r="V75" s="192">
        <f t="shared" ref="V75:AA75" si="41">SUM(V70:V74)</f>
        <v>23.097000000000001</v>
      </c>
      <c r="W75" s="192">
        <f t="shared" si="41"/>
        <v>0</v>
      </c>
      <c r="X75" s="192">
        <f t="shared" si="41"/>
        <v>3.5674999999999999</v>
      </c>
      <c r="Y75" s="192">
        <f t="shared" si="41"/>
        <v>3056.5029999999997</v>
      </c>
      <c r="Z75" s="192">
        <f t="shared" si="41"/>
        <v>0</v>
      </c>
      <c r="AA75" s="193">
        <f t="shared" si="41"/>
        <v>132.98163793103447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134.29+46.58+129.76+2.71</f>
        <v>313.33999999999997</v>
      </c>
      <c r="R78" s="82">
        <v>7.4999999999999997E-3</v>
      </c>
      <c r="S78" s="216">
        <f>+(P78+Q78)*R78</f>
        <v>2.3500499999999995</v>
      </c>
      <c r="T78" s="254">
        <f>+(P78+Q78)-S78</f>
        <v>310.98994999999996</v>
      </c>
      <c r="U78" s="211">
        <f>28.11+38.97</f>
        <v>67.08</v>
      </c>
      <c r="V78" s="112"/>
      <c r="W78" s="113">
        <v>1.4999999999999999E-2</v>
      </c>
      <c r="X78" s="196">
        <f>+(U78+V78)*W78</f>
        <v>1.0062</v>
      </c>
      <c r="Y78" s="254">
        <f>+(U78+V78)-X78</f>
        <v>66.073799999999991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>
        <f>199.46+10+41.22+32.13</f>
        <v>282.81</v>
      </c>
      <c r="R79" s="82">
        <v>7.4999999999999997E-3</v>
      </c>
      <c r="S79" s="216">
        <f t="shared" ref="S79:S97" si="43">+(P79+Q79)*R79</f>
        <v>2.1210749999999998</v>
      </c>
      <c r="T79" s="254">
        <f t="shared" ref="T79:T97" si="44">+(P79+Q79)-S79</f>
        <v>280.68892499999998</v>
      </c>
      <c r="U79" s="211">
        <f>61.46+7.69</f>
        <v>69.150000000000006</v>
      </c>
      <c r="V79" s="112"/>
      <c r="W79" s="113">
        <v>1.4999999999999999E-2</v>
      </c>
      <c r="X79" s="196">
        <f t="shared" ref="X79:X97" si="45">+(U79+V79)*W79</f>
        <v>1.03725</v>
      </c>
      <c r="Y79" s="254">
        <f t="shared" ref="Y79:Y97" si="46">+(U79+V79)-X79</f>
        <v>68.112750000000005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236.88+206.37+2.31</f>
        <v>445.56</v>
      </c>
      <c r="R80" s="82">
        <v>7.4999999999999997E-3</v>
      </c>
      <c r="S80" s="216">
        <f t="shared" si="43"/>
        <v>3.3416999999999999</v>
      </c>
      <c r="T80" s="213">
        <f t="shared" si="44"/>
        <v>442.2183</v>
      </c>
      <c r="U80" s="211">
        <f>71.31+4.69</f>
        <v>76</v>
      </c>
      <c r="V80" s="112"/>
      <c r="W80" s="113">
        <v>1.4999999999999999E-2</v>
      </c>
      <c r="X80" s="196">
        <f t="shared" si="45"/>
        <v>1.1399999999999999</v>
      </c>
      <c r="Y80" s="213">
        <f t="shared" si="46"/>
        <v>74.86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>
        <f>390.65+4.98+3.86</f>
        <v>399.49</v>
      </c>
      <c r="R81" s="82">
        <v>7.4999999999999997E-3</v>
      </c>
      <c r="S81" s="216">
        <f t="shared" si="43"/>
        <v>2.996175</v>
      </c>
      <c r="T81" s="213">
        <f t="shared" si="44"/>
        <v>396.49382500000002</v>
      </c>
      <c r="U81" s="211">
        <f>12.74+53.64</f>
        <v>66.38</v>
      </c>
      <c r="V81" s="112"/>
      <c r="W81" s="113">
        <v>1.4999999999999999E-2</v>
      </c>
      <c r="X81" s="196">
        <f t="shared" si="45"/>
        <v>0.99569999999999992</v>
      </c>
      <c r="Y81" s="213">
        <f t="shared" si="46"/>
        <v>65.384299999999996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159.14+46.46</f>
        <v>205.6</v>
      </c>
      <c r="R82" s="82">
        <v>7.4999999999999997E-3</v>
      </c>
      <c r="S82" s="194">
        <f t="shared" si="43"/>
        <v>1.5419999999999998</v>
      </c>
      <c r="T82" s="254">
        <f t="shared" si="44"/>
        <v>204.05799999999999</v>
      </c>
      <c r="U82" s="211">
        <v>39.79</v>
      </c>
      <c r="V82" s="112"/>
      <c r="W82" s="113">
        <v>1.4999999999999999E-2</v>
      </c>
      <c r="X82" s="196">
        <f t="shared" si="45"/>
        <v>0.59684999999999999</v>
      </c>
      <c r="Y82" s="254">
        <f t="shared" si="46"/>
        <v>39.193149999999996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54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5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54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54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5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54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9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H92" s="85" t="s">
        <v>164</v>
      </c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1646.8</v>
      </c>
      <c r="R98" s="111"/>
      <c r="S98" s="195">
        <f>SUM(S78:S97)</f>
        <v>12.350999999999997</v>
      </c>
      <c r="T98" s="195">
        <f>SUM(T78:T97)</f>
        <v>1634.4490000000001</v>
      </c>
      <c r="U98" s="114">
        <f>SUM(U78:U97)</f>
        <v>318.40000000000003</v>
      </c>
      <c r="V98" s="114">
        <f>SUM(V78:V97)</f>
        <v>0</v>
      </c>
      <c r="W98" s="112"/>
      <c r="X98" s="197">
        <f>SUM(X78:X97)</f>
        <v>4.7759999999999998</v>
      </c>
      <c r="Y98" s="197">
        <f>SUM(Y78:Y97)</f>
        <v>313.62400000000002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15">
        <f>P78+Q78+U78</f>
        <v>380.41999999999996</v>
      </c>
      <c r="R101" s="84"/>
    </row>
    <row r="102" spans="14:30" x14ac:dyDescent="0.25">
      <c r="N102" s="85"/>
      <c r="P102" s="84"/>
      <c r="Q102" s="215">
        <f>P79+U79+Q79</f>
        <v>351.96000000000004</v>
      </c>
      <c r="R102" s="84"/>
    </row>
    <row r="103" spans="14:30" x14ac:dyDescent="0.25">
      <c r="N103" s="85"/>
      <c r="P103" s="84"/>
      <c r="Q103" s="215">
        <f>P80+Q80+U80</f>
        <v>521.55999999999995</v>
      </c>
      <c r="R103" s="84"/>
    </row>
    <row r="104" spans="14:30" x14ac:dyDescent="0.25">
      <c r="N104" s="85"/>
      <c r="P104" s="84"/>
      <c r="Q104" s="215">
        <f>P81+Q81+U81</f>
        <v>465.87</v>
      </c>
      <c r="R104" s="84"/>
    </row>
    <row r="105" spans="14:30" x14ac:dyDescent="0.25">
      <c r="N105" s="85"/>
      <c r="P105" s="84"/>
      <c r="Q105" s="215">
        <f>P82+Q82+U82</f>
        <v>245.39</v>
      </c>
      <c r="R105" s="84"/>
    </row>
    <row r="106" spans="14:30" x14ac:dyDescent="0.25">
      <c r="N106" s="85"/>
      <c r="P106" s="84"/>
      <c r="Q106" s="215">
        <f>P83+U83+Q83</f>
        <v>0</v>
      </c>
      <c r="R106" s="84"/>
    </row>
    <row r="107" spans="14:30" x14ac:dyDescent="0.25">
      <c r="N107" s="85"/>
      <c r="P107" s="84"/>
      <c r="Q107" s="84">
        <f>P84+Q84+U84</f>
        <v>0</v>
      </c>
      <c r="R107" s="84" t="s">
        <v>164</v>
      </c>
    </row>
    <row r="108" spans="14:30" x14ac:dyDescent="0.25">
      <c r="N108" s="85"/>
      <c r="P108" s="84"/>
      <c r="Q108" s="84">
        <f>P85+Q85+U85</f>
        <v>0</v>
      </c>
      <c r="R108" s="84"/>
    </row>
    <row r="109" spans="14:30" x14ac:dyDescent="0.25">
      <c r="N109" s="85"/>
      <c r="P109" s="84"/>
      <c r="Q109" s="84">
        <f>P86+Q86+U86</f>
        <v>0</v>
      </c>
      <c r="R109" s="84"/>
    </row>
    <row r="110" spans="14:30" x14ac:dyDescent="0.25">
      <c r="N110" s="85"/>
      <c r="P110" s="84"/>
      <c r="Q110" s="233">
        <f>P87+Q87+U87</f>
        <v>0</v>
      </c>
      <c r="R110" s="84"/>
    </row>
    <row r="111" spans="14:30" x14ac:dyDescent="0.25">
      <c r="N111" s="85"/>
      <c r="P111" s="84"/>
      <c r="Q111" s="84">
        <f>P88+Q88+U88</f>
        <v>0</v>
      </c>
      <c r="R111" s="84"/>
    </row>
    <row r="112" spans="14:30" x14ac:dyDescent="0.25">
      <c r="N112" s="85"/>
      <c r="P112" s="84"/>
      <c r="Q112" s="84"/>
      <c r="R112" s="84"/>
    </row>
    <row r="113" spans="14:18" x14ac:dyDescent="0.25">
      <c r="N113" s="85"/>
      <c r="P113" s="84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0" zoomScale="90" zoomScaleNormal="90" workbookViewId="0">
      <selection activeCell="R72" sqref="R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5.87</v>
      </c>
      <c r="C8" s="85" t="s">
        <v>92</v>
      </c>
      <c r="D8" s="108">
        <v>5.96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1041.5</v>
      </c>
      <c r="C12" s="15"/>
      <c r="D12" s="56"/>
      <c r="E12" s="16"/>
      <c r="F12" s="56"/>
      <c r="G12" s="56"/>
      <c r="H12" s="17"/>
      <c r="I12" s="83">
        <v>1041.5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266">
        <v>218</v>
      </c>
      <c r="Q12" s="266">
        <v>11</v>
      </c>
      <c r="R12" s="267">
        <v>1153.3900000000001</v>
      </c>
      <c r="S12" s="268"/>
      <c r="T12" s="268">
        <v>20.61</v>
      </c>
      <c r="U12" s="189">
        <f>((T12/U$10)*U$9)</f>
        <v>0.88836206896551728</v>
      </c>
      <c r="V12" s="189">
        <f>R12*V$10</f>
        <v>8.6504250000000003</v>
      </c>
      <c r="W12" s="189">
        <f>+S12*V$10</f>
        <v>0</v>
      </c>
      <c r="X12" s="189">
        <f>+T12*X$10</f>
        <v>0.51524999999999999</v>
      </c>
      <c r="Y12" s="189">
        <f>R12-V12</f>
        <v>1144.7395750000001</v>
      </c>
      <c r="Z12" s="189">
        <f>S12-W12</f>
        <v>0</v>
      </c>
      <c r="AA12" s="189">
        <f>T12-U12-X12</f>
        <v>19.206387931034484</v>
      </c>
      <c r="AB12" s="156"/>
    </row>
    <row r="13" spans="1:28" ht="15.75" x14ac:dyDescent="0.25">
      <c r="A13" s="86" t="s">
        <v>74</v>
      </c>
      <c r="B13" s="89">
        <v>1715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1715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266">
        <v>219</v>
      </c>
      <c r="Q13" s="266">
        <v>11</v>
      </c>
      <c r="R13" s="267">
        <v>2035.53</v>
      </c>
      <c r="S13" s="268"/>
      <c r="T13" s="269">
        <v>45.95</v>
      </c>
      <c r="U13" s="189">
        <f t="shared" ref="U13:U41" si="2">((T13/U$10)*U$9)</f>
        <v>1.9806034482758623</v>
      </c>
      <c r="V13" s="189">
        <f t="shared" ref="V13:V41" si="3">R13*V$10</f>
        <v>15.266475</v>
      </c>
      <c r="W13" s="189">
        <f t="shared" ref="W13:W41" si="4">+S13*V$10</f>
        <v>0</v>
      </c>
      <c r="X13" s="189">
        <f t="shared" ref="X13:X41" si="5">+T13*X$10</f>
        <v>1.1487500000000002</v>
      </c>
      <c r="Y13" s="189">
        <f t="shared" ref="Y13:Z41" si="6">R13-V13</f>
        <v>2020.2635250000001</v>
      </c>
      <c r="Z13" s="189">
        <f t="shared" si="6"/>
        <v>0</v>
      </c>
      <c r="AA13" s="189">
        <f t="shared" ref="AA13:AA41" si="7">T13-U13-X13</f>
        <v>42.820646551724138</v>
      </c>
      <c r="AB13" s="156"/>
    </row>
    <row r="14" spans="1:28" ht="15.75" x14ac:dyDescent="0.25">
      <c r="A14" s="86" t="s">
        <v>81</v>
      </c>
      <c r="B14" s="57">
        <f>B13*B8</f>
        <v>10067.050000000001</v>
      </c>
      <c r="C14" s="15"/>
      <c r="D14" s="56"/>
      <c r="E14" s="16"/>
      <c r="F14" s="56"/>
      <c r="G14" s="56"/>
      <c r="H14" s="17"/>
      <c r="I14" s="83"/>
      <c r="J14" s="81">
        <f t="shared" si="0"/>
        <v>10067.050000000001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266">
        <v>602</v>
      </c>
      <c r="Q14" s="266">
        <v>2</v>
      </c>
      <c r="R14" s="267">
        <v>452.4</v>
      </c>
      <c r="S14" s="268"/>
      <c r="T14" s="269"/>
      <c r="U14" s="189">
        <f t="shared" si="2"/>
        <v>0</v>
      </c>
      <c r="V14" s="189">
        <f t="shared" si="3"/>
        <v>3.3929999999999998</v>
      </c>
      <c r="W14" s="189">
        <f t="shared" si="4"/>
        <v>0</v>
      </c>
      <c r="X14" s="189">
        <f t="shared" si="5"/>
        <v>0</v>
      </c>
      <c r="Y14" s="189">
        <f t="shared" si="6"/>
        <v>449.00700000000001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266">
        <v>603</v>
      </c>
      <c r="Q15" s="266">
        <v>2</v>
      </c>
      <c r="R15" s="267">
        <v>1666.12</v>
      </c>
      <c r="S15" s="268"/>
      <c r="T15" s="269">
        <v>54.31</v>
      </c>
      <c r="U15" s="189">
        <f t="shared" si="2"/>
        <v>2.3409482758620697</v>
      </c>
      <c r="V15" s="189">
        <f t="shared" si="3"/>
        <v>12.495899999999999</v>
      </c>
      <c r="W15" s="189">
        <f t="shared" si="4"/>
        <v>0</v>
      </c>
      <c r="X15" s="189">
        <f t="shared" si="5"/>
        <v>1.3577500000000002</v>
      </c>
      <c r="Y15" s="189">
        <f t="shared" si="6"/>
        <v>1653.6241</v>
      </c>
      <c r="Z15" s="189">
        <f t="shared" si="6"/>
        <v>0</v>
      </c>
      <c r="AA15" s="189">
        <f t="shared" si="7"/>
        <v>50.611301724137931</v>
      </c>
      <c r="AB15" s="156"/>
    </row>
    <row r="16" spans="1:28" ht="15.75" x14ac:dyDescent="0.25">
      <c r="A16" s="214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266">
        <v>583</v>
      </c>
      <c r="Q16" s="266">
        <v>4</v>
      </c>
      <c r="R16" s="267">
        <v>2219.25</v>
      </c>
      <c r="S16" s="268"/>
      <c r="T16" s="269">
        <v>120.95</v>
      </c>
      <c r="U16" s="189">
        <f t="shared" si="2"/>
        <v>5.2133620689655178</v>
      </c>
      <c r="V16" s="189">
        <f t="shared" si="3"/>
        <v>16.644375</v>
      </c>
      <c r="W16" s="189">
        <f t="shared" si="4"/>
        <v>0</v>
      </c>
      <c r="X16" s="189">
        <f t="shared" si="5"/>
        <v>3.0237500000000002</v>
      </c>
      <c r="Y16" s="189">
        <f t="shared" si="6"/>
        <v>2202.6056250000001</v>
      </c>
      <c r="Z16" s="189">
        <f t="shared" si="6"/>
        <v>0</v>
      </c>
      <c r="AA16" s="189">
        <f t="shared" si="7"/>
        <v>112.71288793103447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266">
        <v>219</v>
      </c>
      <c r="Q17" s="266">
        <v>10</v>
      </c>
      <c r="R17" s="267">
        <v>629.21</v>
      </c>
      <c r="S17" s="268"/>
      <c r="T17" s="269">
        <v>10</v>
      </c>
      <c r="U17" s="189">
        <f t="shared" si="2"/>
        <v>0.43103448275862077</v>
      </c>
      <c r="V17" s="189">
        <f t="shared" si="3"/>
        <v>4.7190750000000001</v>
      </c>
      <c r="W17" s="189">
        <f t="shared" si="4"/>
        <v>0</v>
      </c>
      <c r="X17" s="189">
        <f t="shared" si="5"/>
        <v>0.25</v>
      </c>
      <c r="Y17" s="189">
        <f t="shared" si="6"/>
        <v>624.49092500000006</v>
      </c>
      <c r="Z17" s="189">
        <f t="shared" si="6"/>
        <v>0</v>
      </c>
      <c r="AA17" s="189">
        <f t="shared" si="7"/>
        <v>9.318965517241379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266">
        <v>220</v>
      </c>
      <c r="Q18" s="266">
        <v>10</v>
      </c>
      <c r="R18" s="267">
        <v>567.82000000000005</v>
      </c>
      <c r="S18" s="268"/>
      <c r="T18" s="269">
        <v>39.29</v>
      </c>
      <c r="U18" s="189">
        <f t="shared" si="2"/>
        <v>1.6935344827586207</v>
      </c>
      <c r="V18" s="189">
        <f t="shared" si="3"/>
        <v>4.2586500000000003</v>
      </c>
      <c r="W18" s="189">
        <f t="shared" si="4"/>
        <v>0</v>
      </c>
      <c r="X18" s="189">
        <f t="shared" si="5"/>
        <v>0.98225000000000007</v>
      </c>
      <c r="Y18" s="189">
        <f t="shared" si="6"/>
        <v>563.56135000000006</v>
      </c>
      <c r="Z18" s="189">
        <f t="shared" si="6"/>
        <v>0</v>
      </c>
      <c r="AA18" s="189">
        <f t="shared" si="7"/>
        <v>36.614215517241377</v>
      </c>
      <c r="AB18" s="156"/>
    </row>
    <row r="19" spans="1:28" ht="15.75" x14ac:dyDescent="0.25">
      <c r="A19" s="93" t="s">
        <v>79</v>
      </c>
      <c r="B19" s="97">
        <f>+B13+B15+B17</f>
        <v>1715</v>
      </c>
      <c r="C19" s="95"/>
      <c r="D19" s="94"/>
      <c r="E19" s="96"/>
      <c r="F19" s="94"/>
      <c r="G19" s="94"/>
      <c r="H19" s="98"/>
      <c r="I19" s="99">
        <v>1715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266">
        <v>673</v>
      </c>
      <c r="Q19" s="266">
        <v>18</v>
      </c>
      <c r="R19" s="267">
        <v>586.71</v>
      </c>
      <c r="S19" s="268"/>
      <c r="T19" s="269">
        <v>27.07</v>
      </c>
      <c r="U19" s="189">
        <f t="shared" si="2"/>
        <v>1.1668103448275864</v>
      </c>
      <c r="V19" s="189">
        <f t="shared" si="3"/>
        <v>4.4003250000000005</v>
      </c>
      <c r="W19" s="189">
        <f t="shared" si="4"/>
        <v>0</v>
      </c>
      <c r="X19" s="189">
        <f t="shared" si="5"/>
        <v>0.67675000000000007</v>
      </c>
      <c r="Y19" s="189">
        <f t="shared" si="6"/>
        <v>582.30967500000008</v>
      </c>
      <c r="Z19" s="189">
        <f t="shared" si="6"/>
        <v>0</v>
      </c>
      <c r="AA19" s="189">
        <f t="shared" si="7"/>
        <v>25.226439655172417</v>
      </c>
      <c r="AB19" s="156"/>
    </row>
    <row r="20" spans="1:28" ht="15.75" x14ac:dyDescent="0.25">
      <c r="A20" s="93" t="s">
        <v>80</v>
      </c>
      <c r="B20" s="97">
        <f>+B14+B16+B18</f>
        <v>10067.050000000001</v>
      </c>
      <c r="C20" s="95"/>
      <c r="D20" s="94"/>
      <c r="E20" s="96"/>
      <c r="F20" s="94"/>
      <c r="G20" s="94"/>
      <c r="H20" s="98"/>
      <c r="I20" s="99"/>
      <c r="J20" s="185">
        <f t="shared" si="0"/>
        <v>10067.050000000001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266">
        <v>672</v>
      </c>
      <c r="Q20" s="266">
        <v>18</v>
      </c>
      <c r="R20" s="267">
        <v>366.68</v>
      </c>
      <c r="S20" s="268"/>
      <c r="T20" s="269"/>
      <c r="U20" s="189">
        <f t="shared" si="2"/>
        <v>0</v>
      </c>
      <c r="V20" s="189">
        <f t="shared" si="3"/>
        <v>2.7500999999999998</v>
      </c>
      <c r="W20" s="189">
        <f t="shared" si="4"/>
        <v>0</v>
      </c>
      <c r="X20" s="189">
        <f t="shared" si="5"/>
        <v>0</v>
      </c>
      <c r="Y20" s="189">
        <f t="shared" si="6"/>
        <v>363.92990000000003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2</v>
      </c>
      <c r="C21" s="100"/>
      <c r="D21" s="66"/>
      <c r="E21" s="67"/>
      <c r="F21" s="66"/>
      <c r="G21" s="66"/>
      <c r="H21" s="102"/>
      <c r="I21" s="79"/>
      <c r="J21" s="81">
        <f t="shared" si="0"/>
        <v>2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266"/>
      <c r="Q21" s="266"/>
      <c r="R21" s="267"/>
      <c r="S21" s="268"/>
      <c r="T21" s="269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11.92</v>
      </c>
      <c r="C22" s="100"/>
      <c r="D22" s="66"/>
      <c r="E22" s="67"/>
      <c r="F22" s="66"/>
      <c r="G22" s="66"/>
      <c r="H22" s="102"/>
      <c r="I22" s="79"/>
      <c r="J22" s="81">
        <f t="shared" si="0"/>
        <v>11.92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266"/>
      <c r="Q22" s="266"/>
      <c r="R22" s="270"/>
      <c r="S22" s="268"/>
      <c r="T22" s="268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266"/>
      <c r="Q23" s="266"/>
      <c r="R23" s="270"/>
      <c r="S23" s="268"/>
      <c r="T23" s="268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266"/>
      <c r="Q24" s="266"/>
      <c r="R24" s="270"/>
      <c r="S24" s="268"/>
      <c r="T24" s="268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266"/>
      <c r="Q25" s="266"/>
      <c r="R25" s="270"/>
      <c r="S25" s="268"/>
      <c r="T25" s="268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266"/>
      <c r="Q26" s="266"/>
      <c r="R26" s="270"/>
      <c r="S26" s="268"/>
      <c r="T26" s="268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</v>
      </c>
      <c r="C27" s="95"/>
      <c r="D27" s="94"/>
      <c r="E27" s="96"/>
      <c r="F27" s="94"/>
      <c r="G27" s="94"/>
      <c r="H27" s="98"/>
      <c r="I27" s="99">
        <v>2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266"/>
      <c r="Q27" s="266"/>
      <c r="R27" s="270"/>
      <c r="S27" s="268"/>
      <c r="T27" s="268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11.92</v>
      </c>
      <c r="C28" s="95"/>
      <c r="D28" s="94"/>
      <c r="E28" s="96"/>
      <c r="F28" s="94"/>
      <c r="G28" s="94"/>
      <c r="H28" s="98"/>
      <c r="I28" s="99"/>
      <c r="J28" s="185">
        <f t="shared" si="0"/>
        <v>11.92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266"/>
      <c r="Q28" s="266"/>
      <c r="R28" s="268"/>
      <c r="S28" s="268"/>
      <c r="T28" s="268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26.83</v>
      </c>
      <c r="C29" s="100"/>
      <c r="D29" s="66"/>
      <c r="E29" s="67"/>
      <c r="F29" s="66"/>
      <c r="G29" s="66"/>
      <c r="H29" s="102"/>
      <c r="I29" s="79"/>
      <c r="J29" s="81">
        <f t="shared" si="0"/>
        <v>26.83</v>
      </c>
      <c r="K29" s="80"/>
      <c r="L29" s="186">
        <f>K29-B29</f>
        <v>-26.83</v>
      </c>
      <c r="M29" s="107"/>
      <c r="N29" s="104">
        <v>18</v>
      </c>
      <c r="O29" s="152" t="s">
        <v>68</v>
      </c>
      <c r="P29" s="266"/>
      <c r="Q29" s="266"/>
      <c r="R29" s="268"/>
      <c r="S29" s="268"/>
      <c r="T29" s="268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157.49209999999999</v>
      </c>
      <c r="C30" s="100"/>
      <c r="D30" s="66"/>
      <c r="E30" s="67"/>
      <c r="F30" s="66"/>
      <c r="G30" s="66"/>
      <c r="H30" s="102"/>
      <c r="I30" s="79"/>
      <c r="J30" s="81">
        <f t="shared" si="0"/>
        <v>157.49209999999999</v>
      </c>
      <c r="K30" s="80"/>
      <c r="L30" s="186">
        <f>K30-B30</f>
        <v>-157.49209999999999</v>
      </c>
      <c r="M30" s="107"/>
      <c r="N30" s="104">
        <v>19</v>
      </c>
      <c r="O30" s="152" t="s">
        <v>68</v>
      </c>
      <c r="P30" s="266"/>
      <c r="Q30" s="266"/>
      <c r="R30" s="267"/>
      <c r="S30" s="268"/>
      <c r="T30" s="269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266"/>
      <c r="Q31" s="266"/>
      <c r="R31" s="270"/>
      <c r="S31" s="268"/>
      <c r="T31" s="268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266"/>
      <c r="Q32" s="266"/>
      <c r="R32" s="267"/>
      <c r="S32" s="268"/>
      <c r="T32" s="268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266"/>
      <c r="Q33" s="266"/>
      <c r="R33" s="270"/>
      <c r="S33" s="268"/>
      <c r="T33" s="268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266"/>
      <c r="Q34" s="266"/>
      <c r="R34" s="267"/>
      <c r="S34" s="268"/>
      <c r="T34" s="268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26.83</v>
      </c>
      <c r="C35" s="95"/>
      <c r="D35" s="94"/>
      <c r="E35" s="96"/>
      <c r="F35" s="94"/>
      <c r="G35" s="94"/>
      <c r="H35" s="98"/>
      <c r="I35" s="99">
        <v>26.83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266"/>
      <c r="Q35" s="266"/>
      <c r="R35" s="270"/>
      <c r="S35" s="268"/>
      <c r="T35" s="268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157.49209999999999</v>
      </c>
      <c r="C36" s="95"/>
      <c r="D36" s="94"/>
      <c r="E36" s="96"/>
      <c r="F36" s="94"/>
      <c r="G36" s="94"/>
      <c r="H36" s="98"/>
      <c r="I36" s="99"/>
      <c r="J36" s="185">
        <f t="shared" si="0"/>
        <v>157.49209999999999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266"/>
      <c r="Q36" s="266"/>
      <c r="R36" s="267"/>
      <c r="S36" s="268"/>
      <c r="T36" s="268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266"/>
      <c r="Q37" s="266"/>
      <c r="R37" s="268"/>
      <c r="S37" s="268"/>
      <c r="T37" s="268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266"/>
      <c r="Q38" s="266"/>
      <c r="R38" s="268"/>
      <c r="S38" s="268"/>
      <c r="T38" s="268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9677.11</v>
      </c>
      <c r="S42" s="190">
        <f t="shared" si="8"/>
        <v>0</v>
      </c>
      <c r="T42" s="190">
        <f t="shared" si="8"/>
        <v>318.18</v>
      </c>
      <c r="U42" s="190">
        <f t="shared" si="8"/>
        <v>13.714655172413796</v>
      </c>
      <c r="V42" s="190">
        <f t="shared" si="8"/>
        <v>72.578325000000007</v>
      </c>
      <c r="W42" s="190">
        <f t="shared" si="8"/>
        <v>0</v>
      </c>
      <c r="X42" s="190">
        <f t="shared" si="8"/>
        <v>7.9545000000000012</v>
      </c>
      <c r="Y42" s="190">
        <f t="shared" si="8"/>
        <v>9604.5316750000002</v>
      </c>
      <c r="Z42" s="190">
        <f t="shared" si="8"/>
        <v>0</v>
      </c>
      <c r="AA42" s="190">
        <f t="shared" si="8"/>
        <v>296.5108448275862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>
        <v>188.19</v>
      </c>
      <c r="S44" s="160"/>
      <c r="T44" s="155"/>
      <c r="U44" s="189">
        <f t="shared" si="9"/>
        <v>0</v>
      </c>
      <c r="V44" s="189">
        <f t="shared" si="10"/>
        <v>1.4114249999999999</v>
      </c>
      <c r="W44" s="189">
        <f t="shared" si="11"/>
        <v>0</v>
      </c>
      <c r="X44" s="189">
        <f t="shared" si="12"/>
        <v>0</v>
      </c>
      <c r="Y44" s="189">
        <f t="shared" si="13"/>
        <v>186.77857499999999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1206.8699999999999</v>
      </c>
      <c r="S45" s="160"/>
      <c r="T45" s="155">
        <v>7.7</v>
      </c>
      <c r="U45" s="189">
        <f t="shared" si="9"/>
        <v>0.33189655172413796</v>
      </c>
      <c r="V45" s="189">
        <f t="shared" si="10"/>
        <v>9.051524999999998</v>
      </c>
      <c r="W45" s="189">
        <f t="shared" si="11"/>
        <v>0</v>
      </c>
      <c r="X45" s="189">
        <f t="shared" si="12"/>
        <v>0.1925</v>
      </c>
      <c r="Y45" s="189">
        <f t="shared" si="13"/>
        <v>1197.8184749999998</v>
      </c>
      <c r="Z45" s="189">
        <f t="shared" si="13"/>
        <v>0</v>
      </c>
      <c r="AA45" s="189">
        <f t="shared" si="14"/>
        <v>7.1756034482758624</v>
      </c>
      <c r="AB45" s="156"/>
    </row>
    <row r="46" spans="1:28" ht="15.75" x14ac:dyDescent="0.25">
      <c r="A46" s="115" t="s">
        <v>27</v>
      </c>
      <c r="B46" s="117">
        <f>R42</f>
        <v>9677.11</v>
      </c>
      <c r="C46" s="116">
        <v>7.4999999999999997E-3</v>
      </c>
      <c r="D46" s="117">
        <f>B46*C46</f>
        <v>72.578325000000007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9604.5316750000002</v>
      </c>
      <c r="H46" s="173">
        <f>B$6+1</f>
        <v>44782</v>
      </c>
      <c r="I46" s="174">
        <v>9354.26</v>
      </c>
      <c r="J46" s="81">
        <f t="shared" si="0"/>
        <v>322.85000000000036</v>
      </c>
      <c r="K46" s="222">
        <v>9673.34</v>
      </c>
      <c r="L46" s="186">
        <f>K46-G46</f>
        <v>68.808324999999968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1395.06</v>
      </c>
      <c r="C47" s="116">
        <v>7.4999999999999997E-3</v>
      </c>
      <c r="D47" s="117">
        <f t="shared" ref="D47:D50" si="17">B47*C47</f>
        <v>10.462949999999999</v>
      </c>
      <c r="E47" s="172">
        <v>0</v>
      </c>
      <c r="F47" s="117">
        <f t="shared" si="15"/>
        <v>0</v>
      </c>
      <c r="G47" s="117">
        <f t="shared" si="16"/>
        <v>1384.5970499999999</v>
      </c>
      <c r="H47" s="173">
        <f>B$6+1</f>
        <v>44782</v>
      </c>
      <c r="I47" s="175">
        <v>1395.06</v>
      </c>
      <c r="J47" s="81">
        <f t="shared" si="0"/>
        <v>0</v>
      </c>
      <c r="K47" s="80">
        <v>1384.6</v>
      </c>
      <c r="L47" s="186">
        <f t="shared" ref="L47:L64" si="18">+G47-K47</f>
        <v>-2.9500000000552973E-3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12.870000000000001</v>
      </c>
      <c r="C48" s="116">
        <v>1.4999999999999999E-2</v>
      </c>
      <c r="D48" s="117">
        <f t="shared" si="17"/>
        <v>0.19305</v>
      </c>
      <c r="E48" s="172">
        <v>0</v>
      </c>
      <c r="F48" s="117">
        <f t="shared" si="15"/>
        <v>0</v>
      </c>
      <c r="G48" s="117">
        <f t="shared" si="16"/>
        <v>12.676950000000001</v>
      </c>
      <c r="H48" s="173">
        <f t="shared" ref="H48:H61" si="19">B$6+1</f>
        <v>44782</v>
      </c>
      <c r="I48" s="176">
        <v>12.87</v>
      </c>
      <c r="J48" s="81">
        <f t="shared" si="0"/>
        <v>0</v>
      </c>
      <c r="K48" s="80">
        <v>12.68</v>
      </c>
      <c r="L48" s="186">
        <f t="shared" si="18"/>
        <v>-3.0499999999982208E-3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90.13</v>
      </c>
      <c r="C49" s="116">
        <v>7.4999999999999997E-3</v>
      </c>
      <c r="D49" s="117">
        <f t="shared" si="17"/>
        <v>0.67597499999999999</v>
      </c>
      <c r="E49" s="172">
        <v>0</v>
      </c>
      <c r="F49" s="117">
        <f t="shared" si="15"/>
        <v>0</v>
      </c>
      <c r="G49" s="117">
        <f t="shared" si="16"/>
        <v>89.454025000000001</v>
      </c>
      <c r="H49" s="173">
        <f t="shared" si="19"/>
        <v>44782</v>
      </c>
      <c r="I49" s="219">
        <v>90.13</v>
      </c>
      <c r="J49" s="81">
        <f t="shared" si="0"/>
        <v>0</v>
      </c>
      <c r="K49" s="80"/>
      <c r="L49" s="186">
        <f t="shared" si="18"/>
        <v>89.454025000000001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1797.95</v>
      </c>
      <c r="C50" s="116">
        <v>7.4999999999999997E-3</v>
      </c>
      <c r="D50" s="117">
        <f t="shared" si="17"/>
        <v>13.484624999999999</v>
      </c>
      <c r="E50" s="172">
        <v>0</v>
      </c>
      <c r="F50" s="117">
        <f t="shared" si="15"/>
        <v>0</v>
      </c>
      <c r="G50" s="117">
        <f t="shared" si="16"/>
        <v>1784.465375</v>
      </c>
      <c r="H50" s="173">
        <f t="shared" si="19"/>
        <v>44782</v>
      </c>
      <c r="I50" s="175">
        <v>2095.21</v>
      </c>
      <c r="J50" s="81">
        <f t="shared" si="0"/>
        <v>-297.26</v>
      </c>
      <c r="K50" s="80"/>
      <c r="L50" s="186">
        <f t="shared" si="18"/>
        <v>1784.465375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297.26</v>
      </c>
      <c r="C51" s="116">
        <v>1.4999999999999999E-2</v>
      </c>
      <c r="D51" s="117">
        <f>+B51*C51</f>
        <v>4.4588999999999999</v>
      </c>
      <c r="E51" s="172">
        <v>0</v>
      </c>
      <c r="F51" s="117">
        <f>D51*E51</f>
        <v>0</v>
      </c>
      <c r="G51" s="117">
        <f t="shared" si="16"/>
        <v>292.80110000000002</v>
      </c>
      <c r="H51" s="173">
        <f t="shared" si="19"/>
        <v>44782</v>
      </c>
      <c r="I51" s="175"/>
      <c r="J51" s="81">
        <f t="shared" si="0"/>
        <v>297.26</v>
      </c>
      <c r="K51" s="80"/>
      <c r="L51" s="186">
        <f t="shared" si="18"/>
        <v>292.80110000000002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318.18</v>
      </c>
      <c r="C52" s="116">
        <v>2.5000000000000001E-2</v>
      </c>
      <c r="D52" s="117">
        <f>B52*C52</f>
        <v>7.9545000000000003</v>
      </c>
      <c r="E52" s="172">
        <v>0.05</v>
      </c>
      <c r="F52" s="117">
        <f>(B52/E$10)*E52</f>
        <v>13.714655172413794</v>
      </c>
      <c r="G52" s="117">
        <f>B52-D52-F52</f>
        <v>296.5108448275862</v>
      </c>
      <c r="H52" s="188">
        <f t="shared" si="19"/>
        <v>44782</v>
      </c>
      <c r="I52" s="176">
        <v>318.18</v>
      </c>
      <c r="J52" s="81">
        <f t="shared" si="0"/>
        <v>0</v>
      </c>
      <c r="K52" s="80">
        <v>222.62</v>
      </c>
      <c r="L52" s="186">
        <f>K52-G52</f>
        <v>-73.890844827586193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7.7</v>
      </c>
      <c r="C53" s="116">
        <v>2.5000000000000001E-2</v>
      </c>
      <c r="D53" s="117">
        <f t="shared" ref="D53:D56" si="20">B53*C53</f>
        <v>0.1925</v>
      </c>
      <c r="E53" s="172">
        <v>0.05</v>
      </c>
      <c r="F53" s="117">
        <f t="shared" ref="F53:F56" si="21">(B53/E$10)*E53</f>
        <v>0.33189655172413796</v>
      </c>
      <c r="G53" s="117">
        <f t="shared" ref="G53:G58" si="22">B53-D53-F53</f>
        <v>7.1756034482758624</v>
      </c>
      <c r="H53" s="188">
        <f t="shared" si="19"/>
        <v>44782</v>
      </c>
      <c r="I53" s="176">
        <v>7.7</v>
      </c>
      <c r="J53" s="81">
        <f t="shared" si="0"/>
        <v>0</v>
      </c>
      <c r="K53" s="80">
        <v>7.18</v>
      </c>
      <c r="L53" s="186">
        <f t="shared" si="18"/>
        <v>-4.396551724137332E-3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110.00082499999999</v>
      </c>
      <c r="E61" s="177"/>
      <c r="F61" s="57">
        <f>SUM(F46:F58)</f>
        <v>14.046551724137933</v>
      </c>
      <c r="G61" s="57">
        <f>SUM(G46:G58)</f>
        <v>13472.21262327586</v>
      </c>
      <c r="H61" s="173">
        <f t="shared" si="19"/>
        <v>44782</v>
      </c>
      <c r="I61" s="175"/>
      <c r="J61" s="81">
        <f t="shared" si="0"/>
        <v>0</v>
      </c>
      <c r="K61" s="80"/>
      <c r="L61" s="186">
        <f t="shared" si="18"/>
        <v>13472.21262327586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44782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1395.06</v>
      </c>
      <c r="S63" s="191">
        <f>SUM(S43:S62)</f>
        <v>0</v>
      </c>
      <c r="T63" s="191">
        <f>SUM(T43:T62)</f>
        <v>7.7</v>
      </c>
      <c r="U63" s="191">
        <f t="shared" ref="U63:X63" si="25">SUM(U43:U62)</f>
        <v>0.33189655172413796</v>
      </c>
      <c r="V63" s="191">
        <f t="shared" si="25"/>
        <v>10.462949999999998</v>
      </c>
      <c r="W63" s="191">
        <f t="shared" si="25"/>
        <v>0</v>
      </c>
      <c r="X63" s="191">
        <f t="shared" si="25"/>
        <v>0.1925</v>
      </c>
      <c r="Y63" s="191">
        <f>SUM(Y43:Y62)</f>
        <v>1384.5970499999999</v>
      </c>
      <c r="Z63" s="191">
        <f t="shared" ref="Z63:AA63" si="26">SUM(Z43:Z62)</f>
        <v>0</v>
      </c>
      <c r="AA63" s="191">
        <f t="shared" si="26"/>
        <v>7.1756034482758624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26944.42524655172</v>
      </c>
      <c r="H64" s="184"/>
      <c r="I64" s="175"/>
      <c r="J64" s="81">
        <f t="shared" si="0"/>
        <v>0</v>
      </c>
      <c r="K64" s="80"/>
      <c r="L64" s="186">
        <f t="shared" si="18"/>
        <v>26944.42524655172</v>
      </c>
      <c r="M64" s="130"/>
      <c r="N64" s="87">
        <v>1</v>
      </c>
      <c r="O64" s="122" t="s">
        <v>199</v>
      </c>
      <c r="P64" s="225"/>
      <c r="Q64" s="225">
        <v>566</v>
      </c>
      <c r="R64" s="240">
        <v>5.17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3.8774999999999997E-2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5.1312249999999997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24874.222100000003</v>
      </c>
      <c r="G65" s="22"/>
      <c r="L65" s="132"/>
      <c r="M65" s="131"/>
      <c r="N65" s="87">
        <v>2</v>
      </c>
      <c r="O65" s="122" t="s">
        <v>199</v>
      </c>
      <c r="P65" s="225"/>
      <c r="Q65" s="225">
        <v>3839</v>
      </c>
      <c r="R65" s="225">
        <v>7.7</v>
      </c>
      <c r="S65" s="225"/>
      <c r="T65" s="87"/>
      <c r="U65" s="189">
        <f t="shared" si="27"/>
        <v>0</v>
      </c>
      <c r="V65" s="189">
        <f t="shared" si="28"/>
        <v>5.7749999999999996E-2</v>
      </c>
      <c r="W65" s="189">
        <f t="shared" si="29"/>
        <v>0</v>
      </c>
      <c r="X65" s="189">
        <f t="shared" si="30"/>
        <v>0</v>
      </c>
      <c r="Y65" s="189">
        <f t="shared" si="31"/>
        <v>7.6422499999999998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199</v>
      </c>
      <c r="P66" s="225"/>
      <c r="Q66" s="225"/>
      <c r="R66" s="221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24512.63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169</v>
      </c>
      <c r="P68" s="225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24237.23</v>
      </c>
      <c r="C69" s="59"/>
      <c r="F69" s="87" t="s">
        <v>127</v>
      </c>
      <c r="G69" s="22"/>
      <c r="H69" s="89"/>
      <c r="I69" s="136"/>
      <c r="J69" s="136">
        <f>K52</f>
        <v>222.62</v>
      </c>
      <c r="N69" s="312" t="s">
        <v>108</v>
      </c>
      <c r="O69" s="312"/>
      <c r="P69" s="313"/>
      <c r="Q69" s="313"/>
      <c r="R69" s="192">
        <f>SUM(R64:R68)</f>
        <v>12.870000000000001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9.6525E-2</v>
      </c>
      <c r="W69" s="192">
        <f t="shared" si="33"/>
        <v>0</v>
      </c>
      <c r="X69" s="192">
        <f t="shared" si="33"/>
        <v>0</v>
      </c>
      <c r="Y69" s="192">
        <f t="shared" si="33"/>
        <v>12.773474999999999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275.40000000000146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>
        <v>2003</v>
      </c>
      <c r="Q70" s="225">
        <v>2001</v>
      </c>
      <c r="R70" s="221">
        <v>33.200000000000003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0.249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32.951000000000001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361.59210000000166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222.62</v>
      </c>
      <c r="N71" s="87">
        <v>2</v>
      </c>
      <c r="O71" s="122" t="s">
        <v>197</v>
      </c>
      <c r="P71" s="225">
        <v>204</v>
      </c>
      <c r="Q71" s="225">
        <v>2001</v>
      </c>
      <c r="R71" s="221">
        <v>21.22</v>
      </c>
      <c r="S71" s="225"/>
      <c r="T71" s="221"/>
      <c r="U71" s="189">
        <f t="shared" si="34"/>
        <v>0</v>
      </c>
      <c r="V71" s="189">
        <f t="shared" si="35"/>
        <v>0.15914999999999999</v>
      </c>
      <c r="W71" s="189">
        <f t="shared" si="36"/>
        <v>0</v>
      </c>
      <c r="X71" s="189">
        <f t="shared" si="37"/>
        <v>0</v>
      </c>
      <c r="Y71" s="189">
        <f t="shared" si="38"/>
        <v>21.060849999999999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>
        <v>203</v>
      </c>
      <c r="Q72" s="225">
        <v>2001</v>
      </c>
      <c r="R72" s="221">
        <v>35.71</v>
      </c>
      <c r="S72" s="225"/>
      <c r="T72" s="225"/>
      <c r="U72" s="189">
        <f t="shared" si="34"/>
        <v>0</v>
      </c>
      <c r="V72" s="189">
        <f t="shared" si="35"/>
        <v>0.26782499999999998</v>
      </c>
      <c r="W72" s="189">
        <f t="shared" si="36"/>
        <v>0</v>
      </c>
      <c r="X72" s="189">
        <f t="shared" si="37"/>
        <v>0</v>
      </c>
      <c r="Y72" s="189">
        <f t="shared" si="38"/>
        <v>35.442174999999999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5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90.13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0.67597499999999999</v>
      </c>
      <c r="W75" s="192">
        <f t="shared" si="41"/>
        <v>0</v>
      </c>
      <c r="X75" s="192">
        <f t="shared" si="41"/>
        <v>0</v>
      </c>
      <c r="Y75" s="192">
        <f t="shared" si="41"/>
        <v>89.454025000000001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82.08+23.33+394.02</f>
        <v>499.42999999999995</v>
      </c>
      <c r="R78" s="82">
        <v>7.4999999999999997E-3</v>
      </c>
      <c r="S78" s="194">
        <f>+(P78+Q78)*R78</f>
        <v>3.7457249999999993</v>
      </c>
      <c r="T78" s="219">
        <f>+(P78+Q78)-S78</f>
        <v>495.68427499999996</v>
      </c>
      <c r="U78" s="211">
        <f>39.77+53.43</f>
        <v>93.2</v>
      </c>
      <c r="V78" s="112"/>
      <c r="W78" s="113">
        <v>1.4999999999999999E-2</v>
      </c>
      <c r="X78" s="217">
        <f>+(U78+V78)*W78</f>
        <v>1.3979999999999999</v>
      </c>
      <c r="Y78" s="254">
        <f>+(U78+V78)-X78</f>
        <v>91.802000000000007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110.98+195.79+50.51</f>
        <v>357.28</v>
      </c>
      <c r="R79" s="82">
        <v>7.4999999999999997E-3</v>
      </c>
      <c r="S79" s="216">
        <f t="shared" ref="S79:S97" si="43">+(P79+Q79)*R79</f>
        <v>2.6795999999999998</v>
      </c>
      <c r="T79" s="219">
        <f t="shared" ref="T79:T97" si="44">+(P79+Q79)-S79</f>
        <v>354.60039999999998</v>
      </c>
      <c r="U79" s="211">
        <v>73.69</v>
      </c>
      <c r="V79" s="112"/>
      <c r="W79" s="113">
        <v>1.4999999999999999E-2</v>
      </c>
      <c r="X79" s="217">
        <f t="shared" ref="X79:X97" si="45">+(U79+V79)*W79</f>
        <v>1.1053499999999998</v>
      </c>
      <c r="Y79" s="254">
        <f t="shared" ref="Y79:Y97" si="46">+(U79+V79)-X79</f>
        <v>72.584649999999996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427.99+13.28</f>
        <v>441.27</v>
      </c>
      <c r="R80" s="82">
        <v>7.4999999999999997E-3</v>
      </c>
      <c r="S80" s="216">
        <f t="shared" si="43"/>
        <v>3.3095249999999998</v>
      </c>
      <c r="T80" s="219">
        <f t="shared" si="44"/>
        <v>437.96047499999997</v>
      </c>
      <c r="U80" s="211">
        <f>63.59</f>
        <v>63.59</v>
      </c>
      <c r="V80" s="112"/>
      <c r="W80" s="113">
        <v>1.4999999999999999E-2</v>
      </c>
      <c r="X80" s="217">
        <f t="shared" si="45"/>
        <v>0.95384999999999998</v>
      </c>
      <c r="Y80" s="254">
        <f t="shared" si="46"/>
        <v>62.636150000000001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>
        <f>20.74</f>
        <v>20.74</v>
      </c>
      <c r="V81" s="112"/>
      <c r="W81" s="113">
        <v>1.4999999999999999E-2</v>
      </c>
      <c r="X81" s="217">
        <f t="shared" si="45"/>
        <v>0.31109999999999999</v>
      </c>
      <c r="Y81" s="213">
        <f t="shared" si="46"/>
        <v>20.428899999999999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414.57+85.4</f>
        <v>499.97</v>
      </c>
      <c r="R82" s="82">
        <v>7.4999999999999997E-3</v>
      </c>
      <c r="S82" s="216">
        <f t="shared" si="43"/>
        <v>3.7497750000000001</v>
      </c>
      <c r="T82" s="219">
        <f t="shared" si="44"/>
        <v>496.22022500000003</v>
      </c>
      <c r="U82" s="211">
        <f>46.04</f>
        <v>46.04</v>
      </c>
      <c r="V82" s="112"/>
      <c r="W82" s="113">
        <v>1.4999999999999999E-2</v>
      </c>
      <c r="X82" s="217">
        <f t="shared" si="45"/>
        <v>0.69059999999999999</v>
      </c>
      <c r="Y82" s="213">
        <f t="shared" si="46"/>
        <v>45.349399999999996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54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5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1797.95</v>
      </c>
      <c r="R98" s="111"/>
      <c r="S98" s="195">
        <f>SUM(S78:S97)</f>
        <v>13.484624999999998</v>
      </c>
      <c r="T98" s="195">
        <f>SUM(T78:T97)</f>
        <v>1784.4653749999998</v>
      </c>
      <c r="U98" s="114">
        <f>SUM(U78:U97)</f>
        <v>297.26</v>
      </c>
      <c r="V98" s="114">
        <f>SUM(V78:V97)</f>
        <v>0</v>
      </c>
      <c r="W98" s="112"/>
      <c r="X98" s="197">
        <f>SUM(X78:X97)</f>
        <v>4.4588999999999999</v>
      </c>
      <c r="Y98" s="197">
        <f>SUM(Y78:Y97)</f>
        <v>292.80110000000002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592.63</v>
      </c>
    </row>
    <row r="102" spans="14:30" x14ac:dyDescent="0.25">
      <c r="N102" s="85"/>
      <c r="P102" s="215">
        <f t="shared" ref="P102:P107" si="50">P79+Q79+U79</f>
        <v>430.96999999999997</v>
      </c>
    </row>
    <row r="103" spans="14:30" x14ac:dyDescent="0.25">
      <c r="N103" s="85"/>
      <c r="P103" s="215">
        <f>P80+Q80+U80</f>
        <v>504.86</v>
      </c>
    </row>
    <row r="104" spans="14:30" x14ac:dyDescent="0.25">
      <c r="N104" s="85"/>
      <c r="P104" s="215">
        <f>P81+Q81+U81</f>
        <v>20.74</v>
      </c>
    </row>
    <row r="105" spans="14:30" x14ac:dyDescent="0.25">
      <c r="N105" s="85"/>
      <c r="P105" s="215">
        <f t="shared" si="50"/>
        <v>546.01</v>
      </c>
    </row>
    <row r="106" spans="14:30" x14ac:dyDescent="0.25">
      <c r="N106" s="85"/>
      <c r="P106" s="215">
        <f t="shared" si="50"/>
        <v>0</v>
      </c>
    </row>
    <row r="107" spans="14:30" x14ac:dyDescent="0.25">
      <c r="N107" s="85"/>
      <c r="P107" s="246">
        <f t="shared" si="50"/>
        <v>0</v>
      </c>
    </row>
    <row r="108" spans="14:30" x14ac:dyDescent="0.25">
      <c r="N108" s="85"/>
      <c r="P108" s="246">
        <f>P85+Q85+U85</f>
        <v>0</v>
      </c>
    </row>
    <row r="109" spans="14:30" x14ac:dyDescent="0.25">
      <c r="N109" s="85"/>
      <c r="P109" s="246">
        <f>P86+Q86+U86</f>
        <v>0</v>
      </c>
    </row>
    <row r="110" spans="14:30" x14ac:dyDescent="0.25">
      <c r="N110" s="85"/>
      <c r="P110" s="84">
        <f>P87+Q87+U87</f>
        <v>0</v>
      </c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9" zoomScale="90" zoomScaleNormal="90" workbookViewId="0">
      <selection activeCell="L49" sqref="L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</v>
      </c>
      <c r="C8" s="85" t="s">
        <v>92</v>
      </c>
      <c r="D8" s="108">
        <v>5.96</v>
      </c>
    </row>
    <row r="9" spans="1:28" x14ac:dyDescent="0.25">
      <c r="A9" s="7" t="s">
        <v>76</v>
      </c>
      <c r="B9" s="108">
        <v>5.87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1855.5</v>
      </c>
      <c r="C12" s="15"/>
      <c r="D12" s="56"/>
      <c r="E12" s="16"/>
      <c r="F12" s="56"/>
      <c r="G12" s="56"/>
      <c r="H12" s="17"/>
      <c r="I12" s="83">
        <v>1855.5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220</v>
      </c>
      <c r="Q12" s="158">
        <v>11</v>
      </c>
      <c r="R12" s="159">
        <v>1018.6</v>
      </c>
      <c r="S12" s="160"/>
      <c r="T12" s="160">
        <v>67.739999999999995</v>
      </c>
      <c r="U12" s="189">
        <f>((T12/U$10)*U$9)</f>
        <v>2.9198275862068965</v>
      </c>
      <c r="V12" s="189">
        <f>R12*V$10</f>
        <v>7.6395</v>
      </c>
      <c r="W12" s="189">
        <f>+S12*V$10</f>
        <v>0</v>
      </c>
      <c r="X12" s="189">
        <f>+T12*X$10</f>
        <v>1.6935</v>
      </c>
      <c r="Y12" s="189">
        <f>R12-V12</f>
        <v>1010.9605</v>
      </c>
      <c r="Z12" s="189">
        <f>S12-W12</f>
        <v>0</v>
      </c>
      <c r="AA12" s="189">
        <f>T12-U12-X12</f>
        <v>63.126672413793102</v>
      </c>
      <c r="AB12" s="156"/>
    </row>
    <row r="13" spans="1:28" ht="15.75" x14ac:dyDescent="0.25">
      <c r="A13" s="86" t="s">
        <v>74</v>
      </c>
      <c r="B13" s="89">
        <v>856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856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221</v>
      </c>
      <c r="Q13" s="158">
        <v>11</v>
      </c>
      <c r="R13" s="159">
        <v>49.62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0.37214999999999998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49.24785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5050.4000000000005</v>
      </c>
      <c r="C14" s="15"/>
      <c r="D14" s="56"/>
      <c r="E14" s="16"/>
      <c r="F14" s="56"/>
      <c r="G14" s="56"/>
      <c r="H14" s="17"/>
      <c r="I14" s="83"/>
      <c r="J14" s="81">
        <f t="shared" si="0"/>
        <v>5050.4000000000005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804</v>
      </c>
      <c r="Q14" s="158">
        <v>2</v>
      </c>
      <c r="R14" s="159">
        <v>1916.61</v>
      </c>
      <c r="S14" s="160"/>
      <c r="T14" s="161">
        <v>275.63</v>
      </c>
      <c r="U14" s="189">
        <f t="shared" si="2"/>
        <v>11.880603448275863</v>
      </c>
      <c r="V14" s="189">
        <f t="shared" si="3"/>
        <v>14.374574999999998</v>
      </c>
      <c r="W14" s="189">
        <f t="shared" si="4"/>
        <v>0</v>
      </c>
      <c r="X14" s="189">
        <f t="shared" si="5"/>
        <v>6.8907500000000006</v>
      </c>
      <c r="Y14" s="189">
        <f t="shared" si="6"/>
        <v>1902.2354249999999</v>
      </c>
      <c r="Z14" s="189">
        <f t="shared" si="6"/>
        <v>0</v>
      </c>
      <c r="AA14" s="189">
        <f t="shared" si="7"/>
        <v>256.85864655172412</v>
      </c>
      <c r="AB14" s="156"/>
    </row>
    <row r="15" spans="1:28" ht="15.75" x14ac:dyDescent="0.25">
      <c r="A15" s="86" t="s">
        <v>77</v>
      </c>
      <c r="B15" s="56">
        <v>803</v>
      </c>
      <c r="C15" s="15"/>
      <c r="D15" s="56"/>
      <c r="E15" s="16"/>
      <c r="F15" s="56"/>
      <c r="G15" s="56"/>
      <c r="H15" s="17"/>
      <c r="I15" s="83"/>
      <c r="J15" s="81">
        <f t="shared" si="0"/>
        <v>803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605</v>
      </c>
      <c r="Q15" s="158">
        <v>2</v>
      </c>
      <c r="R15" s="159">
        <v>1530.06</v>
      </c>
      <c r="S15" s="160"/>
      <c r="T15" s="161">
        <v>53.68</v>
      </c>
      <c r="U15" s="189">
        <f t="shared" si="2"/>
        <v>2.3137931034482762</v>
      </c>
      <c r="V15" s="189">
        <f t="shared" si="3"/>
        <v>11.475449999999999</v>
      </c>
      <c r="W15" s="189">
        <f t="shared" si="4"/>
        <v>0</v>
      </c>
      <c r="X15" s="189">
        <f t="shared" si="5"/>
        <v>1.3420000000000001</v>
      </c>
      <c r="Y15" s="189">
        <f t="shared" si="6"/>
        <v>1518.58455</v>
      </c>
      <c r="Z15" s="189">
        <f t="shared" si="6"/>
        <v>0</v>
      </c>
      <c r="AA15" s="189">
        <f t="shared" si="7"/>
        <v>50.024206896551725</v>
      </c>
      <c r="AB15" s="156"/>
    </row>
    <row r="16" spans="1:28" ht="15.75" x14ac:dyDescent="0.25">
      <c r="A16" s="86" t="s">
        <v>81</v>
      </c>
      <c r="B16" s="57">
        <f>B15*B9</f>
        <v>4713.6099999999997</v>
      </c>
      <c r="C16" s="15"/>
      <c r="D16" s="56"/>
      <c r="E16" s="16"/>
      <c r="F16" s="56"/>
      <c r="G16" s="56"/>
      <c r="H16" s="17"/>
      <c r="I16" s="83"/>
      <c r="J16" s="81">
        <f t="shared" si="0"/>
        <v>4713.6099999999997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584</v>
      </c>
      <c r="Q16" s="158">
        <v>4</v>
      </c>
      <c r="R16" s="159">
        <v>193.32</v>
      </c>
      <c r="S16" s="160"/>
      <c r="T16" s="161"/>
      <c r="U16" s="189">
        <f t="shared" si="2"/>
        <v>0</v>
      </c>
      <c r="V16" s="189">
        <f t="shared" si="3"/>
        <v>1.4499</v>
      </c>
      <c r="W16" s="189">
        <f t="shared" si="4"/>
        <v>0</v>
      </c>
      <c r="X16" s="189">
        <f t="shared" si="5"/>
        <v>0</v>
      </c>
      <c r="Y16" s="189">
        <f t="shared" si="6"/>
        <v>191.87009999999998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285</v>
      </c>
      <c r="Q17" s="158">
        <v>4</v>
      </c>
      <c r="R17" s="159">
        <v>4631.24</v>
      </c>
      <c r="S17" s="160"/>
      <c r="T17" s="161"/>
      <c r="U17" s="189">
        <f t="shared" si="2"/>
        <v>0</v>
      </c>
      <c r="V17" s="189">
        <f t="shared" si="3"/>
        <v>34.734299999999998</v>
      </c>
      <c r="W17" s="189">
        <f t="shared" si="4"/>
        <v>0</v>
      </c>
      <c r="X17" s="189">
        <f t="shared" si="5"/>
        <v>0</v>
      </c>
      <c r="Y17" s="189">
        <f t="shared" si="6"/>
        <v>4596.5056999999997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222</v>
      </c>
      <c r="Q18" s="158">
        <v>10</v>
      </c>
      <c r="R18" s="159">
        <v>1038.03</v>
      </c>
      <c r="S18" s="160"/>
      <c r="T18" s="161"/>
      <c r="U18" s="189">
        <f t="shared" si="2"/>
        <v>0</v>
      </c>
      <c r="V18" s="189">
        <f t="shared" si="3"/>
        <v>7.7852249999999996</v>
      </c>
      <c r="W18" s="189">
        <f t="shared" si="4"/>
        <v>0</v>
      </c>
      <c r="X18" s="189">
        <f t="shared" si="5"/>
        <v>0</v>
      </c>
      <c r="Y18" s="189">
        <f t="shared" si="6"/>
        <v>1030.2447749999999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1659</v>
      </c>
      <c r="C19" s="95"/>
      <c r="D19" s="94"/>
      <c r="E19" s="96"/>
      <c r="F19" s="94"/>
      <c r="G19" s="94"/>
      <c r="H19" s="98"/>
      <c r="I19" s="99">
        <v>1659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221</v>
      </c>
      <c r="Q19" s="158">
        <v>10</v>
      </c>
      <c r="R19" s="159">
        <v>108.95</v>
      </c>
      <c r="S19" s="160"/>
      <c r="T19" s="161"/>
      <c r="U19" s="189">
        <f t="shared" si="2"/>
        <v>0</v>
      </c>
      <c r="V19" s="189">
        <f t="shared" si="3"/>
        <v>0.81712499999999999</v>
      </c>
      <c r="W19" s="189">
        <f t="shared" si="4"/>
        <v>0</v>
      </c>
      <c r="X19" s="189">
        <f t="shared" si="5"/>
        <v>0</v>
      </c>
      <c r="Y19" s="189">
        <f t="shared" si="6"/>
        <v>108.132875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9764.01</v>
      </c>
      <c r="C20" s="95"/>
      <c r="D20" s="94"/>
      <c r="E20" s="96"/>
      <c r="F20" s="94"/>
      <c r="G20" s="94"/>
      <c r="H20" s="98"/>
      <c r="I20" s="99"/>
      <c r="J20" s="185">
        <f t="shared" si="0"/>
        <v>9764.01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674</v>
      </c>
      <c r="Q20" s="158">
        <v>18</v>
      </c>
      <c r="R20" s="159">
        <v>1476.24</v>
      </c>
      <c r="S20" s="160"/>
      <c r="T20" s="161">
        <v>67.959999999999994</v>
      </c>
      <c r="U20" s="189">
        <f t="shared" si="2"/>
        <v>2.9293103448275861</v>
      </c>
      <c r="V20" s="189">
        <f t="shared" si="3"/>
        <v>11.0718</v>
      </c>
      <c r="W20" s="189">
        <f t="shared" si="4"/>
        <v>0</v>
      </c>
      <c r="X20" s="189">
        <f t="shared" si="5"/>
        <v>1.6989999999999998</v>
      </c>
      <c r="Y20" s="189">
        <f t="shared" si="6"/>
        <v>1465.1682000000001</v>
      </c>
      <c r="Z20" s="189">
        <f t="shared" si="6"/>
        <v>0</v>
      </c>
      <c r="AA20" s="189">
        <f t="shared" si="7"/>
        <v>63.331689655172411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675</v>
      </c>
      <c r="Q21" s="158">
        <v>18</v>
      </c>
      <c r="R21" s="159">
        <v>667.52</v>
      </c>
      <c r="S21" s="160"/>
      <c r="T21" s="161">
        <v>93.66</v>
      </c>
      <c r="U21" s="189">
        <f t="shared" si="2"/>
        <v>4.0370689655172418</v>
      </c>
      <c r="V21" s="189">
        <f t="shared" si="3"/>
        <v>5.0063999999999993</v>
      </c>
      <c r="W21" s="189">
        <f t="shared" si="4"/>
        <v>0</v>
      </c>
      <c r="X21" s="189">
        <f t="shared" si="5"/>
        <v>2.3414999999999999</v>
      </c>
      <c r="Y21" s="189">
        <f t="shared" si="6"/>
        <v>662.5136</v>
      </c>
      <c r="Z21" s="189">
        <f t="shared" si="6"/>
        <v>0</v>
      </c>
      <c r="AA21" s="189">
        <f t="shared" si="7"/>
        <v>87.281431034482765</v>
      </c>
      <c r="AB21" s="156"/>
    </row>
    <row r="22" spans="1:28" ht="15.75" x14ac:dyDescent="0.25">
      <c r="A22" s="86" t="s">
        <v>85</v>
      </c>
      <c r="B22" s="57">
        <f>B21*D8</f>
        <v>59.6</v>
      </c>
      <c r="C22" s="100"/>
      <c r="D22" s="66"/>
      <c r="E22" s="67"/>
      <c r="F22" s="66"/>
      <c r="G22" s="66"/>
      <c r="H22" s="102"/>
      <c r="I22" s="79"/>
      <c r="J22" s="81">
        <f t="shared" si="0"/>
        <v>59.6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>
        <v>10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59.6</v>
      </c>
      <c r="C28" s="95"/>
      <c r="D28" s="94"/>
      <c r="E28" s="96"/>
      <c r="F28" s="94"/>
      <c r="G28" s="94"/>
      <c r="H28" s="98"/>
      <c r="I28" s="99"/>
      <c r="J28" s="185">
        <f t="shared" si="0"/>
        <v>59.6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>
        <v>28.74</v>
      </c>
      <c r="C31" s="100"/>
      <c r="D31" s="66"/>
      <c r="E31" s="67"/>
      <c r="F31" s="66"/>
      <c r="G31" s="66"/>
      <c r="H31" s="102"/>
      <c r="I31" s="79"/>
      <c r="J31" s="81">
        <f t="shared" si="0"/>
        <v>28.74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168.7038</v>
      </c>
      <c r="C32" s="100"/>
      <c r="D32" s="66"/>
      <c r="E32" s="67"/>
      <c r="F32" s="66"/>
      <c r="G32" s="66"/>
      <c r="H32" s="102"/>
      <c r="I32" s="79"/>
      <c r="J32" s="81">
        <f t="shared" si="0"/>
        <v>168.7038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28.74</v>
      </c>
      <c r="C35" s="95"/>
      <c r="D35" s="94"/>
      <c r="E35" s="96"/>
      <c r="F35" s="94"/>
      <c r="G35" s="94"/>
      <c r="H35" s="98"/>
      <c r="I35" s="99">
        <v>28.74</v>
      </c>
      <c r="J35" s="185">
        <f t="shared" si="0"/>
        <v>0</v>
      </c>
      <c r="K35" s="99"/>
      <c r="L35" s="187">
        <f>K35-B35</f>
        <v>-28.74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168.7038</v>
      </c>
      <c r="C36" s="95"/>
      <c r="D36" s="94"/>
      <c r="E36" s="96"/>
      <c r="F36" s="94"/>
      <c r="G36" s="94"/>
      <c r="H36" s="98"/>
      <c r="I36" s="99"/>
      <c r="J36" s="185">
        <f t="shared" si="0"/>
        <v>168.7038</v>
      </c>
      <c r="K36" s="99"/>
      <c r="L36" s="187">
        <f>K36-B36</f>
        <v>-168.7038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12630.19</v>
      </c>
      <c r="S42" s="190">
        <f t="shared" si="8"/>
        <v>0</v>
      </c>
      <c r="T42" s="190">
        <f t="shared" si="8"/>
        <v>558.66999999999996</v>
      </c>
      <c r="U42" s="190">
        <f t="shared" si="8"/>
        <v>24.080603448275866</v>
      </c>
      <c r="V42" s="190">
        <f t="shared" si="8"/>
        <v>94.726424999999992</v>
      </c>
      <c r="W42" s="190">
        <f t="shared" si="8"/>
        <v>0</v>
      </c>
      <c r="X42" s="190">
        <f t="shared" si="8"/>
        <v>13.966750000000001</v>
      </c>
      <c r="Y42" s="190">
        <f t="shared" si="8"/>
        <v>12535.463574999998</v>
      </c>
      <c r="Z42" s="190">
        <f t="shared" si="8"/>
        <v>0</v>
      </c>
      <c r="AA42" s="190">
        <f t="shared" si="8"/>
        <v>520.62264655172407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12630.19</v>
      </c>
      <c r="C46" s="116">
        <v>7.4999999999999997E-3</v>
      </c>
      <c r="D46" s="117">
        <f>B46*C46</f>
        <v>94.726425000000006</v>
      </c>
      <c r="E46" s="172">
        <v>0</v>
      </c>
      <c r="F46" s="117">
        <f t="shared" ref="F46:F50" si="15">D46*E46</f>
        <v>0</v>
      </c>
      <c r="G46" s="117">
        <f t="shared" ref="G46:G51" si="16">B46-D46-F46</f>
        <v>12535.463575</v>
      </c>
      <c r="H46" s="173">
        <f>B$6+1</f>
        <v>44783</v>
      </c>
      <c r="I46" s="174">
        <v>9330.19</v>
      </c>
      <c r="J46" s="81">
        <f t="shared" si="0"/>
        <v>3300</v>
      </c>
      <c r="K46" s="80">
        <v>12922.55</v>
      </c>
      <c r="L46" s="186">
        <f t="shared" ref="L46:L64" si="17">+G46-K46</f>
        <v>-387.08642499999951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173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2074.6</v>
      </c>
      <c r="C49" s="116">
        <v>7.4999999999999997E-3</v>
      </c>
      <c r="D49" s="117">
        <f t="shared" si="18"/>
        <v>15.559499999999998</v>
      </c>
      <c r="E49" s="172">
        <v>0</v>
      </c>
      <c r="F49" s="117">
        <f t="shared" si="15"/>
        <v>0</v>
      </c>
      <c r="G49" s="117">
        <f t="shared" si="16"/>
        <v>2059.0405000000001</v>
      </c>
      <c r="H49" s="173">
        <f t="shared" si="19"/>
        <v>44783</v>
      </c>
      <c r="I49" s="176">
        <v>2074.6</v>
      </c>
      <c r="J49" s="81">
        <f t="shared" si="0"/>
        <v>0</v>
      </c>
      <c r="K49" s="80">
        <v>2059.04</v>
      </c>
      <c r="L49" s="186">
        <f t="shared" si="17"/>
        <v>5.0000000010186341E-4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1583.8400000000001</v>
      </c>
      <c r="C50" s="116">
        <v>7.4999999999999997E-3</v>
      </c>
      <c r="D50" s="117">
        <f t="shared" si="18"/>
        <v>11.8788</v>
      </c>
      <c r="E50" s="172">
        <v>0</v>
      </c>
      <c r="F50" s="117">
        <f t="shared" si="15"/>
        <v>0</v>
      </c>
      <c r="G50" s="117">
        <f t="shared" si="16"/>
        <v>1571.9612000000002</v>
      </c>
      <c r="H50" s="173">
        <f t="shared" si="19"/>
        <v>44783</v>
      </c>
      <c r="I50" s="175">
        <v>1943.96</v>
      </c>
      <c r="J50" s="81">
        <f t="shared" si="0"/>
        <v>-360.11999999999989</v>
      </c>
      <c r="K50" s="80"/>
      <c r="L50" s="186">
        <f t="shared" si="17"/>
        <v>1571.9612000000002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372.12</v>
      </c>
      <c r="C51" s="116">
        <v>1.4999999999999999E-2</v>
      </c>
      <c r="D51" s="117">
        <f>+B51*C51</f>
        <v>5.5817999999999994</v>
      </c>
      <c r="E51" s="172">
        <v>0</v>
      </c>
      <c r="F51" s="117">
        <f>D51*E51</f>
        <v>0</v>
      </c>
      <c r="G51" s="117">
        <f t="shared" si="16"/>
        <v>366.53820000000002</v>
      </c>
      <c r="H51" s="173">
        <f t="shared" si="19"/>
        <v>44783</v>
      </c>
      <c r="I51" s="175"/>
      <c r="J51" s="81">
        <f t="shared" si="0"/>
        <v>372.12</v>
      </c>
      <c r="K51" s="80"/>
      <c r="L51" s="186">
        <f t="shared" si="17"/>
        <v>366.53820000000002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558.66999999999996</v>
      </c>
      <c r="C52" s="116">
        <v>2.5000000000000001E-2</v>
      </c>
      <c r="D52" s="117">
        <f>B52*C52</f>
        <v>13.966749999999999</v>
      </c>
      <c r="E52" s="172">
        <v>0.05</v>
      </c>
      <c r="F52" s="117">
        <f>(B52/E$10)*E52</f>
        <v>24.080603448275866</v>
      </c>
      <c r="G52" s="117">
        <f>B52-D52-F52</f>
        <v>520.62264655172407</v>
      </c>
      <c r="H52" s="188">
        <f t="shared" si="19"/>
        <v>44783</v>
      </c>
      <c r="I52" s="176">
        <v>558.66999999999996</v>
      </c>
      <c r="J52" s="81">
        <f t="shared" si="0"/>
        <v>0</v>
      </c>
      <c r="K52" s="80">
        <v>157.21</v>
      </c>
      <c r="L52" s="186">
        <f>K52-G52</f>
        <v>-363.41264655172404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44783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44783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202</v>
      </c>
      <c r="B56" s="117">
        <f>T75</f>
        <v>303.45</v>
      </c>
      <c r="C56" s="116">
        <v>2.5000000000000001E-2</v>
      </c>
      <c r="D56" s="117">
        <f t="shared" si="20"/>
        <v>7.5862499999999997</v>
      </c>
      <c r="E56" s="172">
        <v>0.05</v>
      </c>
      <c r="F56" s="117">
        <f t="shared" si="21"/>
        <v>13.079741379310347</v>
      </c>
      <c r="G56" s="117">
        <f t="shared" si="22"/>
        <v>282.78400862068963</v>
      </c>
      <c r="H56" s="173">
        <f t="shared" si="19"/>
        <v>44783</v>
      </c>
      <c r="I56" s="219">
        <v>303.45</v>
      </c>
      <c r="J56" s="81">
        <f t="shared" si="0"/>
        <v>0</v>
      </c>
      <c r="K56" s="80">
        <v>282.77999999999997</v>
      </c>
      <c r="L56" s="186">
        <f t="shared" si="17"/>
        <v>4.0086206896603471E-3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149.29952500000002</v>
      </c>
      <c r="E61" s="177"/>
      <c r="F61" s="57">
        <f>SUM(F46:F58)</f>
        <v>37.160344827586215</v>
      </c>
      <c r="G61" s="57">
        <f>SUM(G46:G58)</f>
        <v>17336.410130172415</v>
      </c>
      <c r="H61" s="173">
        <f t="shared" si="19"/>
        <v>44783</v>
      </c>
      <c r="I61" s="175"/>
      <c r="J61" s="81">
        <f t="shared" si="0"/>
        <v>0</v>
      </c>
      <c r="K61" s="80"/>
      <c r="L61" s="186">
        <f t="shared" si="17"/>
        <v>17336.410130172415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12</v>
      </c>
      <c r="C62" s="18"/>
      <c r="D62" s="101"/>
      <c r="E62" s="178"/>
      <c r="F62" s="101"/>
      <c r="G62" s="57"/>
      <c r="H62" s="173">
        <f>B$6+1</f>
        <v>44783</v>
      </c>
      <c r="I62" s="176"/>
      <c r="J62" s="81">
        <f t="shared" si="0"/>
        <v>12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34672.82026034483</v>
      </c>
      <c r="H64" s="184"/>
      <c r="I64" s="175"/>
      <c r="J64" s="81">
        <f t="shared" si="0"/>
        <v>0</v>
      </c>
      <c r="K64" s="80"/>
      <c r="L64" s="186">
        <f t="shared" si="17"/>
        <v>34672.82026034483</v>
      </c>
      <c r="M64" s="130"/>
      <c r="N64" s="87">
        <v>1</v>
      </c>
      <c r="O64" s="122" t="s">
        <v>200</v>
      </c>
      <c r="P64" s="225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29358.683799999995</v>
      </c>
      <c r="G65" s="22"/>
      <c r="L65" s="132"/>
      <c r="M65" s="131"/>
      <c r="N65" s="87">
        <v>2</v>
      </c>
      <c r="O65" s="122" t="s">
        <v>200</v>
      </c>
      <c r="P65" s="225"/>
      <c r="Q65" s="225"/>
      <c r="R65" s="221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200</v>
      </c>
      <c r="P66" s="225"/>
      <c r="Q66" s="225"/>
      <c r="R66" s="221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200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26034.11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25761.15</v>
      </c>
      <c r="C69" s="59"/>
      <c r="F69" s="87" t="s">
        <v>127</v>
      </c>
      <c r="G69" s="22"/>
      <c r="H69" s="89"/>
      <c r="I69" s="136"/>
      <c r="J69" s="136">
        <f>K52</f>
        <v>157.21</v>
      </c>
      <c r="N69" s="312" t="s">
        <v>108</v>
      </c>
      <c r="O69" s="312"/>
      <c r="P69" s="313"/>
      <c r="Q69" s="31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272.95999999999913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>
        <v>206</v>
      </c>
      <c r="Q70" s="225">
        <v>2001</v>
      </c>
      <c r="R70" s="221">
        <v>912.55</v>
      </c>
      <c r="S70" s="225"/>
      <c r="T70" s="225">
        <v>58.1</v>
      </c>
      <c r="U70" s="189">
        <f t="shared" ref="U70:U74" si="34">((T70/U$10)*U$9)</f>
        <v>2.5043103448275867</v>
      </c>
      <c r="V70" s="189">
        <f t="shared" ref="V70:V74" si="35">R70*V$10</f>
        <v>6.8441249999999991</v>
      </c>
      <c r="W70" s="189">
        <f t="shared" ref="W70:W74" si="36">+S70*V$10</f>
        <v>0</v>
      </c>
      <c r="X70" s="189">
        <f t="shared" ref="X70:X74" si="37">+T70*X$10</f>
        <v>1.4525000000000001</v>
      </c>
      <c r="Y70" s="189">
        <f t="shared" ref="Y70:Z74" si="38">R70-V70</f>
        <v>905.70587499999999</v>
      </c>
      <c r="Z70" s="189">
        <f t="shared" si="38"/>
        <v>0</v>
      </c>
      <c r="AA70" s="189">
        <f t="shared" ref="AA70:AA74" si="39">T70-U70-X70</f>
        <v>54.143189655172414</v>
      </c>
      <c r="AB70" s="87"/>
    </row>
    <row r="71" spans="1:30" ht="28.5" customHeight="1" thickBot="1" x14ac:dyDescent="0.3">
      <c r="A71" s="25" t="s">
        <v>56</v>
      </c>
      <c r="B71" s="70">
        <f>B65-B68</f>
        <v>3324.5737999999947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157.21</v>
      </c>
      <c r="N71" s="87">
        <v>2</v>
      </c>
      <c r="O71" s="122" t="s">
        <v>197</v>
      </c>
      <c r="P71" s="225">
        <v>204</v>
      </c>
      <c r="Q71" s="225">
        <v>2001</v>
      </c>
      <c r="R71" s="221">
        <v>1162.05</v>
      </c>
      <c r="S71" s="225"/>
      <c r="T71" s="225">
        <v>245.35</v>
      </c>
      <c r="U71" s="189">
        <f t="shared" si="34"/>
        <v>10.57543103448276</v>
      </c>
      <c r="V71" s="189">
        <f t="shared" si="35"/>
        <v>8.7153749999999999</v>
      </c>
      <c r="W71" s="189">
        <f t="shared" si="36"/>
        <v>0</v>
      </c>
      <c r="X71" s="189">
        <f t="shared" si="37"/>
        <v>6.13375</v>
      </c>
      <c r="Y71" s="189">
        <f t="shared" si="38"/>
        <v>1153.334625</v>
      </c>
      <c r="Z71" s="189">
        <f t="shared" si="38"/>
        <v>0</v>
      </c>
      <c r="AA71" s="189">
        <f t="shared" si="39"/>
        <v>228.64081896551724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/>
      <c r="Q72" s="225"/>
      <c r="R72" s="221"/>
      <c r="S72" s="225"/>
      <c r="T72" s="225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252</v>
      </c>
      <c r="P74" s="225"/>
      <c r="Q74" s="225"/>
      <c r="R74" s="221"/>
      <c r="S74" s="225"/>
      <c r="T74" s="22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2074.6</v>
      </c>
      <c r="S75" s="192"/>
      <c r="T75" s="192">
        <f>SUM(T70:T74)</f>
        <v>303.45</v>
      </c>
      <c r="U75" s="192">
        <f>SUM(U70:U74)</f>
        <v>13.079741379310347</v>
      </c>
      <c r="V75" s="192">
        <f t="shared" ref="V75:AA75" si="41">SUM(V70:V74)</f>
        <v>15.5595</v>
      </c>
      <c r="W75" s="192">
        <f t="shared" si="41"/>
        <v>0</v>
      </c>
      <c r="X75" s="192">
        <f t="shared" si="41"/>
        <v>7.5862499999999997</v>
      </c>
      <c r="Y75" s="192">
        <f t="shared" si="41"/>
        <v>2059.0405000000001</v>
      </c>
      <c r="Z75" s="192">
        <f t="shared" si="41"/>
        <v>0</v>
      </c>
      <c r="AA75" s="193">
        <f t="shared" si="41"/>
        <v>282.78400862068963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110.72+17.34+259.67+17.7</f>
        <v>405.43</v>
      </c>
      <c r="R78" s="82">
        <v>7.4999999999999997E-3</v>
      </c>
      <c r="S78" s="194">
        <f>+(P78+Q78)*R78</f>
        <v>3.0407250000000001</v>
      </c>
      <c r="T78" s="254">
        <f>+(P78+Q78)-S78</f>
        <v>402.389275</v>
      </c>
      <c r="U78" s="211">
        <f>33.88+7.7</f>
        <v>41.580000000000005</v>
      </c>
      <c r="V78" s="112"/>
      <c r="W78" s="113">
        <v>1.4999999999999999E-2</v>
      </c>
      <c r="X78" s="196">
        <f>+(U78+V78)*W78</f>
        <v>0.62370000000000003</v>
      </c>
      <c r="Y78" s="254">
        <f>+(U78+V78)-X78</f>
        <v>40.956300000000006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62.55+45.89+106.07+128.58</f>
        <v>343.09000000000003</v>
      </c>
      <c r="R79" s="82">
        <v>7.4999999999999997E-3</v>
      </c>
      <c r="S79" s="194">
        <f t="shared" ref="S79:S97" si="43">+(P79+Q79)*R79</f>
        <v>2.573175</v>
      </c>
      <c r="T79" s="254">
        <f t="shared" ref="T79:T97" si="44">+(P79+Q79)-S79</f>
        <v>340.51682500000004</v>
      </c>
      <c r="U79" s="211">
        <f>91.52+59.87</f>
        <v>151.38999999999999</v>
      </c>
      <c r="V79" s="112"/>
      <c r="W79" s="113">
        <v>1.4999999999999999E-2</v>
      </c>
      <c r="X79" s="196">
        <f t="shared" ref="X79:X97" si="45">+(U79+V79)*W79</f>
        <v>2.2708499999999998</v>
      </c>
      <c r="Y79" s="254">
        <f t="shared" ref="Y79:Y97" si="46">+(U79+V79)-X79</f>
        <v>149.11914999999999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2.06+144.12</f>
        <v>146.18</v>
      </c>
      <c r="R80" s="82">
        <v>7.4999999999999997E-3</v>
      </c>
      <c r="S80" s="194">
        <f t="shared" si="43"/>
        <v>1.0963499999999999</v>
      </c>
      <c r="T80" s="219">
        <f t="shared" si="44"/>
        <v>145.08365000000001</v>
      </c>
      <c r="U80" s="211">
        <f>2.12+84.54</f>
        <v>86.660000000000011</v>
      </c>
      <c r="V80" s="112"/>
      <c r="W80" s="113">
        <v>1.4999999999999999E-2</v>
      </c>
      <c r="X80" s="196">
        <f t="shared" si="45"/>
        <v>1.2999000000000001</v>
      </c>
      <c r="Y80" s="213">
        <f t="shared" si="46"/>
        <v>85.360100000000017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241.19+122.07</f>
        <v>363.26</v>
      </c>
      <c r="R81" s="82">
        <v>7.4999999999999997E-3</v>
      </c>
      <c r="S81" s="194">
        <f t="shared" si="43"/>
        <v>2.72445</v>
      </c>
      <c r="T81" s="219">
        <f t="shared" si="44"/>
        <v>360.53555</v>
      </c>
      <c r="U81" s="211">
        <f>32.4</f>
        <v>32.4</v>
      </c>
      <c r="V81" s="112"/>
      <c r="W81" s="113">
        <v>1.4999999999999999E-2</v>
      </c>
      <c r="X81" s="196">
        <f t="shared" si="45"/>
        <v>0.48599999999999999</v>
      </c>
      <c r="Y81" s="217">
        <f t="shared" si="46"/>
        <v>31.913999999999998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193.63+132.25</f>
        <v>325.88</v>
      </c>
      <c r="R82" s="82">
        <v>7.4999999999999997E-3</v>
      </c>
      <c r="S82" s="194">
        <f t="shared" si="43"/>
        <v>2.4440999999999997</v>
      </c>
      <c r="T82" s="219">
        <f t="shared" si="44"/>
        <v>323.4359</v>
      </c>
      <c r="U82" s="211">
        <v>60.09</v>
      </c>
      <c r="V82" s="112"/>
      <c r="W82" s="113">
        <v>1.4999999999999999E-2</v>
      </c>
      <c r="X82" s="196">
        <f t="shared" si="45"/>
        <v>0.90134999999999998</v>
      </c>
      <c r="Y82" s="213">
        <f t="shared" si="46"/>
        <v>59.188650000000003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8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58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1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1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1583.8400000000001</v>
      </c>
      <c r="R98" s="111"/>
      <c r="S98" s="195">
        <f>SUM(S78:S97)</f>
        <v>11.878799999999998</v>
      </c>
      <c r="T98" s="195">
        <f>SUM(T78:T97)</f>
        <v>1571.9612</v>
      </c>
      <c r="U98" s="114">
        <f>SUM(U78:U97)</f>
        <v>372.12</v>
      </c>
      <c r="V98" s="114">
        <f>SUM(V78:V97)</f>
        <v>0</v>
      </c>
      <c r="W98" s="112"/>
      <c r="X98" s="197">
        <f>SUM(X78:X97)</f>
        <v>5.5817999999999994</v>
      </c>
      <c r="Y98" s="197">
        <f>SUM(Y78:Y97)</f>
        <v>366.53820000000002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84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447.01</v>
      </c>
    </row>
    <row r="105" spans="14:30" x14ac:dyDescent="0.25">
      <c r="N105" s="85"/>
      <c r="Q105" s="215">
        <f t="shared" ref="Q105:Q113" si="50">P79+Q79+U79</f>
        <v>494.48</v>
      </c>
    </row>
    <row r="106" spans="14:30" x14ac:dyDescent="0.25">
      <c r="N106" s="85"/>
      <c r="Q106" s="215">
        <f t="shared" si="50"/>
        <v>232.84000000000003</v>
      </c>
    </row>
    <row r="107" spans="14:30" x14ac:dyDescent="0.25">
      <c r="N107" s="85"/>
      <c r="Q107" s="215">
        <f t="shared" si="50"/>
        <v>395.65999999999997</v>
      </c>
    </row>
    <row r="108" spans="14:30" x14ac:dyDescent="0.25">
      <c r="N108" s="85"/>
      <c r="Q108" s="215">
        <f t="shared" si="50"/>
        <v>385.97</v>
      </c>
    </row>
    <row r="109" spans="14:30" x14ac:dyDescent="0.25">
      <c r="N109" s="85"/>
      <c r="Q109" s="215">
        <f t="shared" si="50"/>
        <v>0</v>
      </c>
    </row>
    <row r="110" spans="14:30" x14ac:dyDescent="0.25">
      <c r="N110" s="85"/>
      <c r="Q110" s="246">
        <f t="shared" si="50"/>
        <v>0</v>
      </c>
    </row>
    <row r="111" spans="14:30" x14ac:dyDescent="0.25">
      <c r="N111" s="85"/>
      <c r="Q111" s="246">
        <f t="shared" si="50"/>
        <v>0</v>
      </c>
    </row>
    <row r="112" spans="14:30" x14ac:dyDescent="0.25">
      <c r="N112" s="85"/>
      <c r="Q112" s="246">
        <f t="shared" si="50"/>
        <v>0</v>
      </c>
    </row>
    <row r="113" spans="14:17" x14ac:dyDescent="0.25">
      <c r="N113" s="85"/>
      <c r="Q113" s="215">
        <f t="shared" si="50"/>
        <v>0</v>
      </c>
    </row>
    <row r="114" spans="14:17" x14ac:dyDescent="0.25">
      <c r="N114" s="85"/>
      <c r="Q114" s="84"/>
    </row>
    <row r="115" spans="14:17" x14ac:dyDescent="0.25">
      <c r="N115" s="85"/>
    </row>
    <row r="116" spans="14:17" x14ac:dyDescent="0.25">
      <c r="N116" s="76"/>
    </row>
    <row r="118" spans="14:17" x14ac:dyDescent="0.25">
      <c r="N118" s="78"/>
    </row>
    <row r="119" spans="14:17" x14ac:dyDescent="0.25">
      <c r="N119" s="90"/>
    </row>
    <row r="120" spans="14:17" x14ac:dyDescent="0.25">
      <c r="N120" s="92"/>
    </row>
    <row r="121" spans="14:17" x14ac:dyDescent="0.25">
      <c r="N121" s="92"/>
    </row>
    <row r="122" spans="14:17" x14ac:dyDescent="0.25">
      <c r="N122" s="92"/>
    </row>
    <row r="123" spans="14:17" x14ac:dyDescent="0.25">
      <c r="N123" s="92"/>
    </row>
    <row r="124" spans="14:17" x14ac:dyDescent="0.25">
      <c r="N124" s="92"/>
    </row>
    <row r="125" spans="14:17" x14ac:dyDescent="0.25">
      <c r="N125" s="92"/>
    </row>
    <row r="126" spans="14:17" x14ac:dyDescent="0.25">
      <c r="N126" s="90"/>
    </row>
    <row r="127" spans="14:17" x14ac:dyDescent="0.25">
      <c r="N127" s="92"/>
    </row>
    <row r="128" spans="14:17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25" zoomScale="90" zoomScaleNormal="90" workbookViewId="0">
      <selection activeCell="K58" sqref="K5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5.92</v>
      </c>
      <c r="C8" s="85" t="s">
        <v>92</v>
      </c>
      <c r="D8" s="108">
        <v>5.96</v>
      </c>
    </row>
    <row r="9" spans="1:28" x14ac:dyDescent="0.25">
      <c r="A9" s="7" t="s">
        <v>76</v>
      </c>
      <c r="B9" s="108">
        <v>5.9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1546</v>
      </c>
      <c r="C12" s="15"/>
      <c r="D12" s="56"/>
      <c r="E12" s="16"/>
      <c r="F12" s="56"/>
      <c r="G12" s="56"/>
      <c r="H12" s="17"/>
      <c r="I12" s="83">
        <v>1446</v>
      </c>
      <c r="J12" s="81">
        <f>B12-I12</f>
        <v>100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222</v>
      </c>
      <c r="Q12" s="158">
        <v>11</v>
      </c>
      <c r="R12" s="159">
        <v>1198.8599999999999</v>
      </c>
      <c r="S12" s="160"/>
      <c r="T12" s="160">
        <v>39.154000000000003</v>
      </c>
      <c r="U12" s="189">
        <f>((T12/U$10)*U$9)</f>
        <v>1.6876724137931038</v>
      </c>
      <c r="V12" s="189">
        <f>R12*V$10</f>
        <v>8.9914499999999986</v>
      </c>
      <c r="W12" s="189">
        <f>+S12*V$10</f>
        <v>0</v>
      </c>
      <c r="X12" s="189">
        <f>+T12*X$10</f>
        <v>0.97885000000000011</v>
      </c>
      <c r="Y12" s="189">
        <f>R12-V12</f>
        <v>1189.8685499999999</v>
      </c>
      <c r="Z12" s="189">
        <f>S12-W12</f>
        <v>0</v>
      </c>
      <c r="AA12" s="189">
        <f>T12-U12-X12</f>
        <v>36.4874775862069</v>
      </c>
      <c r="AB12" s="156"/>
    </row>
    <row r="13" spans="1:28" ht="15.75" x14ac:dyDescent="0.25">
      <c r="A13" s="86" t="s">
        <v>74</v>
      </c>
      <c r="B13" s="89">
        <v>204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204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223</v>
      </c>
      <c r="Q13" s="158">
        <v>11</v>
      </c>
      <c r="R13" s="159">
        <v>908.39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6.8129249999999999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901.57707500000004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1207.68</v>
      </c>
      <c r="C14" s="15"/>
      <c r="D14" s="56"/>
      <c r="E14" s="16"/>
      <c r="F14" s="56"/>
      <c r="G14" s="56"/>
      <c r="H14" s="17"/>
      <c r="I14" s="83"/>
      <c r="J14" s="81">
        <f t="shared" si="0"/>
        <v>1207.68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606</v>
      </c>
      <c r="Q14" s="158">
        <v>2</v>
      </c>
      <c r="R14" s="159">
        <v>891.23</v>
      </c>
      <c r="S14" s="160"/>
      <c r="T14" s="161"/>
      <c r="U14" s="189">
        <f t="shared" si="2"/>
        <v>0</v>
      </c>
      <c r="V14" s="189">
        <f t="shared" si="3"/>
        <v>6.6842249999999996</v>
      </c>
      <c r="W14" s="189">
        <f t="shared" si="4"/>
        <v>0</v>
      </c>
      <c r="X14" s="189">
        <f t="shared" si="5"/>
        <v>0</v>
      </c>
      <c r="Y14" s="189">
        <f t="shared" si="6"/>
        <v>884.54577500000005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1828</v>
      </c>
      <c r="C15" s="15"/>
      <c r="D15" s="56"/>
      <c r="E15" s="16"/>
      <c r="F15" s="56"/>
      <c r="G15" s="56"/>
      <c r="H15" s="17"/>
      <c r="I15" s="83"/>
      <c r="J15" s="81">
        <f t="shared" si="0"/>
        <v>1828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607</v>
      </c>
      <c r="Q15" s="158">
        <v>2</v>
      </c>
      <c r="R15" s="159">
        <v>1389.78</v>
      </c>
      <c r="S15" s="160"/>
      <c r="T15" s="161">
        <v>64.73</v>
      </c>
      <c r="U15" s="189">
        <f t="shared" si="2"/>
        <v>2.790086206896552</v>
      </c>
      <c r="V15" s="189">
        <f t="shared" si="3"/>
        <v>10.423349999999999</v>
      </c>
      <c r="W15" s="189">
        <f t="shared" si="4"/>
        <v>0</v>
      </c>
      <c r="X15" s="189">
        <f t="shared" si="5"/>
        <v>1.6182500000000002</v>
      </c>
      <c r="Y15" s="189">
        <f t="shared" si="6"/>
        <v>1379.3566499999999</v>
      </c>
      <c r="Z15" s="189">
        <f t="shared" si="6"/>
        <v>0</v>
      </c>
      <c r="AA15" s="189">
        <f t="shared" si="7"/>
        <v>60.321663793103447</v>
      </c>
      <c r="AB15" s="156"/>
    </row>
    <row r="16" spans="1:28" ht="15.75" x14ac:dyDescent="0.25">
      <c r="A16" s="86" t="s">
        <v>81</v>
      </c>
      <c r="B16" s="57">
        <f>B15*B9</f>
        <v>10785.2</v>
      </c>
      <c r="C16" s="15"/>
      <c r="D16" s="56"/>
      <c r="E16" s="16"/>
      <c r="F16" s="56"/>
      <c r="G16" s="56"/>
      <c r="H16" s="17"/>
      <c r="I16" s="83"/>
      <c r="J16" s="81">
        <f t="shared" si="0"/>
        <v>10785.2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586</v>
      </c>
      <c r="Q16" s="158">
        <v>4</v>
      </c>
      <c r="R16" s="159">
        <v>156.44</v>
      </c>
      <c r="S16" s="160"/>
      <c r="T16" s="161"/>
      <c r="U16" s="189">
        <f t="shared" si="2"/>
        <v>0</v>
      </c>
      <c r="V16" s="189">
        <f t="shared" si="3"/>
        <v>1.1733</v>
      </c>
      <c r="W16" s="189">
        <f t="shared" si="4"/>
        <v>0</v>
      </c>
      <c r="X16" s="189">
        <f t="shared" si="5"/>
        <v>0</v>
      </c>
      <c r="Y16" s="189">
        <f t="shared" si="6"/>
        <v>155.26669999999999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587</v>
      </c>
      <c r="Q17" s="158">
        <v>4</v>
      </c>
      <c r="R17" s="159">
        <v>1596.6</v>
      </c>
      <c r="S17" s="160"/>
      <c r="T17" s="161">
        <v>85.83</v>
      </c>
      <c r="U17" s="189">
        <f t="shared" si="2"/>
        <v>3.6995689655172415</v>
      </c>
      <c r="V17" s="189">
        <f t="shared" si="3"/>
        <v>11.974499999999999</v>
      </c>
      <c r="W17" s="189">
        <f t="shared" si="4"/>
        <v>0</v>
      </c>
      <c r="X17" s="189">
        <f t="shared" si="5"/>
        <v>2.14575</v>
      </c>
      <c r="Y17" s="189">
        <f t="shared" si="6"/>
        <v>1584.6254999999999</v>
      </c>
      <c r="Z17" s="189">
        <f t="shared" si="6"/>
        <v>0</v>
      </c>
      <c r="AA17" s="189">
        <f t="shared" si="7"/>
        <v>79.984681034482747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223</v>
      </c>
      <c r="Q18" s="158">
        <v>10</v>
      </c>
      <c r="R18" s="159">
        <v>1041.3699999999999</v>
      </c>
      <c r="S18" s="160"/>
      <c r="T18" s="161"/>
      <c r="U18" s="189">
        <f t="shared" si="2"/>
        <v>0</v>
      </c>
      <c r="V18" s="189">
        <f t="shared" si="3"/>
        <v>7.810274999999999</v>
      </c>
      <c r="W18" s="189">
        <f t="shared" si="4"/>
        <v>0</v>
      </c>
      <c r="X18" s="189">
        <f t="shared" si="5"/>
        <v>0</v>
      </c>
      <c r="Y18" s="189">
        <f t="shared" si="6"/>
        <v>1033.5597249999998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2032</v>
      </c>
      <c r="C19" s="95"/>
      <c r="D19" s="94"/>
      <c r="E19" s="96"/>
      <c r="F19" s="94"/>
      <c r="G19" s="94"/>
      <c r="H19" s="98"/>
      <c r="I19" s="99">
        <v>2032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224</v>
      </c>
      <c r="Q19" s="158">
        <v>10</v>
      </c>
      <c r="R19" s="159">
        <v>1046.7</v>
      </c>
      <c r="S19" s="160"/>
      <c r="T19" s="161">
        <v>58.18</v>
      </c>
      <c r="U19" s="189">
        <f t="shared" si="2"/>
        <v>2.5077586206896552</v>
      </c>
      <c r="V19" s="189">
        <f t="shared" si="3"/>
        <v>7.85025</v>
      </c>
      <c r="W19" s="189">
        <f t="shared" si="4"/>
        <v>0</v>
      </c>
      <c r="X19" s="189">
        <f t="shared" si="5"/>
        <v>1.4545000000000001</v>
      </c>
      <c r="Y19" s="189">
        <f t="shared" si="6"/>
        <v>1038.8497500000001</v>
      </c>
      <c r="Z19" s="189">
        <f t="shared" si="6"/>
        <v>0</v>
      </c>
      <c r="AA19" s="189">
        <f t="shared" si="7"/>
        <v>54.21774137931034</v>
      </c>
      <c r="AB19" s="156"/>
    </row>
    <row r="20" spans="1:28" ht="15.75" x14ac:dyDescent="0.25">
      <c r="A20" s="93" t="s">
        <v>80</v>
      </c>
      <c r="B20" s="97">
        <f>+B14+B16+B18</f>
        <v>11992.880000000001</v>
      </c>
      <c r="C20" s="95"/>
      <c r="D20" s="94"/>
      <c r="E20" s="96"/>
      <c r="F20" s="94"/>
      <c r="G20" s="94"/>
      <c r="H20" s="98"/>
      <c r="I20" s="99"/>
      <c r="J20" s="185">
        <f t="shared" si="0"/>
        <v>11992.880000000001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676</v>
      </c>
      <c r="Q20" s="158">
        <v>18</v>
      </c>
      <c r="R20" s="159">
        <v>363.95</v>
      </c>
      <c r="S20" s="160"/>
      <c r="T20" s="161">
        <v>100.8</v>
      </c>
      <c r="U20" s="189">
        <f t="shared" si="2"/>
        <v>4.3448275862068968</v>
      </c>
      <c r="V20" s="189">
        <f t="shared" si="3"/>
        <v>2.729625</v>
      </c>
      <c r="W20" s="189">
        <f t="shared" si="4"/>
        <v>0</v>
      </c>
      <c r="X20" s="189">
        <f t="shared" si="5"/>
        <v>2.52</v>
      </c>
      <c r="Y20" s="189">
        <f t="shared" si="6"/>
        <v>361.22037499999999</v>
      </c>
      <c r="Z20" s="189">
        <f t="shared" si="6"/>
        <v>0</v>
      </c>
      <c r="AA20" s="189">
        <f t="shared" si="7"/>
        <v>93.935172413793097</v>
      </c>
      <c r="AB20" s="156"/>
    </row>
    <row r="21" spans="1:28" ht="15.75" x14ac:dyDescent="0.25">
      <c r="A21" s="86" t="s">
        <v>82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677</v>
      </c>
      <c r="Q21" s="158">
        <v>18</v>
      </c>
      <c r="R21" s="159">
        <v>557.22</v>
      </c>
      <c r="S21" s="160"/>
      <c r="T21" s="161"/>
      <c r="U21" s="189">
        <f t="shared" si="2"/>
        <v>0</v>
      </c>
      <c r="V21" s="189">
        <f t="shared" si="3"/>
        <v>4.1791499999999999</v>
      </c>
      <c r="W21" s="189">
        <f t="shared" si="4"/>
        <v>0</v>
      </c>
      <c r="X21" s="189">
        <f t="shared" si="5"/>
        <v>0</v>
      </c>
      <c r="Y21" s="189">
        <f t="shared" si="6"/>
        <v>553.04084999999998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119.2</v>
      </c>
      <c r="C22" s="100"/>
      <c r="D22" s="66"/>
      <c r="E22" s="67"/>
      <c r="F22" s="66"/>
      <c r="G22" s="66"/>
      <c r="H22" s="102"/>
      <c r="I22" s="79"/>
      <c r="J22" s="81">
        <f t="shared" si="0"/>
        <v>119.2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20</v>
      </c>
      <c r="C27" s="95"/>
      <c r="D27" s="94"/>
      <c r="E27" s="96"/>
      <c r="F27" s="94"/>
      <c r="G27" s="94"/>
      <c r="H27" s="98"/>
      <c r="I27" s="99">
        <v>20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119.2</v>
      </c>
      <c r="C28" s="95"/>
      <c r="D28" s="94"/>
      <c r="E28" s="96"/>
      <c r="F28" s="94"/>
      <c r="G28" s="94"/>
      <c r="H28" s="98"/>
      <c r="I28" s="99"/>
      <c r="J28" s="185">
        <f t="shared" si="0"/>
        <v>119.2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9150.5399999999991</v>
      </c>
      <c r="S42" s="190">
        <f t="shared" si="8"/>
        <v>0</v>
      </c>
      <c r="T42" s="190">
        <f t="shared" si="8"/>
        <v>348.69400000000002</v>
      </c>
      <c r="U42" s="190">
        <f t="shared" si="8"/>
        <v>15.029913793103448</v>
      </c>
      <c r="V42" s="190">
        <f t="shared" si="8"/>
        <v>68.629050000000007</v>
      </c>
      <c r="W42" s="190">
        <f t="shared" si="8"/>
        <v>0</v>
      </c>
      <c r="X42" s="190">
        <f t="shared" si="8"/>
        <v>8.7173500000000015</v>
      </c>
      <c r="Y42" s="190">
        <f t="shared" si="8"/>
        <v>9081.9109499999995</v>
      </c>
      <c r="Z42" s="190">
        <f t="shared" si="8"/>
        <v>0</v>
      </c>
      <c r="AA42" s="190">
        <f t="shared" si="8"/>
        <v>324.94673620689656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>
        <v>71.42</v>
      </c>
      <c r="S44" s="160"/>
      <c r="T44" s="160"/>
      <c r="U44" s="189">
        <f t="shared" si="9"/>
        <v>0</v>
      </c>
      <c r="V44" s="189">
        <f t="shared" si="10"/>
        <v>0.53564999999999996</v>
      </c>
      <c r="W44" s="189">
        <f t="shared" si="11"/>
        <v>0</v>
      </c>
      <c r="X44" s="189">
        <f t="shared" si="12"/>
        <v>0</v>
      </c>
      <c r="Y44" s="189">
        <f t="shared" si="13"/>
        <v>70.884349999999998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9150.5399999999991</v>
      </c>
      <c r="C46" s="116">
        <v>7.4999999999999997E-3</v>
      </c>
      <c r="D46" s="117">
        <f>B46*C46</f>
        <v>68.629049999999992</v>
      </c>
      <c r="E46" s="172">
        <v>0</v>
      </c>
      <c r="F46" s="117">
        <f t="shared" ref="F46:F50" si="15">D46*E46</f>
        <v>0</v>
      </c>
      <c r="G46" s="117">
        <f t="shared" ref="G46:G51" si="16">B46-D46-F46</f>
        <v>9081.9109499999995</v>
      </c>
      <c r="H46" s="173">
        <f>B$6+1</f>
        <v>44784</v>
      </c>
      <c r="I46" s="174">
        <v>9150.5400000000009</v>
      </c>
      <c r="J46" s="81">
        <f t="shared" si="0"/>
        <v>0</v>
      </c>
      <c r="K46" s="80">
        <v>9290.18</v>
      </c>
      <c r="L46" s="186">
        <f>K46-G46</f>
        <v>208.26905000000079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71.42</v>
      </c>
      <c r="C47" s="116">
        <v>7.4999999999999997E-3</v>
      </c>
      <c r="D47" s="117">
        <f t="shared" ref="D47:D50" si="17">B47*C47</f>
        <v>0.53564999999999996</v>
      </c>
      <c r="E47" s="172">
        <v>0</v>
      </c>
      <c r="F47" s="117">
        <f t="shared" si="15"/>
        <v>0</v>
      </c>
      <c r="G47" s="117">
        <f t="shared" si="16"/>
        <v>70.884349999999998</v>
      </c>
      <c r="H47" s="173">
        <f>B$6+1</f>
        <v>44784</v>
      </c>
      <c r="I47" s="175">
        <v>71.42</v>
      </c>
      <c r="J47" s="81">
        <f t="shared" si="0"/>
        <v>0</v>
      </c>
      <c r="K47" s="80"/>
      <c r="L47" s="186">
        <f t="shared" ref="L47:L64" si="18">+G47-K47</f>
        <v>70.884349999999998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204</v>
      </c>
      <c r="B48" s="117">
        <f>R69</f>
        <v>100.26</v>
      </c>
      <c r="C48" s="116">
        <v>1.4999999999999999E-2</v>
      </c>
      <c r="D48" s="117">
        <f t="shared" si="17"/>
        <v>1.5039</v>
      </c>
      <c r="E48" s="172">
        <v>0</v>
      </c>
      <c r="F48" s="117">
        <f t="shared" si="15"/>
        <v>0</v>
      </c>
      <c r="G48" s="117">
        <f t="shared" si="16"/>
        <v>98.756100000000004</v>
      </c>
      <c r="H48" s="173">
        <f t="shared" ref="H48:H61" si="19">B$6+1</f>
        <v>44784</v>
      </c>
      <c r="I48" s="176">
        <v>100.26</v>
      </c>
      <c r="J48" s="81">
        <f t="shared" si="0"/>
        <v>0</v>
      </c>
      <c r="K48" s="80"/>
      <c r="L48" s="186">
        <f t="shared" si="18"/>
        <v>98.756100000000004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1827.85</v>
      </c>
      <c r="C49" s="116">
        <v>7.4999999999999997E-3</v>
      </c>
      <c r="D49" s="117">
        <f t="shared" si="17"/>
        <v>13.708874999999999</v>
      </c>
      <c r="E49" s="172">
        <v>0</v>
      </c>
      <c r="F49" s="117">
        <f t="shared" si="15"/>
        <v>0</v>
      </c>
      <c r="G49" s="117">
        <f t="shared" si="16"/>
        <v>1814.1411249999999</v>
      </c>
      <c r="H49" s="173">
        <f t="shared" si="19"/>
        <v>44784</v>
      </c>
      <c r="I49" s="176">
        <v>1827.85</v>
      </c>
      <c r="J49" s="81">
        <f t="shared" si="0"/>
        <v>0</v>
      </c>
      <c r="K49" s="80"/>
      <c r="L49" s="186">
        <f t="shared" si="18"/>
        <v>1814.1411249999999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4343.37</v>
      </c>
      <c r="C50" s="116">
        <v>7.4999999999999997E-3</v>
      </c>
      <c r="D50" s="117">
        <f t="shared" si="17"/>
        <v>32.575274999999998</v>
      </c>
      <c r="E50" s="172">
        <v>0</v>
      </c>
      <c r="F50" s="117">
        <f t="shared" si="15"/>
        <v>0</v>
      </c>
      <c r="G50" s="117">
        <f t="shared" si="16"/>
        <v>4310.7947249999997</v>
      </c>
      <c r="H50" s="173">
        <f t="shared" si="19"/>
        <v>44784</v>
      </c>
      <c r="I50" s="175">
        <v>4532.3900000000003</v>
      </c>
      <c r="J50" s="81">
        <f t="shared" si="0"/>
        <v>-189.02000000000044</v>
      </c>
      <c r="K50" s="80">
        <v>4310.79</v>
      </c>
      <c r="L50" s="186">
        <f t="shared" si="18"/>
        <v>4.7249999997802661E-3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189.01999999999998</v>
      </c>
      <c r="C51" s="116">
        <v>1.4999999999999999E-2</v>
      </c>
      <c r="D51" s="117">
        <f>+B51*C51</f>
        <v>2.8352999999999997</v>
      </c>
      <c r="E51" s="172">
        <v>0</v>
      </c>
      <c r="F51" s="117">
        <f>D51*E51</f>
        <v>0</v>
      </c>
      <c r="G51" s="117">
        <f t="shared" si="16"/>
        <v>186.18469999999999</v>
      </c>
      <c r="H51" s="173">
        <f t="shared" si="19"/>
        <v>44784</v>
      </c>
      <c r="I51" s="175"/>
      <c r="J51" s="81">
        <f t="shared" si="0"/>
        <v>189.01999999999998</v>
      </c>
      <c r="K51" s="80">
        <v>186.18</v>
      </c>
      <c r="L51" s="186">
        <f t="shared" si="18"/>
        <v>4.6999999999854936E-3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348.69400000000002</v>
      </c>
      <c r="C52" s="116">
        <v>2.5000000000000001E-2</v>
      </c>
      <c r="D52" s="117">
        <f>B52*C52</f>
        <v>8.7173500000000015</v>
      </c>
      <c r="E52" s="172">
        <v>0.05</v>
      </c>
      <c r="F52" s="117">
        <f>(B52/E$10)*E52</f>
        <v>15.02991379310345</v>
      </c>
      <c r="G52" s="117">
        <f>B52-D52-F52</f>
        <v>324.94673620689656</v>
      </c>
      <c r="H52" s="188">
        <f t="shared" si="19"/>
        <v>44784</v>
      </c>
      <c r="I52" s="176">
        <v>348.69</v>
      </c>
      <c r="J52" s="81">
        <f t="shared" si="0"/>
        <v>4.0000000000190994E-3</v>
      </c>
      <c r="K52" s="80">
        <v>129.35</v>
      </c>
      <c r="L52" s="186">
        <f>K52-G52</f>
        <v>-195.59673620689657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213</v>
      </c>
      <c r="B56" s="117">
        <f>T75</f>
        <v>57.64</v>
      </c>
      <c r="C56" s="116">
        <v>2.5000000000000001E-2</v>
      </c>
      <c r="D56" s="117">
        <f t="shared" si="20"/>
        <v>1.4410000000000001</v>
      </c>
      <c r="E56" s="172">
        <v>0.05</v>
      </c>
      <c r="F56" s="117">
        <f t="shared" si="21"/>
        <v>2.4844827586206897</v>
      </c>
      <c r="G56" s="117">
        <f t="shared" si="22"/>
        <v>53.714517241379312</v>
      </c>
      <c r="H56" s="173">
        <f t="shared" si="19"/>
        <v>44784</v>
      </c>
      <c r="I56" s="176">
        <v>57.64</v>
      </c>
      <c r="J56" s="81">
        <f t="shared" si="0"/>
        <v>0</v>
      </c>
      <c r="K56" s="80"/>
      <c r="L56" s="186">
        <f t="shared" si="18"/>
        <v>53.714517241379312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185.11</v>
      </c>
      <c r="C59" s="18"/>
      <c r="D59" s="57"/>
      <c r="E59" s="177"/>
      <c r="F59" s="57"/>
      <c r="G59" s="57">
        <f>B59-D59-F59</f>
        <v>185.11</v>
      </c>
      <c r="H59" s="173"/>
      <c r="I59" s="175"/>
      <c r="J59" s="81">
        <f>B59-I59</f>
        <v>185.11</v>
      </c>
      <c r="K59" s="80"/>
      <c r="L59" s="186">
        <f t="shared" si="18"/>
        <v>185.11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129.94640000000001</v>
      </c>
      <c r="E61" s="177"/>
      <c r="F61" s="57">
        <f>SUM(F46:F58)</f>
        <v>17.51439655172414</v>
      </c>
      <c r="G61" s="57">
        <f>SUM(G46:G58)</f>
        <v>15941.333203448276</v>
      </c>
      <c r="H61" s="173">
        <f t="shared" si="19"/>
        <v>44784</v>
      </c>
      <c r="I61" s="175"/>
      <c r="J61" s="81">
        <f t="shared" si="0"/>
        <v>0</v>
      </c>
      <c r="K61" s="80"/>
      <c r="L61" s="186">
        <f t="shared" si="18"/>
        <v>15941.333203448276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44784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71.42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0.53564999999999996</v>
      </c>
      <c r="W63" s="191">
        <f t="shared" si="25"/>
        <v>0</v>
      </c>
      <c r="X63" s="191">
        <f t="shared" si="25"/>
        <v>0</v>
      </c>
      <c r="Y63" s="191">
        <f>SUM(Y43:Y62)</f>
        <v>70.884349999999998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32067.776406896552</v>
      </c>
      <c r="H64" s="184"/>
      <c r="I64" s="175"/>
      <c r="J64" s="81">
        <f t="shared" si="0"/>
        <v>0</v>
      </c>
      <c r="K64" s="80"/>
      <c r="L64" s="186">
        <f t="shared" si="18"/>
        <v>32067.776406896552</v>
      </c>
      <c r="M64" s="130"/>
      <c r="N64" s="87">
        <v>1</v>
      </c>
      <c r="O64" s="122" t="s">
        <v>223</v>
      </c>
      <c r="P64" s="87"/>
      <c r="Q64" s="225">
        <v>2844</v>
      </c>
      <c r="R64" s="240">
        <v>7.61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5.7075000000000001E-2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7.5529250000000001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29931.983999999997</v>
      </c>
      <c r="G65" s="22"/>
      <c r="L65" s="132"/>
      <c r="M65" s="131"/>
      <c r="N65" s="87">
        <v>2</v>
      </c>
      <c r="O65" s="122" t="s">
        <v>223</v>
      </c>
      <c r="P65" s="87"/>
      <c r="Q65" s="225">
        <v>3232</v>
      </c>
      <c r="R65" s="236">
        <v>16.190000000000001</v>
      </c>
      <c r="S65" s="225"/>
      <c r="T65" s="87"/>
      <c r="U65" s="189">
        <f t="shared" si="27"/>
        <v>0</v>
      </c>
      <c r="V65" s="189">
        <f t="shared" si="28"/>
        <v>0.12142500000000001</v>
      </c>
      <c r="W65" s="189">
        <f t="shared" si="29"/>
        <v>0</v>
      </c>
      <c r="X65" s="189">
        <f t="shared" si="30"/>
        <v>0</v>
      </c>
      <c r="Y65" s="189">
        <f t="shared" si="31"/>
        <v>16.068575000000003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223</v>
      </c>
      <c r="P66" s="87"/>
      <c r="Q66" s="225">
        <v>24</v>
      </c>
      <c r="R66" s="240">
        <v>70.56</v>
      </c>
      <c r="S66" s="225"/>
      <c r="T66" s="87"/>
      <c r="U66" s="189">
        <f t="shared" si="27"/>
        <v>0</v>
      </c>
      <c r="V66" s="189">
        <f t="shared" si="28"/>
        <v>0.5292</v>
      </c>
      <c r="W66" s="189">
        <f t="shared" si="29"/>
        <v>0</v>
      </c>
      <c r="X66" s="189">
        <f t="shared" si="30"/>
        <v>0</v>
      </c>
      <c r="Y66" s="189">
        <f t="shared" si="31"/>
        <v>70.030799999999999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223</v>
      </c>
      <c r="P67" s="87"/>
      <c r="Q67" s="225">
        <v>6687</v>
      </c>
      <c r="R67" s="225">
        <v>5.9</v>
      </c>
      <c r="S67" s="225"/>
      <c r="T67" s="87"/>
      <c r="U67" s="189">
        <f t="shared" si="27"/>
        <v>0</v>
      </c>
      <c r="V67" s="189">
        <f t="shared" si="28"/>
        <v>4.4249999999999998E-2</v>
      </c>
      <c r="W67" s="189">
        <f t="shared" si="29"/>
        <v>0</v>
      </c>
      <c r="X67" s="189">
        <f t="shared" si="30"/>
        <v>0</v>
      </c>
      <c r="Y67" s="189">
        <f t="shared" si="31"/>
        <v>5.8557500000000005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29873.34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223</v>
      </c>
      <c r="P68" s="87"/>
      <c r="Q68" s="225"/>
      <c r="R68" s="240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29544.36</v>
      </c>
      <c r="C69" s="59"/>
      <c r="F69" s="87" t="s">
        <v>127</v>
      </c>
      <c r="G69" s="22"/>
      <c r="H69" s="89"/>
      <c r="I69" s="136"/>
      <c r="J69" s="136"/>
      <c r="N69" s="312" t="s">
        <v>108</v>
      </c>
      <c r="O69" s="312"/>
      <c r="P69" s="313"/>
      <c r="Q69" s="313"/>
      <c r="R69" s="192">
        <f>SUM(R64:R68)</f>
        <v>100.26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0.75195000000000001</v>
      </c>
      <c r="W69" s="192">
        <f t="shared" si="33"/>
        <v>0</v>
      </c>
      <c r="X69" s="192">
        <f t="shared" si="33"/>
        <v>0</v>
      </c>
      <c r="Y69" s="192">
        <f t="shared" si="33"/>
        <v>99.508049999999997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328.97999999999956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>
        <v>209</v>
      </c>
      <c r="Q70" s="225">
        <v>2001</v>
      </c>
      <c r="R70" s="221">
        <v>709.67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5.3225249999999997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704.34747499999992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58.643999999996595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197</v>
      </c>
      <c r="P71" s="251">
        <v>57</v>
      </c>
      <c r="Q71" s="225"/>
      <c r="R71" s="221">
        <v>38.71</v>
      </c>
      <c r="S71" s="225"/>
      <c r="T71" s="225"/>
      <c r="U71" s="189">
        <f t="shared" si="34"/>
        <v>0</v>
      </c>
      <c r="V71" s="189">
        <f t="shared" si="35"/>
        <v>0.290325</v>
      </c>
      <c r="W71" s="189">
        <f t="shared" si="36"/>
        <v>0</v>
      </c>
      <c r="X71" s="189">
        <f t="shared" si="37"/>
        <v>0</v>
      </c>
      <c r="Y71" s="189">
        <f t="shared" si="38"/>
        <v>38.419674999999998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>
        <v>58</v>
      </c>
      <c r="Q72" s="225"/>
      <c r="R72" s="221">
        <v>418.94</v>
      </c>
      <c r="S72" s="225"/>
      <c r="T72" s="225">
        <v>27.64</v>
      </c>
      <c r="U72" s="189">
        <f t="shared" si="34"/>
        <v>1.1913793103448278</v>
      </c>
      <c r="V72" s="189">
        <f t="shared" si="35"/>
        <v>3.1420499999999998</v>
      </c>
      <c r="W72" s="189">
        <f t="shared" si="36"/>
        <v>0</v>
      </c>
      <c r="X72" s="189">
        <f t="shared" si="37"/>
        <v>0.69100000000000006</v>
      </c>
      <c r="Y72" s="189">
        <f t="shared" si="38"/>
        <v>415.79795000000001</v>
      </c>
      <c r="Z72" s="189">
        <f t="shared" si="38"/>
        <v>0</v>
      </c>
      <c r="AA72" s="189">
        <f t="shared" si="39"/>
        <v>25.757620689655173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>
        <v>205</v>
      </c>
      <c r="Q73" s="225">
        <v>2001</v>
      </c>
      <c r="R73" s="221">
        <v>660.53</v>
      </c>
      <c r="S73" s="225"/>
      <c r="T73" s="225">
        <v>30</v>
      </c>
      <c r="U73" s="189">
        <f t="shared" si="34"/>
        <v>1.2931034482758621</v>
      </c>
      <c r="V73" s="189">
        <f t="shared" si="35"/>
        <v>4.9539749999999998</v>
      </c>
      <c r="W73" s="189">
        <f t="shared" si="36"/>
        <v>0</v>
      </c>
      <c r="X73" s="189">
        <f t="shared" si="37"/>
        <v>0.75</v>
      </c>
      <c r="Y73" s="189">
        <f t="shared" si="38"/>
        <v>655.57602499999996</v>
      </c>
      <c r="Z73" s="189">
        <f t="shared" si="38"/>
        <v>0</v>
      </c>
      <c r="AA73" s="189">
        <f t="shared" si="39"/>
        <v>27.956896551724139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251"/>
      <c r="Q74" s="225"/>
      <c r="R74" s="221"/>
      <c r="S74" s="225"/>
      <c r="T74" s="225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1827.85</v>
      </c>
      <c r="S75" s="192"/>
      <c r="T75" s="192">
        <f>SUM(T70:T74)</f>
        <v>57.64</v>
      </c>
      <c r="U75" s="192">
        <f>SUM(U70:U74)</f>
        <v>2.4844827586206897</v>
      </c>
      <c r="V75" s="192">
        <f t="shared" ref="V75:AA75" si="41">SUM(V70:V74)</f>
        <v>13.708874999999999</v>
      </c>
      <c r="W75" s="192">
        <f t="shared" si="41"/>
        <v>0</v>
      </c>
      <c r="X75" s="192">
        <f t="shared" si="41"/>
        <v>1.4410000000000001</v>
      </c>
      <c r="Y75" s="192">
        <f t="shared" si="41"/>
        <v>1814.1411249999996</v>
      </c>
      <c r="Z75" s="192">
        <f t="shared" si="41"/>
        <v>0</v>
      </c>
      <c r="AA75" s="193">
        <f t="shared" si="41"/>
        <v>53.714517241379312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71.75+718.45+165.42</f>
        <v>955.62</v>
      </c>
      <c r="R78" s="82">
        <v>7.4999999999999997E-3</v>
      </c>
      <c r="S78" s="194">
        <f>+(P78+Q78)*R78</f>
        <v>7.1671499999999995</v>
      </c>
      <c r="T78" s="254">
        <f>+(P78+Q78)-S78</f>
        <v>948.45285000000001</v>
      </c>
      <c r="U78" s="211">
        <f>5.39+11.51</f>
        <v>16.899999999999999</v>
      </c>
      <c r="V78" s="112"/>
      <c r="W78" s="113">
        <v>1.4999999999999999E-2</v>
      </c>
      <c r="X78" s="196">
        <f>+(U78+V78)*W78</f>
        <v>0.25349999999999995</v>
      </c>
      <c r="Y78" s="254">
        <f>+(U78+V78)-X78</f>
        <v>16.6465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f>193.09+32.26+424.05+142.38</f>
        <v>791.78</v>
      </c>
      <c r="R79" s="82">
        <v>7.4999999999999997E-3</v>
      </c>
      <c r="S79" s="194">
        <f t="shared" ref="S79:S97" si="43">+(P79+Q79)*R79</f>
        <v>5.9383499999999998</v>
      </c>
      <c r="T79" s="254">
        <f t="shared" ref="T79:T97" si="44">+(P79+Q79)-S79</f>
        <v>785.84164999999996</v>
      </c>
      <c r="U79" s="211">
        <f>21.88+32.81</f>
        <v>54.69</v>
      </c>
      <c r="V79" s="112"/>
      <c r="W79" s="113">
        <v>1.4999999999999999E-2</v>
      </c>
      <c r="X79" s="196">
        <f t="shared" ref="X79:X97" si="45">+(U79+V79)*W79</f>
        <v>0.82034999999999991</v>
      </c>
      <c r="Y79" s="217">
        <f t="shared" ref="Y79:Y97" si="46">+(U79+V79)-X79</f>
        <v>53.86965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465.53+458.32</f>
        <v>923.84999999999991</v>
      </c>
      <c r="R80" s="82">
        <v>7.4999999999999997E-3</v>
      </c>
      <c r="S80" s="194">
        <f t="shared" si="43"/>
        <v>6.9288749999999988</v>
      </c>
      <c r="T80" s="219">
        <f t="shared" si="44"/>
        <v>916.92112499999996</v>
      </c>
      <c r="U80" s="211">
        <f>9.58</f>
        <v>9.58</v>
      </c>
      <c r="V80" s="112"/>
      <c r="W80" s="113">
        <v>1.4999999999999999E-2</v>
      </c>
      <c r="X80" s="196">
        <f t="shared" si="45"/>
        <v>0.14369999999999999</v>
      </c>
      <c r="Y80" s="217">
        <f t="shared" si="46"/>
        <v>9.4362999999999992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730.82+210.14</f>
        <v>940.96</v>
      </c>
      <c r="R81" s="82">
        <v>7.4999999999999997E-3</v>
      </c>
      <c r="S81" s="194">
        <f t="shared" si="43"/>
        <v>7.0571999999999999</v>
      </c>
      <c r="T81" s="219">
        <f t="shared" si="44"/>
        <v>933.90280000000007</v>
      </c>
      <c r="U81" s="211">
        <f>34.62</f>
        <v>34.619999999999997</v>
      </c>
      <c r="V81" s="112"/>
      <c r="W81" s="113">
        <v>1.4999999999999999E-2</v>
      </c>
      <c r="X81" s="196">
        <f t="shared" si="45"/>
        <v>0.51929999999999998</v>
      </c>
      <c r="Y81" s="254">
        <f t="shared" si="46"/>
        <v>34.100699999999996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554.53+176.63</f>
        <v>731.16</v>
      </c>
      <c r="R82" s="82">
        <v>7.4999999999999997E-3</v>
      </c>
      <c r="S82" s="194">
        <f t="shared" si="43"/>
        <v>5.4836999999999998</v>
      </c>
      <c r="T82" s="254">
        <f t="shared" si="44"/>
        <v>725.67629999999997</v>
      </c>
      <c r="U82" s="211">
        <v>73.23</v>
      </c>
      <c r="V82" s="112"/>
      <c r="W82" s="113">
        <v>1.4999999999999999E-2</v>
      </c>
      <c r="X82" s="196">
        <f t="shared" si="45"/>
        <v>1.0984499999999999</v>
      </c>
      <c r="Y82" s="254">
        <f t="shared" si="46"/>
        <v>72.131550000000004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54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5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58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58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217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4343.37</v>
      </c>
      <c r="R98" s="111"/>
      <c r="S98" s="195">
        <f>SUM(S78:S97)</f>
        <v>32.575274999999998</v>
      </c>
      <c r="T98" s="195">
        <f>SUM(T78:T97)</f>
        <v>4310.7947249999997</v>
      </c>
      <c r="U98" s="114">
        <f>SUM(U78:U97)</f>
        <v>189.01999999999998</v>
      </c>
      <c r="V98" s="114">
        <f>SUM(V78:V97)</f>
        <v>0</v>
      </c>
      <c r="W98" s="112"/>
      <c r="X98" s="197">
        <f>SUM(X78:X97)</f>
        <v>2.8352999999999993</v>
      </c>
      <c r="Y98" s="197">
        <f>SUM(Y78:Y97)</f>
        <v>186.18469999999999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972.52</v>
      </c>
      <c r="Q101" s="84"/>
    </row>
    <row r="102" spans="14:30" x14ac:dyDescent="0.25">
      <c r="N102" s="85"/>
      <c r="O102" s="84"/>
      <c r="P102" s="84"/>
      <c r="Q102" s="84"/>
    </row>
    <row r="103" spans="14:30" x14ac:dyDescent="0.25">
      <c r="N103" s="85"/>
      <c r="O103" s="84"/>
      <c r="P103" s="233"/>
      <c r="Q103" s="84"/>
    </row>
    <row r="104" spans="14:30" x14ac:dyDescent="0.25">
      <c r="N104" s="85"/>
      <c r="O104" s="84"/>
      <c r="P104" s="215">
        <f>P79+Q79+U79</f>
        <v>846.47</v>
      </c>
      <c r="Q104" s="84"/>
    </row>
    <row r="105" spans="14:30" x14ac:dyDescent="0.25">
      <c r="N105" s="85"/>
      <c r="O105" s="84"/>
      <c r="P105" s="215">
        <f>P80+Q80+U80</f>
        <v>933.43</v>
      </c>
      <c r="Q105" s="84"/>
    </row>
    <row r="106" spans="14:30" x14ac:dyDescent="0.25">
      <c r="N106" s="85"/>
      <c r="O106" s="84"/>
      <c r="P106" s="215">
        <f>P81+U81+Q81</f>
        <v>975.58</v>
      </c>
      <c r="Q106" s="84"/>
    </row>
    <row r="107" spans="14:30" x14ac:dyDescent="0.25">
      <c r="N107" s="85"/>
      <c r="O107" s="84"/>
      <c r="P107" s="215">
        <f t="shared" ref="P107:P112" si="50">P82+Q82+U82</f>
        <v>804.39</v>
      </c>
      <c r="Q107" s="84"/>
    </row>
    <row r="108" spans="14:30" x14ac:dyDescent="0.25">
      <c r="N108" s="85"/>
      <c r="O108" s="84"/>
      <c r="P108" s="215">
        <f>P83+Q83+U83</f>
        <v>0</v>
      </c>
      <c r="Q108" s="84"/>
    </row>
    <row r="109" spans="14:30" x14ac:dyDescent="0.25">
      <c r="N109" s="85"/>
      <c r="O109" s="84"/>
      <c r="P109" s="246">
        <f t="shared" si="50"/>
        <v>0</v>
      </c>
      <c r="Q109" s="84"/>
    </row>
    <row r="110" spans="14:30" x14ac:dyDescent="0.25">
      <c r="N110" s="85"/>
      <c r="O110" s="84"/>
      <c r="P110" s="246">
        <f t="shared" si="50"/>
        <v>0</v>
      </c>
      <c r="Q110" s="84"/>
    </row>
    <row r="111" spans="14:30" x14ac:dyDescent="0.25">
      <c r="N111" s="85"/>
      <c r="O111" s="84"/>
      <c r="P111" s="84">
        <f>P86+Q86+U86</f>
        <v>0</v>
      </c>
      <c r="Q111" s="84"/>
    </row>
    <row r="112" spans="14:30" x14ac:dyDescent="0.25">
      <c r="N112" s="85"/>
      <c r="P112" s="85">
        <f t="shared" si="50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41" zoomScale="90" zoomScaleNormal="90" workbookViewId="0">
      <selection activeCell="L71" sqref="L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30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44784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5.95</v>
      </c>
      <c r="C8" s="85" t="s">
        <v>92</v>
      </c>
      <c r="D8" s="108"/>
    </row>
    <row r="9" spans="1:28" x14ac:dyDescent="0.25">
      <c r="A9" s="7" t="s">
        <v>76</v>
      </c>
      <c r="B9" s="108">
        <v>5.92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1434</v>
      </c>
      <c r="C12" s="15"/>
      <c r="D12" s="56"/>
      <c r="E12" s="16"/>
      <c r="F12" s="56"/>
      <c r="G12" s="56"/>
      <c r="H12" s="17"/>
      <c r="I12" s="83">
        <v>1424</v>
      </c>
      <c r="J12" s="81">
        <f>B12-I12</f>
        <v>10</v>
      </c>
      <c r="K12" s="75"/>
      <c r="L12" s="186">
        <f>+G12-K12</f>
        <v>0</v>
      </c>
      <c r="M12" s="106"/>
      <c r="N12" s="104">
        <v>1</v>
      </c>
      <c r="O12" s="152" t="s">
        <v>188</v>
      </c>
      <c r="P12" s="266">
        <v>224</v>
      </c>
      <c r="Q12" s="266">
        <v>11</v>
      </c>
      <c r="R12" s="267">
        <v>1001.38</v>
      </c>
      <c r="S12" s="268"/>
      <c r="T12" s="268"/>
      <c r="U12" s="189">
        <f>((T12/U$10)*U$9)</f>
        <v>0</v>
      </c>
      <c r="V12" s="189">
        <f>R12*V$10</f>
        <v>7.5103499999999999</v>
      </c>
      <c r="W12" s="189">
        <f>+S12*V$10</f>
        <v>0</v>
      </c>
      <c r="X12" s="189">
        <f>+T12*X$10</f>
        <v>0</v>
      </c>
      <c r="Y12" s="189">
        <f>R12-V12</f>
        <v>993.86964999999998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426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426</v>
      </c>
      <c r="K13" s="75"/>
      <c r="L13" s="186">
        <f t="shared" ref="L13:L42" si="1">+G13-K13</f>
        <v>0</v>
      </c>
      <c r="M13" s="106"/>
      <c r="N13" s="104">
        <v>2</v>
      </c>
      <c r="O13" s="152" t="s">
        <v>188</v>
      </c>
      <c r="P13" s="266">
        <v>225</v>
      </c>
      <c r="Q13" s="266">
        <v>11</v>
      </c>
      <c r="R13" s="267">
        <v>787.13</v>
      </c>
      <c r="S13" s="268"/>
      <c r="T13" s="269">
        <v>9</v>
      </c>
      <c r="U13" s="189">
        <f t="shared" ref="U13:U41" si="2">((T13/U$10)*U$9)</f>
        <v>0.38793103448275867</v>
      </c>
      <c r="V13" s="189">
        <f t="shared" ref="V13:V41" si="3">R13*V$10</f>
        <v>5.9034749999999994</v>
      </c>
      <c r="W13" s="189">
        <f t="shared" ref="W13:W41" si="4">+S13*V$10</f>
        <v>0</v>
      </c>
      <c r="X13" s="189">
        <f t="shared" ref="X13:X41" si="5">+T13*X$10</f>
        <v>0.22500000000000001</v>
      </c>
      <c r="Y13" s="189">
        <f t="shared" ref="Y13:Z41" si="6">R13-V13</f>
        <v>781.22652500000004</v>
      </c>
      <c r="Z13" s="189">
        <f t="shared" si="6"/>
        <v>0</v>
      </c>
      <c r="AA13" s="189">
        <f t="shared" ref="AA13:AA41" si="7">T13-U13-X13</f>
        <v>8.3870689655172423</v>
      </c>
      <c r="AB13" s="156"/>
    </row>
    <row r="14" spans="1:28" ht="15.75" x14ac:dyDescent="0.25">
      <c r="A14" s="86" t="s">
        <v>81</v>
      </c>
      <c r="B14" s="57">
        <f>B13*B8</f>
        <v>2534.7000000000003</v>
      </c>
      <c r="C14" s="15"/>
      <c r="D14" s="56"/>
      <c r="E14" s="16"/>
      <c r="F14" s="56"/>
      <c r="G14" s="56"/>
      <c r="H14" s="17"/>
      <c r="I14" s="83"/>
      <c r="J14" s="81">
        <f t="shared" si="0"/>
        <v>2534.7000000000003</v>
      </c>
      <c r="K14" s="80"/>
      <c r="L14" s="186">
        <f t="shared" si="1"/>
        <v>0</v>
      </c>
      <c r="M14" s="107"/>
      <c r="N14" s="104">
        <v>3</v>
      </c>
      <c r="O14" s="152" t="s">
        <v>188</v>
      </c>
      <c r="P14" s="266">
        <v>608</v>
      </c>
      <c r="Q14" s="266">
        <v>2</v>
      </c>
      <c r="R14" s="267">
        <v>1102.82</v>
      </c>
      <c r="S14" s="268"/>
      <c r="T14" s="269"/>
      <c r="U14" s="189">
        <f t="shared" si="2"/>
        <v>0</v>
      </c>
      <c r="V14" s="189">
        <f t="shared" si="3"/>
        <v>8.2711499999999987</v>
      </c>
      <c r="W14" s="189">
        <f t="shared" si="4"/>
        <v>0</v>
      </c>
      <c r="X14" s="189">
        <f t="shared" si="5"/>
        <v>0</v>
      </c>
      <c r="Y14" s="189">
        <f t="shared" si="6"/>
        <v>1094.5488499999999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1372</v>
      </c>
      <c r="C15" s="15"/>
      <c r="D15" s="56"/>
      <c r="E15" s="16"/>
      <c r="F15" s="56"/>
      <c r="G15" s="56"/>
      <c r="H15" s="17"/>
      <c r="I15" s="83"/>
      <c r="J15" s="81">
        <f t="shared" si="0"/>
        <v>1372</v>
      </c>
      <c r="K15" s="80"/>
      <c r="L15" s="186">
        <f t="shared" si="1"/>
        <v>0</v>
      </c>
      <c r="M15" s="107"/>
      <c r="N15" s="104">
        <v>4</v>
      </c>
      <c r="O15" s="152" t="s">
        <v>188</v>
      </c>
      <c r="P15" s="266">
        <v>609</v>
      </c>
      <c r="Q15" s="266">
        <v>2</v>
      </c>
      <c r="R15" s="267">
        <v>1833.98</v>
      </c>
      <c r="S15" s="268"/>
      <c r="T15" s="269">
        <v>17.29</v>
      </c>
      <c r="U15" s="189">
        <f t="shared" si="2"/>
        <v>0.7452586206896552</v>
      </c>
      <c r="V15" s="189">
        <f t="shared" si="3"/>
        <v>13.754849999999999</v>
      </c>
      <c r="W15" s="189">
        <f t="shared" si="4"/>
        <v>0</v>
      </c>
      <c r="X15" s="189">
        <f t="shared" si="5"/>
        <v>0.43225000000000002</v>
      </c>
      <c r="Y15" s="189">
        <f t="shared" si="6"/>
        <v>1820.22515</v>
      </c>
      <c r="Z15" s="189">
        <f t="shared" si="6"/>
        <v>0</v>
      </c>
      <c r="AA15" s="189">
        <f t="shared" si="7"/>
        <v>16.112491379310345</v>
      </c>
      <c r="AB15" s="156"/>
    </row>
    <row r="16" spans="1:28" ht="15.75" x14ac:dyDescent="0.25">
      <c r="A16" s="86" t="s">
        <v>81</v>
      </c>
      <c r="B16" s="57">
        <f>B15*B9</f>
        <v>8122.24</v>
      </c>
      <c r="C16" s="15"/>
      <c r="D16" s="56"/>
      <c r="E16" s="16"/>
      <c r="F16" s="56"/>
      <c r="G16" s="56"/>
      <c r="H16" s="17"/>
      <c r="I16" s="83"/>
      <c r="J16" s="81">
        <f t="shared" si="0"/>
        <v>8122.24</v>
      </c>
      <c r="K16" s="80"/>
      <c r="L16" s="186">
        <f t="shared" si="1"/>
        <v>0</v>
      </c>
      <c r="M16" s="107"/>
      <c r="N16" s="104">
        <v>5</v>
      </c>
      <c r="O16" s="152" t="s">
        <v>188</v>
      </c>
      <c r="P16" s="266">
        <v>588</v>
      </c>
      <c r="Q16" s="266">
        <v>4</v>
      </c>
      <c r="R16" s="267">
        <v>280.16000000000003</v>
      </c>
      <c r="S16" s="268"/>
      <c r="T16" s="269"/>
      <c r="U16" s="189">
        <f t="shared" si="2"/>
        <v>0</v>
      </c>
      <c r="V16" s="189">
        <f t="shared" si="3"/>
        <v>2.1012</v>
      </c>
      <c r="W16" s="189">
        <f t="shared" si="4"/>
        <v>0</v>
      </c>
      <c r="X16" s="189">
        <f t="shared" si="5"/>
        <v>0</v>
      </c>
      <c r="Y16" s="189">
        <f t="shared" si="6"/>
        <v>278.05880000000002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188</v>
      </c>
      <c r="P17" s="266">
        <v>589</v>
      </c>
      <c r="Q17" s="266">
        <v>4</v>
      </c>
      <c r="R17" s="267">
        <v>1670.86</v>
      </c>
      <c r="S17" s="268"/>
      <c r="T17" s="269">
        <v>10.01</v>
      </c>
      <c r="U17" s="189">
        <f t="shared" si="2"/>
        <v>0.43146551724137938</v>
      </c>
      <c r="V17" s="189">
        <f t="shared" si="3"/>
        <v>12.53145</v>
      </c>
      <c r="W17" s="189">
        <f t="shared" si="4"/>
        <v>0</v>
      </c>
      <c r="X17" s="189">
        <f t="shared" si="5"/>
        <v>0.25025000000000003</v>
      </c>
      <c r="Y17" s="189">
        <f t="shared" si="6"/>
        <v>1658.32855</v>
      </c>
      <c r="Z17" s="189">
        <f t="shared" si="6"/>
        <v>0</v>
      </c>
      <c r="AA17" s="189">
        <f t="shared" si="7"/>
        <v>9.3282844827586207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188</v>
      </c>
      <c r="P18" s="266">
        <v>226</v>
      </c>
      <c r="Q18" s="266">
        <v>10</v>
      </c>
      <c r="R18" s="267">
        <v>865.43</v>
      </c>
      <c r="S18" s="268"/>
      <c r="T18" s="269">
        <v>136.11000000000001</v>
      </c>
      <c r="U18" s="189">
        <f t="shared" si="2"/>
        <v>5.8668103448275879</v>
      </c>
      <c r="V18" s="189">
        <f t="shared" si="3"/>
        <v>6.4907249999999994</v>
      </c>
      <c r="W18" s="189">
        <f t="shared" si="4"/>
        <v>0</v>
      </c>
      <c r="X18" s="189">
        <f t="shared" si="5"/>
        <v>3.4027500000000006</v>
      </c>
      <c r="Y18" s="189">
        <f t="shared" si="6"/>
        <v>858.93927499999995</v>
      </c>
      <c r="Z18" s="189">
        <f t="shared" si="6"/>
        <v>0</v>
      </c>
      <c r="AA18" s="189">
        <f t="shared" si="7"/>
        <v>126.84043965517242</v>
      </c>
      <c r="AB18" s="156"/>
    </row>
    <row r="19" spans="1:28" ht="15.75" x14ac:dyDescent="0.25">
      <c r="A19" s="93" t="s">
        <v>79</v>
      </c>
      <c r="B19" s="97">
        <f>+B13+B15+B17</f>
        <v>1798</v>
      </c>
      <c r="C19" s="95"/>
      <c r="D19" s="94"/>
      <c r="E19" s="96"/>
      <c r="F19" s="94"/>
      <c r="G19" s="94"/>
      <c r="H19" s="98"/>
      <c r="I19" s="99">
        <v>1798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188</v>
      </c>
      <c r="P19" s="266">
        <v>225</v>
      </c>
      <c r="Q19" s="266">
        <v>10</v>
      </c>
      <c r="R19" s="267">
        <v>647.11</v>
      </c>
      <c r="S19" s="268"/>
      <c r="T19" s="269"/>
      <c r="U19" s="189">
        <f t="shared" si="2"/>
        <v>0</v>
      </c>
      <c r="V19" s="189">
        <f t="shared" si="3"/>
        <v>4.8533249999999999</v>
      </c>
      <c r="W19" s="189">
        <f t="shared" si="4"/>
        <v>0</v>
      </c>
      <c r="X19" s="189">
        <f t="shared" si="5"/>
        <v>0</v>
      </c>
      <c r="Y19" s="189">
        <f t="shared" si="6"/>
        <v>642.25667499999997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10656.94</v>
      </c>
      <c r="C20" s="95"/>
      <c r="D20" s="94"/>
      <c r="E20" s="96"/>
      <c r="F20" s="94"/>
      <c r="G20" s="94"/>
      <c r="H20" s="98"/>
      <c r="I20" s="99"/>
      <c r="J20" s="185">
        <f t="shared" si="0"/>
        <v>10656.94</v>
      </c>
      <c r="K20" s="99"/>
      <c r="L20" s="187">
        <f t="shared" si="1"/>
        <v>0</v>
      </c>
      <c r="M20" s="107"/>
      <c r="N20" s="104">
        <v>9</v>
      </c>
      <c r="O20" s="152" t="s">
        <v>188</v>
      </c>
      <c r="P20" s="266">
        <v>678</v>
      </c>
      <c r="Q20" s="266">
        <v>18</v>
      </c>
      <c r="R20" s="267">
        <v>188.72</v>
      </c>
      <c r="S20" s="268"/>
      <c r="T20" s="269">
        <v>4.1900000000000004</v>
      </c>
      <c r="U20" s="189">
        <f t="shared" si="2"/>
        <v>0.18060344827586211</v>
      </c>
      <c r="V20" s="189">
        <f t="shared" si="3"/>
        <v>1.4154</v>
      </c>
      <c r="W20" s="189">
        <f t="shared" si="4"/>
        <v>0</v>
      </c>
      <c r="X20" s="189">
        <f t="shared" si="5"/>
        <v>0.10475000000000001</v>
      </c>
      <c r="Y20" s="189">
        <f t="shared" si="6"/>
        <v>187.30459999999999</v>
      </c>
      <c r="Z20" s="189">
        <f t="shared" si="6"/>
        <v>0</v>
      </c>
      <c r="AA20" s="189">
        <f t="shared" si="7"/>
        <v>3.904646551724138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188</v>
      </c>
      <c r="P21" s="266">
        <v>679</v>
      </c>
      <c r="Q21" s="266">
        <v>18</v>
      </c>
      <c r="R21" s="267">
        <v>688.21</v>
      </c>
      <c r="S21" s="268"/>
      <c r="T21" s="269">
        <v>20.66</v>
      </c>
      <c r="U21" s="189">
        <f t="shared" si="2"/>
        <v>0.89051724137931054</v>
      </c>
      <c r="V21" s="189">
        <f t="shared" si="3"/>
        <v>5.161575</v>
      </c>
      <c r="W21" s="189">
        <f t="shared" si="4"/>
        <v>0</v>
      </c>
      <c r="X21" s="189">
        <f t="shared" si="5"/>
        <v>0.51650000000000007</v>
      </c>
      <c r="Y21" s="189">
        <f t="shared" si="6"/>
        <v>683.04842500000007</v>
      </c>
      <c r="Z21" s="189">
        <f t="shared" si="6"/>
        <v>0</v>
      </c>
      <c r="AA21" s="189">
        <f t="shared" si="7"/>
        <v>19.252982758620689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188</v>
      </c>
      <c r="P22" s="266"/>
      <c r="Q22" s="266"/>
      <c r="R22" s="270"/>
      <c r="S22" s="268"/>
      <c r="T22" s="268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266"/>
      <c r="Q23" s="266"/>
      <c r="R23" s="270"/>
      <c r="S23" s="268"/>
      <c r="T23" s="268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266"/>
      <c r="Q24" s="266"/>
      <c r="R24" s="270"/>
      <c r="S24" s="268"/>
      <c r="T24" s="268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266"/>
      <c r="Q25" s="266"/>
      <c r="R25" s="270"/>
      <c r="S25" s="268"/>
      <c r="T25" s="268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266"/>
      <c r="Q26" s="266"/>
      <c r="R26" s="270"/>
      <c r="S26" s="268"/>
      <c r="T26" s="268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266"/>
      <c r="Q27" s="266"/>
      <c r="R27" s="270"/>
      <c r="S27" s="268"/>
      <c r="T27" s="268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266"/>
      <c r="Q28" s="266"/>
      <c r="R28" s="268"/>
      <c r="S28" s="268"/>
      <c r="T28" s="268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266"/>
      <c r="Q29" s="266"/>
      <c r="R29" s="268"/>
      <c r="S29" s="268"/>
      <c r="T29" s="268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17.77</v>
      </c>
      <c r="C39" s="100"/>
      <c r="D39" s="66"/>
      <c r="E39" s="67"/>
      <c r="F39" s="66"/>
      <c r="G39" s="66"/>
      <c r="H39" s="102"/>
      <c r="I39" s="79"/>
      <c r="J39" s="81">
        <f t="shared" si="0"/>
        <v>17.77</v>
      </c>
      <c r="K39" s="80"/>
      <c r="L39" s="186">
        <f t="shared" si="8"/>
        <v>-17.77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105.19839999999999</v>
      </c>
      <c r="C40" s="100"/>
      <c r="D40" s="66"/>
      <c r="E40" s="67"/>
      <c r="F40" s="66"/>
      <c r="G40" s="66"/>
      <c r="H40" s="102"/>
      <c r="I40" s="79"/>
      <c r="J40" s="81">
        <f t="shared" si="0"/>
        <v>105.19839999999999</v>
      </c>
      <c r="K40" s="80"/>
      <c r="L40" s="186">
        <f t="shared" si="8"/>
        <v>-105.19839999999999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9065.7999999999993</v>
      </c>
      <c r="S42" s="190">
        <f t="shared" si="9"/>
        <v>0</v>
      </c>
      <c r="T42" s="190">
        <f t="shared" si="9"/>
        <v>197.26000000000002</v>
      </c>
      <c r="U42" s="190">
        <f t="shared" si="9"/>
        <v>8.5025862068965541</v>
      </c>
      <c r="V42" s="190">
        <f t="shared" si="9"/>
        <v>67.993499999999997</v>
      </c>
      <c r="W42" s="190">
        <f t="shared" si="9"/>
        <v>0</v>
      </c>
      <c r="X42" s="190">
        <f t="shared" si="9"/>
        <v>4.9315000000000007</v>
      </c>
      <c r="Y42" s="190">
        <f t="shared" si="9"/>
        <v>8997.8065000000006</v>
      </c>
      <c r="Z42" s="190">
        <f t="shared" si="9"/>
        <v>0</v>
      </c>
      <c r="AA42" s="190">
        <f t="shared" si="9"/>
        <v>183.82591379310344</v>
      </c>
      <c r="AB42" s="166"/>
    </row>
    <row r="43" spans="1:28" ht="15.75" x14ac:dyDescent="0.25">
      <c r="A43" s="93" t="s">
        <v>101</v>
      </c>
      <c r="B43" s="97">
        <f>+B37+B39+B41</f>
        <v>17.77</v>
      </c>
      <c r="C43" s="95"/>
      <c r="D43" s="94"/>
      <c r="E43" s="96"/>
      <c r="F43" s="94"/>
      <c r="G43" s="94"/>
      <c r="H43" s="98"/>
      <c r="I43" s="99">
        <v>17.77</v>
      </c>
      <c r="J43" s="185">
        <f t="shared" si="0"/>
        <v>0</v>
      </c>
      <c r="K43" s="99"/>
      <c r="L43" s="187">
        <f>K43-B43</f>
        <v>-17.77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105.19839999999999</v>
      </c>
      <c r="C44" s="95"/>
      <c r="D44" s="94"/>
      <c r="E44" s="96"/>
      <c r="F44" s="94"/>
      <c r="G44" s="94"/>
      <c r="H44" s="98"/>
      <c r="I44" s="99"/>
      <c r="J44" s="185">
        <f t="shared" si="0"/>
        <v>105.19839999999999</v>
      </c>
      <c r="K44" s="99"/>
      <c r="L44" s="187">
        <f>K44-B44</f>
        <v>-105.19839999999999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9065.7999999999993</v>
      </c>
      <c r="C46" s="116">
        <v>7.4999999999999997E-3</v>
      </c>
      <c r="D46" s="117">
        <f>B46*C46</f>
        <v>67.993499999999997</v>
      </c>
      <c r="E46" s="172">
        <v>0</v>
      </c>
      <c r="F46" s="117">
        <f t="shared" ref="F46:F50" si="16">D46*E46</f>
        <v>0</v>
      </c>
      <c r="G46" s="117">
        <f t="shared" ref="G46:G51" si="17">B46-D46-F46</f>
        <v>8997.8064999999988</v>
      </c>
      <c r="H46" s="173">
        <f>B$6+1</f>
        <v>44785</v>
      </c>
      <c r="I46" s="174">
        <v>9065.7999999999993</v>
      </c>
      <c r="J46" s="81">
        <f t="shared" si="0"/>
        <v>0</v>
      </c>
      <c r="K46" s="80">
        <v>9018.19</v>
      </c>
      <c r="L46" s="186">
        <f t="shared" ref="L46:L64" si="18">+G46-K46</f>
        <v>-20.383500000001732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44785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26.98</v>
      </c>
      <c r="C48" s="116">
        <v>7.4999999999999997E-3</v>
      </c>
      <c r="D48" s="117">
        <f t="shared" si="19"/>
        <v>0.20235</v>
      </c>
      <c r="E48" s="172">
        <v>0</v>
      </c>
      <c r="F48" s="117">
        <f t="shared" si="16"/>
        <v>0</v>
      </c>
      <c r="G48" s="117">
        <f t="shared" si="17"/>
        <v>26.777650000000001</v>
      </c>
      <c r="H48" s="173">
        <f t="shared" ref="H48:H61" si="20">B$6+1</f>
        <v>44785</v>
      </c>
      <c r="I48" s="219">
        <v>26.98</v>
      </c>
      <c r="J48" s="81">
        <f t="shared" si="0"/>
        <v>0</v>
      </c>
      <c r="K48" s="80"/>
      <c r="L48" s="186">
        <f t="shared" si="18"/>
        <v>26.777650000000001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203</v>
      </c>
      <c r="B49" s="117">
        <f>R75</f>
        <v>3405.41</v>
      </c>
      <c r="C49" s="116">
        <v>7.4999999999999997E-3</v>
      </c>
      <c r="D49" s="117">
        <f t="shared" si="19"/>
        <v>25.540574999999997</v>
      </c>
      <c r="E49" s="172">
        <v>0</v>
      </c>
      <c r="F49" s="117">
        <f t="shared" si="16"/>
        <v>0</v>
      </c>
      <c r="G49" s="117">
        <f t="shared" si="17"/>
        <v>3379.8694249999999</v>
      </c>
      <c r="H49" s="173">
        <f t="shared" si="20"/>
        <v>44785</v>
      </c>
      <c r="I49" s="176">
        <v>3405.41</v>
      </c>
      <c r="J49" s="81">
        <f t="shared" si="0"/>
        <v>0</v>
      </c>
      <c r="K49" s="80">
        <v>3379.87</v>
      </c>
      <c r="L49" s="186">
        <f t="shared" si="18"/>
        <v>-5.7500000002619345E-4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2485.6400000000003</v>
      </c>
      <c r="C50" s="116">
        <v>7.4999999999999997E-3</v>
      </c>
      <c r="D50" s="117">
        <f t="shared" si="19"/>
        <v>18.642300000000002</v>
      </c>
      <c r="E50" s="172">
        <v>0</v>
      </c>
      <c r="F50" s="117">
        <f t="shared" si="16"/>
        <v>0</v>
      </c>
      <c r="G50" s="117">
        <f t="shared" si="17"/>
        <v>2466.9977000000003</v>
      </c>
      <c r="H50" s="173">
        <f t="shared" si="20"/>
        <v>44785</v>
      </c>
      <c r="I50" s="175">
        <v>2882.72</v>
      </c>
      <c r="J50" s="81">
        <f t="shared" si="0"/>
        <v>-397.07999999999947</v>
      </c>
      <c r="K50" s="80">
        <v>2467</v>
      </c>
      <c r="L50" s="186">
        <f t="shared" si="18"/>
        <v>-2.2999999996500264E-3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397.08</v>
      </c>
      <c r="C51" s="116">
        <v>1.4999999999999999E-2</v>
      </c>
      <c r="D51" s="117">
        <f>+B51*C51</f>
        <v>5.9561999999999999</v>
      </c>
      <c r="E51" s="172">
        <v>0</v>
      </c>
      <c r="F51" s="117">
        <f>D51*E51</f>
        <v>0</v>
      </c>
      <c r="G51" s="117">
        <f t="shared" si="17"/>
        <v>391.12379999999996</v>
      </c>
      <c r="H51" s="173">
        <f t="shared" si="20"/>
        <v>44785</v>
      </c>
      <c r="I51" s="175"/>
      <c r="J51" s="81">
        <f t="shared" si="0"/>
        <v>397.08</v>
      </c>
      <c r="K51" s="80">
        <v>391.12</v>
      </c>
      <c r="L51" s="186">
        <f t="shared" si="18"/>
        <v>3.7999999999556167E-3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197.26000000000002</v>
      </c>
      <c r="C52" s="116">
        <v>2.5000000000000001E-2</v>
      </c>
      <c r="D52" s="117">
        <f>B52*C52</f>
        <v>4.9315000000000007</v>
      </c>
      <c r="E52" s="172">
        <v>0.05</v>
      </c>
      <c r="F52" s="117">
        <f>(B52/E$10)*E52</f>
        <v>8.5025862068965541</v>
      </c>
      <c r="G52" s="117">
        <f>B52-D52-F52</f>
        <v>183.82591379310347</v>
      </c>
      <c r="H52" s="188">
        <f t="shared" si="20"/>
        <v>44785</v>
      </c>
      <c r="I52" s="176">
        <v>197.26</v>
      </c>
      <c r="J52" s="81">
        <f t="shared" si="0"/>
        <v>0</v>
      </c>
      <c r="K52" s="80">
        <v>164.58</v>
      </c>
      <c r="L52" s="186">
        <f t="shared" si="18"/>
        <v>19.245913793103455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44785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44785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44785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207</v>
      </c>
      <c r="B56" s="117">
        <f>T75</f>
        <v>420.05</v>
      </c>
      <c r="C56" s="116">
        <v>2.5000000000000001E-2</v>
      </c>
      <c r="D56" s="117">
        <f t="shared" si="21"/>
        <v>10.501250000000001</v>
      </c>
      <c r="E56" s="172">
        <v>0.05</v>
      </c>
      <c r="F56" s="117">
        <f t="shared" si="22"/>
        <v>18.105603448275865</v>
      </c>
      <c r="G56" s="117">
        <f t="shared" si="23"/>
        <v>391.44314655172411</v>
      </c>
      <c r="H56" s="173">
        <f t="shared" si="20"/>
        <v>44785</v>
      </c>
      <c r="I56" s="176">
        <v>420.05</v>
      </c>
      <c r="J56" s="81">
        <f t="shared" si="0"/>
        <v>0</v>
      </c>
      <c r="K56" s="80"/>
      <c r="L56" s="186">
        <f t="shared" si="18"/>
        <v>391.44314655172411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44787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44789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44814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133.767675</v>
      </c>
      <c r="E61" s="177"/>
      <c r="F61" s="57">
        <f>SUM(F46:F58)</f>
        <v>26.608189655172417</v>
      </c>
      <c r="G61" s="57">
        <f>SUM(G46:G58)</f>
        <v>15837.844135344827</v>
      </c>
      <c r="H61" s="173">
        <f t="shared" si="20"/>
        <v>44785</v>
      </c>
      <c r="I61" s="175"/>
      <c r="J61" s="81">
        <f t="shared" si="0"/>
        <v>0</v>
      </c>
      <c r="K61" s="80"/>
      <c r="L61" s="186">
        <f t="shared" si="18"/>
        <v>15837.844135344827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>
        <v>0</v>
      </c>
      <c r="G62" s="57"/>
      <c r="H62" s="173">
        <f>B$6+1</f>
        <v>44785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253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31675.688270689654</v>
      </c>
      <c r="H64" s="184"/>
      <c r="I64" s="175"/>
      <c r="J64" s="81">
        <f t="shared" si="0"/>
        <v>0</v>
      </c>
      <c r="K64" s="80"/>
      <c r="L64" s="186">
        <f t="shared" si="18"/>
        <v>31675.688270689654</v>
      </c>
      <c r="M64" s="130"/>
      <c r="N64" s="87">
        <v>1</v>
      </c>
      <c r="O64" s="122" t="s">
        <v>245</v>
      </c>
      <c r="P64" s="87"/>
      <c r="Q64" s="225">
        <v>220</v>
      </c>
      <c r="R64" s="221">
        <v>4.34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3.2549999999999996E-2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4.3074500000000002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28194.358399999997</v>
      </c>
      <c r="G65" s="22"/>
      <c r="L65" s="132"/>
      <c r="M65" s="131"/>
      <c r="N65" s="87">
        <v>2</v>
      </c>
      <c r="O65" s="122" t="s">
        <v>206</v>
      </c>
      <c r="P65" s="87"/>
      <c r="Q65" s="225">
        <v>6569</v>
      </c>
      <c r="R65" s="225">
        <v>22.64</v>
      </c>
      <c r="S65" s="225"/>
      <c r="T65" s="87"/>
      <c r="U65" s="189">
        <f t="shared" si="28"/>
        <v>0</v>
      </c>
      <c r="V65" s="189">
        <f t="shared" si="29"/>
        <v>0.16980000000000001</v>
      </c>
      <c r="W65" s="189">
        <f t="shared" si="30"/>
        <v>0</v>
      </c>
      <c r="X65" s="189">
        <f t="shared" si="31"/>
        <v>0</v>
      </c>
      <c r="Y65" s="189">
        <f t="shared" si="32"/>
        <v>22.470200000000002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206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206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183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312" t="s">
        <v>108</v>
      </c>
      <c r="O69" s="312"/>
      <c r="P69" s="313"/>
      <c r="Q69" s="313"/>
      <c r="R69" s="192">
        <f>SUM(R64:R68)</f>
        <v>26.98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0.20235</v>
      </c>
      <c r="W69" s="192">
        <f t="shared" si="34"/>
        <v>0</v>
      </c>
      <c r="X69" s="192">
        <f t="shared" si="34"/>
        <v>0</v>
      </c>
      <c r="Y69" s="192">
        <f t="shared" si="34"/>
        <v>26.777650000000001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212</v>
      </c>
      <c r="P70" s="251">
        <v>210</v>
      </c>
      <c r="Q70" s="225">
        <v>2001</v>
      </c>
      <c r="R70" s="273">
        <v>852.96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6.3971999999999998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846.56280000000004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28194.358399999997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51">
        <v>59</v>
      </c>
      <c r="Q71" s="225">
        <v>2001</v>
      </c>
      <c r="R71" s="221">
        <v>433.87</v>
      </c>
      <c r="S71" s="225"/>
      <c r="T71" s="225"/>
      <c r="U71" s="189">
        <f t="shared" si="35"/>
        <v>0</v>
      </c>
      <c r="V71" s="189">
        <f t="shared" si="36"/>
        <v>3.2540249999999999</v>
      </c>
      <c r="W71" s="189">
        <f t="shared" si="37"/>
        <v>0</v>
      </c>
      <c r="X71" s="189">
        <f t="shared" si="38"/>
        <v>0</v>
      </c>
      <c r="Y71" s="189">
        <f t="shared" si="39"/>
        <v>430.61597499999999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205</v>
      </c>
      <c r="P72" s="251">
        <v>60</v>
      </c>
      <c r="Q72" s="225">
        <v>2001</v>
      </c>
      <c r="R72" s="221">
        <v>267.52</v>
      </c>
      <c r="S72" s="225"/>
      <c r="T72" s="221"/>
      <c r="U72" s="189">
        <f t="shared" si="35"/>
        <v>0</v>
      </c>
      <c r="V72" s="189">
        <f t="shared" si="36"/>
        <v>2.0063999999999997</v>
      </c>
      <c r="W72" s="189">
        <f t="shared" si="37"/>
        <v>0</v>
      </c>
      <c r="X72" s="189">
        <f t="shared" si="38"/>
        <v>0</v>
      </c>
      <c r="Y72" s="189">
        <f t="shared" si="39"/>
        <v>265.5136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205</v>
      </c>
      <c r="P73" s="274">
        <v>118</v>
      </c>
      <c r="Q73" s="225">
        <v>1001</v>
      </c>
      <c r="R73" s="221">
        <v>1851.06</v>
      </c>
      <c r="S73" s="225"/>
      <c r="T73" s="221">
        <v>420.05</v>
      </c>
      <c r="U73" s="189">
        <f t="shared" si="35"/>
        <v>18.105603448275865</v>
      </c>
      <c r="V73" s="189">
        <f t="shared" si="36"/>
        <v>13.882949999999999</v>
      </c>
      <c r="W73" s="189">
        <f t="shared" si="37"/>
        <v>0</v>
      </c>
      <c r="X73" s="189">
        <f t="shared" si="38"/>
        <v>10.501250000000001</v>
      </c>
      <c r="Y73" s="189">
        <f t="shared" si="39"/>
        <v>1837.17705</v>
      </c>
      <c r="Z73" s="189">
        <f t="shared" si="39"/>
        <v>0</v>
      </c>
      <c r="AA73" s="189">
        <f t="shared" si="40"/>
        <v>391.44314655172411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55" t="s">
        <v>246</v>
      </c>
      <c r="P74" s="250"/>
      <c r="Q74" s="225"/>
      <c r="R74" s="256"/>
      <c r="S74" s="225"/>
      <c r="T74" s="225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3405.41</v>
      </c>
      <c r="S75" s="192"/>
      <c r="T75" s="192">
        <f>SUM(T70:T74)</f>
        <v>420.05</v>
      </c>
      <c r="U75" s="192">
        <f>SUM(U70:U74)</f>
        <v>18.105603448275865</v>
      </c>
      <c r="V75" s="192">
        <f t="shared" ref="V75:AA75" si="42">SUM(V70:V74)</f>
        <v>25.540574999999997</v>
      </c>
      <c r="W75" s="192">
        <f t="shared" si="42"/>
        <v>0</v>
      </c>
      <c r="X75" s="192">
        <f t="shared" si="42"/>
        <v>10.501250000000001</v>
      </c>
      <c r="Y75" s="192">
        <f t="shared" si="42"/>
        <v>3379.8694249999999</v>
      </c>
      <c r="Z75" s="192">
        <f t="shared" si="42"/>
        <v>0</v>
      </c>
      <c r="AA75" s="193">
        <f t="shared" si="42"/>
        <v>391.44314655172411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351.12+11.26+185.43+45.72</f>
        <v>593.53</v>
      </c>
      <c r="R78" s="82">
        <v>7.4999999999999997E-3</v>
      </c>
      <c r="S78" s="194">
        <f>+(P78+Q78)*R78</f>
        <v>4.4514749999999994</v>
      </c>
      <c r="T78" s="272">
        <f>+(P78+Q78)-S78</f>
        <v>589.07852500000001</v>
      </c>
      <c r="U78" s="211">
        <f>29.33+7.93</f>
        <v>37.26</v>
      </c>
      <c r="V78" s="112"/>
      <c r="W78" s="113">
        <v>1.4999999999999999E-2</v>
      </c>
      <c r="X78" s="196">
        <f>+(U78+V78)*W78</f>
        <v>0.55889999999999995</v>
      </c>
      <c r="Y78" s="254">
        <f>+(U78+V78)-X78</f>
        <v>36.701099999999997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221"/>
      <c r="Q79" s="137">
        <f>354.86+10.98+172.3+5.01</f>
        <v>543.15000000000009</v>
      </c>
      <c r="R79" s="82">
        <v>7.4999999999999997E-3</v>
      </c>
      <c r="S79" s="194">
        <f t="shared" ref="S79:S97" si="44">+(P79+Q79)*R79</f>
        <v>4.0736250000000007</v>
      </c>
      <c r="T79" s="272">
        <f t="shared" ref="T79:T97" si="45">+(P79+Q79)-S79</f>
        <v>539.0763750000001</v>
      </c>
      <c r="U79" s="211">
        <f>134.17+95.96</f>
        <v>230.13</v>
      </c>
      <c r="V79" s="112"/>
      <c r="W79" s="113">
        <v>1.4999999999999999E-2</v>
      </c>
      <c r="X79" s="196">
        <f t="shared" ref="X79:X97" si="46">+(U79+V79)*W79</f>
        <v>3.4519499999999996</v>
      </c>
      <c r="Y79" s="254">
        <f t="shared" ref="Y79:Y97" si="47">+(U79+V79)-X79</f>
        <v>226.67804999999998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147.32+2.75</f>
        <v>150.07</v>
      </c>
      <c r="R80" s="82">
        <v>7.4999999999999997E-3</v>
      </c>
      <c r="S80" s="194">
        <f t="shared" si="44"/>
        <v>1.1255249999999999</v>
      </c>
      <c r="T80" s="272">
        <f t="shared" si="45"/>
        <v>148.94447499999998</v>
      </c>
      <c r="U80" s="211">
        <f>20.9</f>
        <v>20.9</v>
      </c>
      <c r="V80" s="112"/>
      <c r="W80" s="113">
        <v>1.4999999999999999E-2</v>
      </c>
      <c r="X80" s="196">
        <f t="shared" si="46"/>
        <v>0.31349999999999995</v>
      </c>
      <c r="Y80" s="213">
        <f t="shared" si="47"/>
        <v>20.586499999999997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288.7+17.32</f>
        <v>306.02</v>
      </c>
      <c r="R81" s="82">
        <v>7.4999999999999997E-3</v>
      </c>
      <c r="S81" s="194">
        <f t="shared" si="44"/>
        <v>2.2951499999999996</v>
      </c>
      <c r="T81" s="272">
        <f t="shared" si="45"/>
        <v>303.72485</v>
      </c>
      <c r="U81" s="211">
        <f>55.49</f>
        <v>55.49</v>
      </c>
      <c r="V81" s="112"/>
      <c r="W81" s="113">
        <v>1.4999999999999999E-2</v>
      </c>
      <c r="X81" s="196">
        <f t="shared" si="46"/>
        <v>0.83235000000000003</v>
      </c>
      <c r="Y81" s="217">
        <f t="shared" si="47"/>
        <v>54.657650000000004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269.55+623.32</f>
        <v>892.87000000000012</v>
      </c>
      <c r="R82" s="82">
        <v>7.4999999999999997E-3</v>
      </c>
      <c r="S82" s="194">
        <f t="shared" si="44"/>
        <v>6.6965250000000003</v>
      </c>
      <c r="T82" s="272">
        <f t="shared" si="45"/>
        <v>886.17347500000017</v>
      </c>
      <c r="U82" s="211">
        <v>53.3</v>
      </c>
      <c r="V82" s="112"/>
      <c r="W82" s="113">
        <v>1.4999999999999999E-2</v>
      </c>
      <c r="X82" s="196">
        <f t="shared" si="46"/>
        <v>0.79949999999999988</v>
      </c>
      <c r="Y82" s="217">
        <f t="shared" si="47"/>
        <v>52.500499999999995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72">
        <f>+(P83+Q83)-S83</f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4"/>
        <v>0</v>
      </c>
      <c r="T84" s="272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254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72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54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72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54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72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19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217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2485.6400000000003</v>
      </c>
      <c r="R98" s="111"/>
      <c r="S98" s="195">
        <f>SUM(S78:S97)</f>
        <v>18.642299999999999</v>
      </c>
      <c r="T98" s="195">
        <f>SUM(T78:T97)</f>
        <v>2466.9977000000003</v>
      </c>
      <c r="U98" s="114">
        <f>SUM(U78:U97)</f>
        <v>397.08</v>
      </c>
      <c r="V98" s="114">
        <f>SUM(V78:V97)</f>
        <v>0</v>
      </c>
      <c r="W98" s="112"/>
      <c r="X98" s="197">
        <f>SUM(X78:X97)</f>
        <v>5.9561999999999999</v>
      </c>
      <c r="Y98" s="197">
        <f>SUM(Y78:Y97)</f>
        <v>391.12379999999996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630.79</v>
      </c>
      <c r="R102" s="84"/>
    </row>
    <row r="103" spans="14:30" x14ac:dyDescent="0.25">
      <c r="N103" s="85"/>
      <c r="P103" s="84"/>
      <c r="Q103" s="215">
        <f>P79+Q79+U79</f>
        <v>773.28000000000009</v>
      </c>
      <c r="R103" s="84"/>
    </row>
    <row r="104" spans="14:30" x14ac:dyDescent="0.25">
      <c r="N104" s="85"/>
      <c r="P104" s="84"/>
      <c r="Q104" s="215">
        <f>P80+U80+Q80</f>
        <v>170.97</v>
      </c>
      <c r="R104" s="84"/>
    </row>
    <row r="105" spans="14:30" x14ac:dyDescent="0.25">
      <c r="N105" s="85"/>
      <c r="P105" s="84"/>
      <c r="Q105" s="215">
        <f>P81+Q81+U81</f>
        <v>361.51</v>
      </c>
      <c r="R105" s="84"/>
    </row>
    <row r="106" spans="14:30" x14ac:dyDescent="0.25">
      <c r="N106" s="85"/>
      <c r="P106" s="84"/>
      <c r="Q106" s="215">
        <f t="shared" ref="Q106:Q111" si="51">P82+Q82+U82</f>
        <v>946.17000000000007</v>
      </c>
      <c r="R106" s="84"/>
    </row>
    <row r="107" spans="14:30" x14ac:dyDescent="0.25">
      <c r="N107" s="85"/>
      <c r="P107" s="84"/>
      <c r="Q107" s="215">
        <f>P83+Q83+U83</f>
        <v>0</v>
      </c>
      <c r="R107" s="84"/>
    </row>
    <row r="108" spans="14:30" x14ac:dyDescent="0.25">
      <c r="N108" s="85"/>
      <c r="P108" s="84"/>
      <c r="Q108" s="246">
        <f t="shared" si="51"/>
        <v>0</v>
      </c>
      <c r="R108" s="84"/>
    </row>
    <row r="109" spans="14:30" x14ac:dyDescent="0.25">
      <c r="N109" s="85"/>
      <c r="P109" s="84"/>
      <c r="Q109" s="84">
        <f>P85+Q85+U85</f>
        <v>0</v>
      </c>
      <c r="R109" s="84"/>
    </row>
    <row r="110" spans="14:30" x14ac:dyDescent="0.25">
      <c r="N110" s="85"/>
      <c r="P110" s="84"/>
      <c r="Q110" s="84">
        <f t="shared" si="51"/>
        <v>0</v>
      </c>
      <c r="R110" s="84"/>
    </row>
    <row r="111" spans="14:30" x14ac:dyDescent="0.25">
      <c r="N111" s="85"/>
      <c r="Q111" s="84">
        <f t="shared" si="51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89"/>
      <c r="B1" s="293" t="s">
        <v>11</v>
      </c>
      <c r="C1" s="294"/>
      <c r="D1" s="294"/>
      <c r="E1" s="294"/>
      <c r="F1" s="294"/>
      <c r="G1" s="294"/>
      <c r="H1" s="294"/>
      <c r="I1" s="295"/>
    </row>
    <row r="2" spans="1:9" s="5" customFormat="1" ht="16.5" customHeight="1" x14ac:dyDescent="0.25">
      <c r="A2" s="289"/>
      <c r="B2" s="296" t="s">
        <v>146</v>
      </c>
      <c r="C2" s="297"/>
      <c r="D2" s="297"/>
      <c r="E2" s="297"/>
      <c r="F2" s="297"/>
      <c r="G2" s="297"/>
      <c r="H2" s="297"/>
      <c r="I2" s="298"/>
    </row>
    <row r="3" spans="1:9" s="5" customFormat="1" ht="16.5" customHeight="1" x14ac:dyDescent="0.25">
      <c r="A3" s="289"/>
      <c r="B3" s="292"/>
      <c r="C3" s="292"/>
      <c r="D3" s="292"/>
      <c r="E3" s="292"/>
      <c r="F3" s="292"/>
      <c r="G3" s="292"/>
      <c r="H3" s="292"/>
      <c r="I3" s="292"/>
    </row>
    <row r="4" spans="1:9" x14ac:dyDescent="0.25">
      <c r="B4" s="292"/>
      <c r="C4" s="292"/>
      <c r="D4" s="292"/>
      <c r="E4" s="292"/>
      <c r="F4" s="292"/>
      <c r="G4" s="292"/>
    </row>
    <row r="6" spans="1:9" ht="15.75" thickBot="1" x14ac:dyDescent="0.3"/>
    <row r="7" spans="1:9" x14ac:dyDescent="0.25">
      <c r="E7" s="290" t="s">
        <v>13</v>
      </c>
      <c r="F7" s="291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>
        <f>'DIA 1'!B$6</f>
        <v>44774</v>
      </c>
      <c r="B9" s="199">
        <f>+'DIA 1'!G$46</f>
        <v>9262.1489499999989</v>
      </c>
      <c r="C9" s="199">
        <f>+'DIA 1'!G$52</f>
        <v>358.96655172413796</v>
      </c>
      <c r="D9" s="203">
        <f>B9+C9</f>
        <v>9621.1155017241363</v>
      </c>
      <c r="E9" s="204">
        <f>+'DIA 1'!K$46</f>
        <v>9285.19</v>
      </c>
      <c r="F9" s="205">
        <f>+'DIA 1'!K$52</f>
        <v>337.24</v>
      </c>
      <c r="G9" s="206">
        <f>B9-E9</f>
        <v>-23.041050000001633</v>
      </c>
      <c r="H9" s="206">
        <f>C9-F9</f>
        <v>21.726551724137948</v>
      </c>
    </row>
    <row r="10" spans="1:9" x14ac:dyDescent="0.25">
      <c r="A10" s="46">
        <f>'DIA 2'!B$6</f>
        <v>44775</v>
      </c>
      <c r="B10" s="199">
        <f>'DIA 2'!G$46</f>
        <v>6593.0683249999993</v>
      </c>
      <c r="C10" s="199">
        <f>'DIA 2'!G$52</f>
        <v>635.3484310344827</v>
      </c>
      <c r="D10" s="203">
        <f t="shared" ref="D10:D39" si="0">B10+C10</f>
        <v>7228.4167560344822</v>
      </c>
      <c r="E10" s="199">
        <f>'DIA 2'!K$46</f>
        <v>7243.04</v>
      </c>
      <c r="F10" s="199">
        <f>'DIA 2'!K$52</f>
        <v>25.06</v>
      </c>
      <c r="G10" s="206">
        <f t="shared" ref="G10:G39" si="1">B10-E10</f>
        <v>-649.97167500000069</v>
      </c>
      <c r="H10" s="206">
        <f t="shared" ref="H10:H39" si="2">C10-F10</f>
        <v>610.28843103448276</v>
      </c>
    </row>
    <row r="11" spans="1:9" x14ac:dyDescent="0.25">
      <c r="A11" s="46">
        <f>'DIA 3'!B$6</f>
        <v>44776</v>
      </c>
      <c r="B11" s="199">
        <f>'DIA 3'!G$46</f>
        <v>9964.9084249999996</v>
      </c>
      <c r="C11" s="199">
        <f>'DIA 3'!G$52</f>
        <v>179.75352586206898</v>
      </c>
      <c r="D11" s="203">
        <f t="shared" si="0"/>
        <v>10144.661950862068</v>
      </c>
      <c r="E11" s="199">
        <f>'DIA 3'!K$46</f>
        <v>10114.209999999999</v>
      </c>
      <c r="F11" s="199">
        <f>'DIA 3'!K$52</f>
        <v>39.42</v>
      </c>
      <c r="G11" s="206">
        <f t="shared" si="1"/>
        <v>-149.3015749999995</v>
      </c>
      <c r="H11" s="206">
        <f t="shared" si="2"/>
        <v>140.333525862069</v>
      </c>
    </row>
    <row r="12" spans="1:9" x14ac:dyDescent="0.25">
      <c r="A12" s="46">
        <f>'DIA 4'!B$6</f>
        <v>44777</v>
      </c>
      <c r="B12" s="199">
        <f>'DIA 4'!G$46</f>
        <v>9747.0745250000018</v>
      </c>
      <c r="C12" s="199">
        <f>'DIA 4'!G$52</f>
        <v>176.95783620689656</v>
      </c>
      <c r="D12" s="203">
        <f t="shared" si="0"/>
        <v>9924.0323612068987</v>
      </c>
      <c r="E12" s="199">
        <f>'DIA 4'!K$46</f>
        <v>9920.4</v>
      </c>
      <c r="F12" s="199">
        <f>'DIA 4'!K$52</f>
        <v>14.2</v>
      </c>
      <c r="G12" s="206">
        <f t="shared" si="1"/>
        <v>-173.32547499999782</v>
      </c>
      <c r="H12" s="206">
        <f t="shared" si="2"/>
        <v>162.75783620689657</v>
      </c>
    </row>
    <row r="13" spans="1:9" x14ac:dyDescent="0.25">
      <c r="A13" s="46">
        <f>'DIA 5'!B$6</f>
        <v>44778</v>
      </c>
      <c r="B13" s="199">
        <f>'DIA 5'!G$46</f>
        <v>13698.901849999998</v>
      </c>
      <c r="C13" s="199">
        <f>'DIA 5'!G$52</f>
        <v>688.22424137931034</v>
      </c>
      <c r="D13" s="203">
        <f t="shared" si="0"/>
        <v>14387.126091379308</v>
      </c>
      <c r="E13" s="199">
        <f>'DIA 5'!K$46</f>
        <v>14180.21</v>
      </c>
      <c r="F13" s="199">
        <f>'DIA 5'!K$52</f>
        <v>236.38</v>
      </c>
      <c r="G13" s="206">
        <f t="shared" si="1"/>
        <v>-481.30815000000075</v>
      </c>
      <c r="H13" s="206">
        <f t="shared" si="2"/>
        <v>451.84424137931035</v>
      </c>
    </row>
    <row r="14" spans="1:9" x14ac:dyDescent="0.25">
      <c r="A14" s="46">
        <f>'DIA 6'!B$6</f>
        <v>44779</v>
      </c>
      <c r="B14" s="199">
        <f>'DIA 6'!G$46</f>
        <v>13377.302075000001</v>
      </c>
      <c r="C14" s="199">
        <f>'DIA 6'!G$52</f>
        <v>683.16404310344831</v>
      </c>
      <c r="D14" s="203">
        <f t="shared" si="0"/>
        <v>14060.46611810345</v>
      </c>
      <c r="E14" s="199">
        <f>'DIA 6'!K$46</f>
        <v>13966.22</v>
      </c>
      <c r="F14" s="199">
        <f>'DIA 6'!K$52</f>
        <v>130.07</v>
      </c>
      <c r="G14" s="206">
        <f t="shared" si="1"/>
        <v>-588.91792499999792</v>
      </c>
      <c r="H14" s="206">
        <f t="shared" si="2"/>
        <v>553.09404310344826</v>
      </c>
    </row>
    <row r="15" spans="1:9" x14ac:dyDescent="0.25">
      <c r="A15" s="46">
        <f>'DIA 7'!B$6</f>
        <v>44780</v>
      </c>
      <c r="B15" s="199">
        <f>'DIA 7'!G$46</f>
        <v>12371.37355</v>
      </c>
      <c r="C15" s="199">
        <f>'DIA 7'!G$52</f>
        <v>285.78471551724135</v>
      </c>
      <c r="D15" s="203">
        <f t="shared" si="0"/>
        <v>12657.158265517242</v>
      </c>
      <c r="E15" s="199">
        <f>'DIA 7'!K$46</f>
        <v>12469.5</v>
      </c>
      <c r="F15" s="199">
        <f>'DIA 7'!K$52</f>
        <v>193.56</v>
      </c>
      <c r="G15" s="206">
        <f t="shared" si="1"/>
        <v>-98.12644999999975</v>
      </c>
      <c r="H15" s="206">
        <f t="shared" si="2"/>
        <v>92.22471551724135</v>
      </c>
    </row>
    <row r="16" spans="1:9" x14ac:dyDescent="0.25">
      <c r="A16" s="46">
        <f>'DIA 8'!B$6</f>
        <v>44781</v>
      </c>
      <c r="B16" s="199">
        <f>'DIA 8'!G$46</f>
        <v>9604.5316750000002</v>
      </c>
      <c r="C16" s="199">
        <f>'DIA 8'!G$52</f>
        <v>296.5108448275862</v>
      </c>
      <c r="D16" s="203">
        <f t="shared" si="0"/>
        <v>9901.0425198275861</v>
      </c>
      <c r="E16" s="199">
        <f>'DIA 8'!K$46</f>
        <v>9673.34</v>
      </c>
      <c r="F16" s="199">
        <f>'DIA 8'!K$52</f>
        <v>222.62</v>
      </c>
      <c r="G16" s="206">
        <f t="shared" si="1"/>
        <v>-68.808324999999968</v>
      </c>
      <c r="H16" s="206">
        <f t="shared" si="2"/>
        <v>73.890844827586193</v>
      </c>
    </row>
    <row r="17" spans="1:8" x14ac:dyDescent="0.25">
      <c r="A17" s="46">
        <f>'DIA 9'!B$6</f>
        <v>44782</v>
      </c>
      <c r="B17" s="199">
        <f>'DIA 9'!G$46</f>
        <v>12535.463575</v>
      </c>
      <c r="C17" s="199">
        <f>'DIA 9'!G$52</f>
        <v>520.62264655172407</v>
      </c>
      <c r="D17" s="203">
        <f t="shared" si="0"/>
        <v>13056.086221551725</v>
      </c>
      <c r="E17" s="199">
        <f>'DIA 9'!K$46</f>
        <v>12922.55</v>
      </c>
      <c r="F17" s="199">
        <f>'DIA 9'!K$52</f>
        <v>157.21</v>
      </c>
      <c r="G17" s="206">
        <f t="shared" si="1"/>
        <v>-387.08642499999951</v>
      </c>
      <c r="H17" s="206">
        <f t="shared" si="2"/>
        <v>363.41264655172404</v>
      </c>
    </row>
    <row r="18" spans="1:8" x14ac:dyDescent="0.25">
      <c r="A18" s="46">
        <f>'DIA 10'!B$6</f>
        <v>44783</v>
      </c>
      <c r="B18" s="199">
        <f>'DIA 10'!G$46</f>
        <v>9081.9109499999995</v>
      </c>
      <c r="C18" s="199">
        <f>'DIA 10'!G$52</f>
        <v>324.94673620689656</v>
      </c>
      <c r="D18" s="203">
        <f t="shared" si="0"/>
        <v>9406.8576862068967</v>
      </c>
      <c r="E18" s="199">
        <f>'DIA 10'!K$46</f>
        <v>9290.18</v>
      </c>
      <c r="F18" s="199">
        <f>'DIA 10'!K$52</f>
        <v>129.35</v>
      </c>
      <c r="G18" s="206">
        <f t="shared" si="1"/>
        <v>-208.26905000000079</v>
      </c>
      <c r="H18" s="206">
        <f t="shared" si="2"/>
        <v>195.59673620689657</v>
      </c>
    </row>
    <row r="19" spans="1:8" x14ac:dyDescent="0.25">
      <c r="A19" s="46">
        <f>'DIA 11'!B$6</f>
        <v>44784</v>
      </c>
      <c r="B19" s="199">
        <f>'DIA 11'!G$46</f>
        <v>8997.8064999999988</v>
      </c>
      <c r="C19" s="199">
        <f>'DIA 11'!G$52</f>
        <v>183.82591379310347</v>
      </c>
      <c r="D19" s="203">
        <f t="shared" si="0"/>
        <v>9181.6324137931024</v>
      </c>
      <c r="E19" s="199">
        <f>'DIA 11'!K$46</f>
        <v>9018.19</v>
      </c>
      <c r="F19" s="199">
        <f>'DIA 11'!K$52</f>
        <v>164.58</v>
      </c>
      <c r="G19" s="206">
        <f t="shared" si="1"/>
        <v>-20.383500000001732</v>
      </c>
      <c r="H19" s="206">
        <f t="shared" si="2"/>
        <v>19.245913793103455</v>
      </c>
    </row>
    <row r="20" spans="1:8" x14ac:dyDescent="0.25">
      <c r="A20" s="46">
        <f>'DIA 12'!B$6</f>
        <v>44785</v>
      </c>
      <c r="B20" s="199">
        <f>'DIA 12'!G$46</f>
        <v>15383.482025000003</v>
      </c>
      <c r="C20" s="199">
        <f>'DIA 12'!G$52</f>
        <v>621.67750862068976</v>
      </c>
      <c r="D20" s="203">
        <f t="shared" si="0"/>
        <v>16005.159533620692</v>
      </c>
      <c r="E20" s="199">
        <f>'DIA 12'!K$46</f>
        <v>15844.45</v>
      </c>
      <c r="F20" s="199">
        <f>'DIA 12'!K$52</f>
        <v>188.88</v>
      </c>
      <c r="G20" s="206">
        <f t="shared" si="1"/>
        <v>-460.96797499999775</v>
      </c>
      <c r="H20" s="206">
        <f t="shared" si="2"/>
        <v>432.79750862068977</v>
      </c>
    </row>
    <row r="21" spans="1:8" x14ac:dyDescent="0.25">
      <c r="A21" s="46">
        <f>'DIA 13'!B$6</f>
        <v>44786</v>
      </c>
      <c r="B21" s="199">
        <f>'DIA 13'!G$46</f>
        <v>10699.7852</v>
      </c>
      <c r="C21" s="199">
        <f>'DIA 13'!G$52</f>
        <v>239.67447413793101</v>
      </c>
      <c r="D21" s="203">
        <f t="shared" si="0"/>
        <v>10939.459674137932</v>
      </c>
      <c r="E21" s="199">
        <f>'DIA 13'!K$46</f>
        <v>10817.75</v>
      </c>
      <c r="F21" s="199">
        <f>'DIA 13'!K$52</f>
        <v>128.91999999999999</v>
      </c>
      <c r="G21" s="206">
        <f t="shared" si="1"/>
        <v>-117.96479999999974</v>
      </c>
      <c r="H21" s="206">
        <f t="shared" si="2"/>
        <v>110.75447413793103</v>
      </c>
    </row>
    <row r="22" spans="1:8" x14ac:dyDescent="0.25">
      <c r="A22" s="46">
        <f>'DIA 14'!B$6</f>
        <v>44787</v>
      </c>
      <c r="B22" s="199">
        <f>'DIA 14'!G$46</f>
        <v>13262.628624999999</v>
      </c>
      <c r="C22" s="199">
        <f>'DIA 14'!G$52</f>
        <v>445.31608620689656</v>
      </c>
      <c r="D22" s="203">
        <f t="shared" si="0"/>
        <v>13707.944711206896</v>
      </c>
      <c r="E22" s="199">
        <f>'DIA 14'!K$46</f>
        <v>13615.27</v>
      </c>
      <c r="F22" s="199">
        <f>'DIA 14'!K$52</f>
        <v>114.21</v>
      </c>
      <c r="G22" s="206">
        <f t="shared" si="1"/>
        <v>-352.64137500000106</v>
      </c>
      <c r="H22" s="206">
        <f t="shared" si="2"/>
        <v>331.10608620689658</v>
      </c>
    </row>
    <row r="23" spans="1:8" x14ac:dyDescent="0.25">
      <c r="A23" s="46">
        <f>'DIA 15'!B$6</f>
        <v>44788</v>
      </c>
      <c r="B23" s="199">
        <f>'DIA 15'!G$46</f>
        <v>10540.796624999999</v>
      </c>
      <c r="C23" s="199">
        <f>'DIA 15'!G$52</f>
        <v>436.12758620689658</v>
      </c>
      <c r="D23" s="203">
        <f t="shared" si="0"/>
        <v>10976.924211206895</v>
      </c>
      <c r="E23" s="199">
        <f>'DIA 15'!K$46</f>
        <v>0</v>
      </c>
      <c r="F23" s="199">
        <f>'DIA 15'!K$52</f>
        <v>0</v>
      </c>
      <c r="G23" s="206">
        <f t="shared" si="1"/>
        <v>10540.796624999999</v>
      </c>
      <c r="H23" s="206">
        <f t="shared" si="2"/>
        <v>436.12758620689658</v>
      </c>
    </row>
    <row r="24" spans="1:8" x14ac:dyDescent="0.25">
      <c r="A24" s="46">
        <f>'DIA 16'!B$6</f>
        <v>44789</v>
      </c>
      <c r="B24" s="199">
        <f>'DIA 16'!G$46</f>
        <v>10886.365275</v>
      </c>
      <c r="C24" s="199">
        <f>'DIA 16'!G$52</f>
        <v>334.21537931034482</v>
      </c>
      <c r="D24" s="203">
        <f t="shared" si="0"/>
        <v>11220.580654310344</v>
      </c>
      <c r="E24" s="199">
        <f>'DIA 16'!K$46</f>
        <v>0</v>
      </c>
      <c r="F24" s="199">
        <f>'DIA 16'!K$52</f>
        <v>0</v>
      </c>
      <c r="G24" s="206">
        <f t="shared" si="1"/>
        <v>10886.365275</v>
      </c>
      <c r="H24" s="206">
        <f t="shared" si="2"/>
        <v>334.21537931034482</v>
      </c>
    </row>
    <row r="25" spans="1:8" x14ac:dyDescent="0.25">
      <c r="A25" s="46">
        <f>'DIA 17'!B$6</f>
        <v>44790</v>
      </c>
      <c r="B25" s="199">
        <f>'DIA 17'!G$46</f>
        <v>12593.435500000001</v>
      </c>
      <c r="C25" s="199">
        <f>'DIA 17'!G$52</f>
        <v>300.19183620689654</v>
      </c>
      <c r="D25" s="203">
        <f t="shared" si="0"/>
        <v>12893.627336206899</v>
      </c>
      <c r="E25" s="199">
        <f>'DIA 17'!K$46</f>
        <v>0</v>
      </c>
      <c r="F25" s="199">
        <f>'DIA 17'!K$52</f>
        <v>0</v>
      </c>
      <c r="G25" s="206">
        <f t="shared" si="1"/>
        <v>12593.435500000001</v>
      </c>
      <c r="H25" s="206">
        <f t="shared" si="2"/>
        <v>300.19183620689654</v>
      </c>
    </row>
    <row r="26" spans="1:8" x14ac:dyDescent="0.25">
      <c r="A26" s="46">
        <f>'DIA 18'!B$6</f>
        <v>44760</v>
      </c>
      <c r="B26" s="199">
        <f>'DIA 18'!G$46</f>
        <v>7471.6193999999987</v>
      </c>
      <c r="C26" s="199">
        <f>'DIA 18'!G$52</f>
        <v>77.449922413793118</v>
      </c>
      <c r="D26" s="203">
        <f t="shared" si="0"/>
        <v>7549.0693224137922</v>
      </c>
      <c r="E26" s="199">
        <f>'DIA 18'!K$46</f>
        <v>7528.45</v>
      </c>
      <c r="F26" s="199">
        <f>'DIA 18'!K$52</f>
        <v>23.92</v>
      </c>
      <c r="G26" s="206">
        <f t="shared" si="1"/>
        <v>-56.830600000001141</v>
      </c>
      <c r="H26" s="206">
        <f t="shared" si="2"/>
        <v>53.529922413793116</v>
      </c>
    </row>
    <row r="27" spans="1:8" x14ac:dyDescent="0.25">
      <c r="A27" s="46">
        <f>'DIA 19'!B$6</f>
        <v>44761</v>
      </c>
      <c r="B27" s="199">
        <f>'DIA 19'!G$46</f>
        <v>12795.478724999999</v>
      </c>
      <c r="C27" s="199">
        <f>'DIA 19'!G$52</f>
        <v>687.59055172413798</v>
      </c>
      <c r="D27" s="203">
        <f t="shared" si="0"/>
        <v>13483.069276724136</v>
      </c>
      <c r="E27" s="199">
        <f>'DIA 19'!K$46</f>
        <v>13435.45</v>
      </c>
      <c r="F27" s="199">
        <f>'DIA 19'!K$52</f>
        <v>34.630000000000003</v>
      </c>
      <c r="G27" s="206">
        <f t="shared" si="1"/>
        <v>-639.9712750000017</v>
      </c>
      <c r="H27" s="206">
        <f t="shared" si="2"/>
        <v>652.96055172413799</v>
      </c>
    </row>
    <row r="28" spans="1:8" x14ac:dyDescent="0.25">
      <c r="A28" s="46">
        <f>'DIA 20'!B$6</f>
        <v>44762</v>
      </c>
      <c r="B28" s="199">
        <f>'DIA 20'!G$46</f>
        <v>7118.7856499999998</v>
      </c>
      <c r="C28" s="199">
        <f>'DIA 20'!G$52</f>
        <v>206.2473448275862</v>
      </c>
      <c r="D28" s="203">
        <f t="shared" si="0"/>
        <v>7325.0329948275858</v>
      </c>
      <c r="E28" s="199">
        <f>'DIA 20'!K$46</f>
        <v>7230.52</v>
      </c>
      <c r="F28" s="199">
        <f>'DIA 20'!K$52</f>
        <v>101.28</v>
      </c>
      <c r="G28" s="206">
        <f t="shared" si="1"/>
        <v>-111.73435000000063</v>
      </c>
      <c r="H28" s="206">
        <f t="shared" si="2"/>
        <v>104.9673448275862</v>
      </c>
    </row>
    <row r="29" spans="1:8" x14ac:dyDescent="0.25">
      <c r="A29" s="46">
        <f>'DIA 21'!B$6</f>
        <v>44763</v>
      </c>
      <c r="B29" s="199">
        <f>'DIA 21'!G$46</f>
        <v>10852.580575000002</v>
      </c>
      <c r="C29" s="199">
        <f>'DIA 21'!G$52</f>
        <v>10.250862068965517</v>
      </c>
      <c r="D29" s="203">
        <f t="shared" si="0"/>
        <v>10862.831437068968</v>
      </c>
      <c r="E29" s="199">
        <f>'DIA 21'!K$46</f>
        <v>0</v>
      </c>
      <c r="F29" s="199">
        <f>'DIA 21'!K$52</f>
        <v>0</v>
      </c>
      <c r="G29" s="206">
        <f t="shared" si="1"/>
        <v>10852.580575000002</v>
      </c>
      <c r="H29" s="206">
        <f t="shared" si="2"/>
        <v>10.250862068965517</v>
      </c>
    </row>
    <row r="30" spans="1:8" x14ac:dyDescent="0.25">
      <c r="A30" s="46">
        <f>'DIA 22'!B$6</f>
        <v>44399</v>
      </c>
      <c r="B30" s="199">
        <f>'DIA 22'!G$46</f>
        <v>14108.853975000002</v>
      </c>
      <c r="C30" s="199">
        <f>'DIA 22'!G$52</f>
        <v>354.07409482758624</v>
      </c>
      <c r="D30" s="203">
        <f t="shared" si="0"/>
        <v>14462.928069827589</v>
      </c>
      <c r="E30" s="199">
        <f>'DIA 22'!K$46</f>
        <v>0</v>
      </c>
      <c r="F30" s="199">
        <f>'DIA 22'!K$52</f>
        <v>0</v>
      </c>
      <c r="G30" s="206">
        <f t="shared" si="1"/>
        <v>14108.853975000002</v>
      </c>
      <c r="H30" s="206">
        <f t="shared" si="2"/>
        <v>354.07409482758624</v>
      </c>
    </row>
    <row r="31" spans="1:8" x14ac:dyDescent="0.25">
      <c r="A31" s="46">
        <f>'DIA 23'!B$6</f>
        <v>44765</v>
      </c>
      <c r="B31" s="199">
        <f>'DIA 23'!G$46</f>
        <v>13438.658425</v>
      </c>
      <c r="C31" s="199">
        <f>'DIA 23'!G$52</f>
        <v>233.91535344827582</v>
      </c>
      <c r="D31" s="203">
        <f t="shared" si="0"/>
        <v>13672.573778448275</v>
      </c>
      <c r="E31" s="199">
        <f>'DIA 23'!K$46</f>
        <v>0</v>
      </c>
      <c r="F31" s="199">
        <f>'DIA 23'!K$52</f>
        <v>0</v>
      </c>
      <c r="G31" s="206">
        <f t="shared" si="1"/>
        <v>13438.658425</v>
      </c>
      <c r="H31" s="206">
        <f t="shared" si="2"/>
        <v>233.91535344827582</v>
      </c>
    </row>
    <row r="32" spans="1:8" x14ac:dyDescent="0.25">
      <c r="A32" s="46">
        <f>'DIA 24'!B$6</f>
        <v>44766</v>
      </c>
      <c r="B32" s="199">
        <f>'DIA 24'!G$46</f>
        <v>7993.7835749999986</v>
      </c>
      <c r="C32" s="199">
        <f>'DIA 24'!G$52</f>
        <v>104.82904310344827</v>
      </c>
      <c r="D32" s="203">
        <f t="shared" si="0"/>
        <v>8098.6126181034469</v>
      </c>
      <c r="E32" s="199">
        <f>'DIA 24'!K$46</f>
        <v>0</v>
      </c>
      <c r="F32" s="199">
        <f>'DIA 24'!K$52</f>
        <v>0</v>
      </c>
      <c r="G32" s="206">
        <f t="shared" si="1"/>
        <v>7993.7835749999986</v>
      </c>
      <c r="H32" s="206">
        <f t="shared" si="2"/>
        <v>104.82904310344827</v>
      </c>
    </row>
    <row r="33" spans="1:8" x14ac:dyDescent="0.25">
      <c r="A33" s="46">
        <f>'DIA 25'!B$6</f>
        <v>44767</v>
      </c>
      <c r="B33" s="199">
        <f>'DIA 25'!G$46</f>
        <v>4415.979875</v>
      </c>
      <c r="C33" s="199">
        <f>'DIA 25'!G$52</f>
        <v>55.345336206896555</v>
      </c>
      <c r="D33" s="203">
        <f t="shared" si="0"/>
        <v>4471.3252112068967</v>
      </c>
      <c r="E33" s="199">
        <f>'DIA 25'!K$46</f>
        <v>0</v>
      </c>
      <c r="F33" s="199">
        <f>'DIA 25'!K$52</f>
        <v>0</v>
      </c>
      <c r="G33" s="206">
        <f t="shared" si="1"/>
        <v>4415.979875</v>
      </c>
      <c r="H33" s="206">
        <f t="shared" si="2"/>
        <v>55.345336206896555</v>
      </c>
    </row>
    <row r="34" spans="1:8" x14ac:dyDescent="0.25">
      <c r="A34" s="46">
        <f>'DIA 26'!B$6</f>
        <v>44738</v>
      </c>
      <c r="B34" s="199">
        <f>'DIA 26'!G$46</f>
        <v>9799.8953749999982</v>
      </c>
      <c r="C34" s="199">
        <f>'DIA 26'!G$52</f>
        <v>498.34099999999995</v>
      </c>
      <c r="D34" s="203">
        <f t="shared" si="0"/>
        <v>10298.236374999999</v>
      </c>
      <c r="E34" s="199">
        <f>'DIA 26'!K$46</f>
        <v>0</v>
      </c>
      <c r="F34" s="199">
        <f>'DIA 26'!K$52</f>
        <v>0</v>
      </c>
      <c r="G34" s="206">
        <f t="shared" si="1"/>
        <v>9799.8953749999982</v>
      </c>
      <c r="H34" s="206">
        <f t="shared" si="2"/>
        <v>498.34099999999995</v>
      </c>
    </row>
    <row r="35" spans="1:8" x14ac:dyDescent="0.25">
      <c r="A35" s="46">
        <f>'DIA 27'!B$6</f>
        <v>44769</v>
      </c>
      <c r="B35" s="199">
        <f>'DIA 27'!G$46</f>
        <v>6909.914025</v>
      </c>
      <c r="C35" s="199">
        <f>'DIA 27'!G$52</f>
        <v>223.88814655172413</v>
      </c>
      <c r="D35" s="203">
        <f t="shared" si="0"/>
        <v>7133.8021715517243</v>
      </c>
      <c r="E35" s="199">
        <f>'DIA 27'!K$46</f>
        <v>0</v>
      </c>
      <c r="F35" s="199">
        <f>'DIA 27'!K$52</f>
        <v>0</v>
      </c>
      <c r="G35" s="206">
        <f t="shared" si="1"/>
        <v>6909.914025</v>
      </c>
      <c r="H35" s="206">
        <f t="shared" si="2"/>
        <v>223.88814655172413</v>
      </c>
    </row>
    <row r="36" spans="1:8" x14ac:dyDescent="0.25">
      <c r="A36" s="46">
        <f>'DIA 28'!B$6</f>
        <v>44770</v>
      </c>
      <c r="B36" s="199">
        <f>'DIA 28'!G$46</f>
        <v>8752.847574999998</v>
      </c>
      <c r="C36" s="199">
        <f>'DIA 28'!G$52</f>
        <v>176.45461206896553</v>
      </c>
      <c r="D36" s="203">
        <f t="shared" si="0"/>
        <v>8929.3021870689627</v>
      </c>
      <c r="E36" s="199">
        <f>'DIA 28'!K$46</f>
        <v>0</v>
      </c>
      <c r="F36" s="199">
        <f>'DIA 28'!K$52</f>
        <v>0</v>
      </c>
      <c r="G36" s="206">
        <f t="shared" si="1"/>
        <v>8752.847574999998</v>
      </c>
      <c r="H36" s="206">
        <f t="shared" si="2"/>
        <v>176.45461206896553</v>
      </c>
    </row>
    <row r="37" spans="1:8" x14ac:dyDescent="0.25">
      <c r="A37" s="46">
        <f>'DIA 29'!B$6</f>
        <v>44771</v>
      </c>
      <c r="B37" s="199">
        <f>'DIA 29'!G$46</f>
        <v>16672.253200000003</v>
      </c>
      <c r="C37" s="199">
        <f>'DIA 29'!G$52</f>
        <v>306.89217241379311</v>
      </c>
      <c r="D37" s="203">
        <f t="shared" si="0"/>
        <v>16979.145372413797</v>
      </c>
      <c r="E37" s="199">
        <f>'DIA 29'!K$46</f>
        <v>0</v>
      </c>
      <c r="F37" s="199">
        <f>'DIA 29'!K$52</f>
        <v>0</v>
      </c>
      <c r="G37" s="206">
        <f t="shared" si="1"/>
        <v>16672.253200000003</v>
      </c>
      <c r="H37" s="206">
        <f t="shared" si="2"/>
        <v>306.89217241379311</v>
      </c>
    </row>
    <row r="38" spans="1:8" x14ac:dyDescent="0.25">
      <c r="A38" s="46">
        <f>'DIA 30'!B$6</f>
        <v>44772</v>
      </c>
      <c r="B38" s="199">
        <f>'DIA 30'!G$46</f>
        <v>12429.405024999998</v>
      </c>
      <c r="C38" s="199">
        <f>'DIA 30'!G$52</f>
        <v>518.18107758620692</v>
      </c>
      <c r="D38" s="203">
        <f t="shared" si="0"/>
        <v>12947.586102586205</v>
      </c>
      <c r="E38" s="199">
        <f>'DIA 30'!K$46</f>
        <v>0</v>
      </c>
      <c r="F38" s="199">
        <f>'DIA 30'!K$52</f>
        <v>0</v>
      </c>
      <c r="G38" s="206">
        <f t="shared" si="1"/>
        <v>12429.405024999998</v>
      </c>
      <c r="H38" s="206">
        <f t="shared" si="2"/>
        <v>518.18107758620692</v>
      </c>
    </row>
    <row r="39" spans="1:8" x14ac:dyDescent="0.25">
      <c r="A39" s="46">
        <f>'DIA 31'!B$6</f>
        <v>44773</v>
      </c>
      <c r="B39" s="199">
        <f>'DIA 31'!G$46</f>
        <v>9874.9978500000016</v>
      </c>
      <c r="C39" s="199">
        <f>'DIA 31'!G$52</f>
        <v>160.49122413793103</v>
      </c>
      <c r="D39" s="203">
        <f t="shared" si="0"/>
        <v>10035.489074137933</v>
      </c>
      <c r="E39" s="199">
        <f>'DIA 31'!K$46</f>
        <v>0</v>
      </c>
      <c r="F39" s="199">
        <f>'DIA 31'!K$52</f>
        <v>0</v>
      </c>
      <c r="G39" s="206">
        <f t="shared" si="1"/>
        <v>9874.9978500000016</v>
      </c>
      <c r="H39" s="206">
        <f t="shared" si="2"/>
        <v>160.49122413793103</v>
      </c>
    </row>
    <row r="40" spans="1:8" x14ac:dyDescent="0.25">
      <c r="A40" s="53" t="s">
        <v>37</v>
      </c>
      <c r="B40" s="133">
        <f>SUM(B9:B39)</f>
        <v>331236.03690000001</v>
      </c>
      <c r="C40" s="133">
        <f>SUM(C9:C38)</f>
        <v>10164.76787413793</v>
      </c>
      <c r="D40" s="133">
        <f>SUM(D9:D38)</f>
        <v>331525.80692413793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9" zoomScale="90" zoomScaleNormal="90" workbookViewId="0">
      <selection activeCell="L54" sqref="L5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44785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>
        <v>6.15</v>
      </c>
    </row>
    <row r="9" spans="1:28" x14ac:dyDescent="0.25">
      <c r="A9" s="7" t="s">
        <v>76</v>
      </c>
      <c r="B9" s="108">
        <v>5.95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1807</v>
      </c>
      <c r="C12" s="15"/>
      <c r="D12" s="56"/>
      <c r="E12" s="16"/>
      <c r="F12" s="56"/>
      <c r="G12" s="56"/>
      <c r="H12" s="17"/>
      <c r="I12" s="83">
        <v>1807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188</v>
      </c>
      <c r="P12" s="158">
        <v>226</v>
      </c>
      <c r="Q12" s="158">
        <v>11</v>
      </c>
      <c r="R12" s="267">
        <v>1673.22</v>
      </c>
      <c r="S12" s="268"/>
      <c r="T12" s="268"/>
      <c r="U12" s="189">
        <f>((T12/U$10)*U$9)</f>
        <v>0</v>
      </c>
      <c r="V12" s="189">
        <f>R12*V$10</f>
        <v>12.549149999999999</v>
      </c>
      <c r="W12" s="189">
        <f>+S12*V$10</f>
        <v>0</v>
      </c>
      <c r="X12" s="189">
        <f>+T12*X$10</f>
        <v>0</v>
      </c>
      <c r="Y12" s="189">
        <f>R12-V12</f>
        <v>1660.67085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1379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1379</v>
      </c>
      <c r="K13" s="75"/>
      <c r="L13" s="186">
        <f t="shared" ref="L13:L42" si="1">+G13-K13</f>
        <v>0</v>
      </c>
      <c r="M13" s="106"/>
      <c r="N13" s="104">
        <v>2</v>
      </c>
      <c r="O13" s="152" t="s">
        <v>188</v>
      </c>
      <c r="P13" s="158">
        <v>227</v>
      </c>
      <c r="Q13" s="158">
        <v>11</v>
      </c>
      <c r="R13" s="267">
        <v>2781.14</v>
      </c>
      <c r="S13" s="268"/>
      <c r="T13" s="269"/>
      <c r="U13" s="189">
        <f t="shared" ref="U13:U41" si="2">((T13/U$10)*U$9)</f>
        <v>0</v>
      </c>
      <c r="V13" s="189">
        <f t="shared" ref="V13:V41" si="3">R13*V$10</f>
        <v>20.858549999999997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2760.2814499999999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8246.42</v>
      </c>
      <c r="C14" s="15"/>
      <c r="D14" s="56"/>
      <c r="E14" s="16"/>
      <c r="F14" s="56"/>
      <c r="G14" s="56"/>
      <c r="H14" s="17"/>
      <c r="I14" s="83"/>
      <c r="J14" s="81">
        <f t="shared" si="0"/>
        <v>8246.42</v>
      </c>
      <c r="K14" s="80"/>
      <c r="L14" s="186">
        <f t="shared" si="1"/>
        <v>0</v>
      </c>
      <c r="M14" s="107"/>
      <c r="N14" s="104">
        <v>3</v>
      </c>
      <c r="O14" s="152" t="s">
        <v>188</v>
      </c>
      <c r="P14" s="158">
        <v>610</v>
      </c>
      <c r="Q14" s="158">
        <v>2</v>
      </c>
      <c r="R14" s="267">
        <v>1164.67</v>
      </c>
      <c r="S14" s="268"/>
      <c r="T14" s="269"/>
      <c r="U14" s="189">
        <f t="shared" si="2"/>
        <v>0</v>
      </c>
      <c r="V14" s="189">
        <f t="shared" si="3"/>
        <v>8.7350250000000003</v>
      </c>
      <c r="W14" s="189">
        <f t="shared" si="4"/>
        <v>0</v>
      </c>
      <c r="X14" s="189">
        <f t="shared" si="5"/>
        <v>0</v>
      </c>
      <c r="Y14" s="189">
        <f t="shared" si="6"/>
        <v>1155.9349750000001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893</v>
      </c>
      <c r="C15" s="15"/>
      <c r="D15" s="56"/>
      <c r="E15" s="16"/>
      <c r="F15" s="56"/>
      <c r="G15" s="56"/>
      <c r="H15" s="17"/>
      <c r="I15" s="83"/>
      <c r="J15" s="81">
        <f t="shared" si="0"/>
        <v>893</v>
      </c>
      <c r="K15" s="80"/>
      <c r="L15" s="186">
        <f t="shared" si="1"/>
        <v>0</v>
      </c>
      <c r="M15" s="107"/>
      <c r="N15" s="104">
        <v>4</v>
      </c>
      <c r="O15" s="152" t="s">
        <v>188</v>
      </c>
      <c r="P15" s="158">
        <v>611</v>
      </c>
      <c r="Q15" s="158">
        <v>2</v>
      </c>
      <c r="R15" s="267">
        <v>67.430000000000007</v>
      </c>
      <c r="S15" s="268"/>
      <c r="T15" s="269">
        <v>169.86</v>
      </c>
      <c r="U15" s="189">
        <f t="shared" si="2"/>
        <v>7.3215517241379322</v>
      </c>
      <c r="V15" s="189">
        <f t="shared" si="3"/>
        <v>0.50572499999999998</v>
      </c>
      <c r="W15" s="189">
        <f t="shared" si="4"/>
        <v>0</v>
      </c>
      <c r="X15" s="189">
        <f t="shared" si="5"/>
        <v>4.2465000000000002</v>
      </c>
      <c r="Y15" s="189">
        <f t="shared" si="6"/>
        <v>66.924275000000009</v>
      </c>
      <c r="Z15" s="189">
        <f t="shared" si="6"/>
        <v>0</v>
      </c>
      <c r="AA15" s="189">
        <f t="shared" si="7"/>
        <v>158.2919482758621</v>
      </c>
      <c r="AB15" s="156"/>
    </row>
    <row r="16" spans="1:28" ht="15.75" x14ac:dyDescent="0.25">
      <c r="A16" s="86" t="s">
        <v>81</v>
      </c>
      <c r="B16" s="57">
        <f>B15*B9</f>
        <v>5313.35</v>
      </c>
      <c r="C16" s="15"/>
      <c r="D16" s="56"/>
      <c r="E16" s="16"/>
      <c r="F16" s="56"/>
      <c r="G16" s="56"/>
      <c r="H16" s="17"/>
      <c r="I16" s="83"/>
      <c r="J16" s="81">
        <f t="shared" si="0"/>
        <v>5313.35</v>
      </c>
      <c r="K16" s="80"/>
      <c r="L16" s="186">
        <f t="shared" si="1"/>
        <v>0</v>
      </c>
      <c r="M16" s="107"/>
      <c r="N16" s="104">
        <v>5</v>
      </c>
      <c r="O16" s="152" t="s">
        <v>188</v>
      </c>
      <c r="P16" s="158">
        <v>590</v>
      </c>
      <c r="Q16" s="158">
        <v>4</v>
      </c>
      <c r="R16" s="267">
        <v>999.37</v>
      </c>
      <c r="S16" s="268"/>
      <c r="T16" s="269">
        <v>395.73</v>
      </c>
      <c r="U16" s="189">
        <f t="shared" si="2"/>
        <v>17.057327586206899</v>
      </c>
      <c r="V16" s="189">
        <f t="shared" si="3"/>
        <v>7.4952749999999995</v>
      </c>
      <c r="W16" s="189">
        <f t="shared" si="4"/>
        <v>0</v>
      </c>
      <c r="X16" s="189">
        <f t="shared" si="5"/>
        <v>9.8932500000000019</v>
      </c>
      <c r="Y16" s="189">
        <f t="shared" si="6"/>
        <v>991.87472500000001</v>
      </c>
      <c r="Z16" s="189">
        <f t="shared" si="6"/>
        <v>0</v>
      </c>
      <c r="AA16" s="189">
        <f t="shared" si="7"/>
        <v>368.7794224137931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188</v>
      </c>
      <c r="P17" s="158">
        <v>591</v>
      </c>
      <c r="Q17" s="158">
        <v>4</v>
      </c>
      <c r="R17" s="267">
        <v>2653.46</v>
      </c>
      <c r="S17" s="268"/>
      <c r="T17" s="269"/>
      <c r="U17" s="189">
        <f t="shared" si="2"/>
        <v>0</v>
      </c>
      <c r="V17" s="189">
        <f t="shared" si="3"/>
        <v>19.900949999999998</v>
      </c>
      <c r="W17" s="189">
        <f t="shared" si="4"/>
        <v>0</v>
      </c>
      <c r="X17" s="189">
        <f t="shared" si="5"/>
        <v>0</v>
      </c>
      <c r="Y17" s="189">
        <f t="shared" si="6"/>
        <v>2633.5590499999998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188</v>
      </c>
      <c r="P18" s="158">
        <v>4</v>
      </c>
      <c r="Q18" s="158">
        <v>13</v>
      </c>
      <c r="R18" s="267">
        <v>432.79</v>
      </c>
      <c r="S18" s="268"/>
      <c r="T18" s="269"/>
      <c r="U18" s="189">
        <f t="shared" si="2"/>
        <v>0</v>
      </c>
      <c r="V18" s="189">
        <f t="shared" si="3"/>
        <v>3.2459250000000002</v>
      </c>
      <c r="W18" s="189">
        <f t="shared" si="4"/>
        <v>0</v>
      </c>
      <c r="X18" s="189">
        <f t="shared" si="5"/>
        <v>0</v>
      </c>
      <c r="Y18" s="189">
        <f t="shared" si="6"/>
        <v>429.54407500000002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2272</v>
      </c>
      <c r="C19" s="95"/>
      <c r="D19" s="94"/>
      <c r="E19" s="96"/>
      <c r="F19" s="94"/>
      <c r="G19" s="94"/>
      <c r="H19" s="98"/>
      <c r="I19" s="99">
        <v>2272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188</v>
      </c>
      <c r="P19" s="158">
        <v>227</v>
      </c>
      <c r="Q19" s="158">
        <v>10</v>
      </c>
      <c r="R19" s="267">
        <v>815.85</v>
      </c>
      <c r="S19" s="268"/>
      <c r="T19" s="269"/>
      <c r="U19" s="189">
        <f t="shared" si="2"/>
        <v>0</v>
      </c>
      <c r="V19" s="189">
        <f t="shared" si="3"/>
        <v>6.1188750000000001</v>
      </c>
      <c r="W19" s="189">
        <f t="shared" si="4"/>
        <v>0</v>
      </c>
      <c r="X19" s="189">
        <f t="shared" si="5"/>
        <v>0</v>
      </c>
      <c r="Y19" s="189">
        <f t="shared" si="6"/>
        <v>809.73112500000002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13559.77</v>
      </c>
      <c r="C20" s="95"/>
      <c r="D20" s="94"/>
      <c r="E20" s="96"/>
      <c r="F20" s="94"/>
      <c r="G20" s="94"/>
      <c r="H20" s="98"/>
      <c r="I20" s="99"/>
      <c r="J20" s="185">
        <f t="shared" si="0"/>
        <v>13559.77</v>
      </c>
      <c r="K20" s="99"/>
      <c r="L20" s="187">
        <f t="shared" si="1"/>
        <v>0</v>
      </c>
      <c r="M20" s="107"/>
      <c r="N20" s="104">
        <v>9</v>
      </c>
      <c r="O20" s="152" t="s">
        <v>188</v>
      </c>
      <c r="P20" s="158">
        <v>228</v>
      </c>
      <c r="Q20" s="158">
        <v>10</v>
      </c>
      <c r="R20" s="267">
        <v>2485.11</v>
      </c>
      <c r="S20" s="268"/>
      <c r="T20" s="269">
        <v>101.52</v>
      </c>
      <c r="U20" s="189">
        <f t="shared" si="2"/>
        <v>4.3758620689655174</v>
      </c>
      <c r="V20" s="189">
        <f t="shared" si="3"/>
        <v>18.638325000000002</v>
      </c>
      <c r="W20" s="189">
        <f t="shared" si="4"/>
        <v>0</v>
      </c>
      <c r="X20" s="189">
        <f t="shared" si="5"/>
        <v>2.5380000000000003</v>
      </c>
      <c r="Y20" s="189">
        <f t="shared" si="6"/>
        <v>2466.4716750000002</v>
      </c>
      <c r="Z20" s="189">
        <f t="shared" si="6"/>
        <v>0</v>
      </c>
      <c r="AA20" s="189">
        <f t="shared" si="7"/>
        <v>94.606137931034482</v>
      </c>
      <c r="AB20" s="156"/>
    </row>
    <row r="21" spans="1:28" ht="15.75" x14ac:dyDescent="0.25">
      <c r="A21" s="86" t="s">
        <v>82</v>
      </c>
      <c r="B21" s="89">
        <v>1.2</v>
      </c>
      <c r="C21" s="100"/>
      <c r="D21" s="66"/>
      <c r="E21" s="67"/>
      <c r="F21" s="66"/>
      <c r="G21" s="66"/>
      <c r="H21" s="102"/>
      <c r="I21" s="79"/>
      <c r="J21" s="81">
        <f t="shared" si="0"/>
        <v>1.2</v>
      </c>
      <c r="K21" s="80"/>
      <c r="L21" s="186">
        <f t="shared" si="1"/>
        <v>0</v>
      </c>
      <c r="M21" s="107"/>
      <c r="N21" s="104">
        <v>10</v>
      </c>
      <c r="O21" s="152" t="s">
        <v>188</v>
      </c>
      <c r="P21" s="158">
        <v>680</v>
      </c>
      <c r="Q21" s="158">
        <v>18</v>
      </c>
      <c r="R21" s="267">
        <v>936.65</v>
      </c>
      <c r="S21" s="268"/>
      <c r="T21" s="269"/>
      <c r="U21" s="189">
        <f t="shared" si="2"/>
        <v>0</v>
      </c>
      <c r="V21" s="189">
        <f t="shared" si="3"/>
        <v>7.0248749999999998</v>
      </c>
      <c r="W21" s="189">
        <f t="shared" si="4"/>
        <v>0</v>
      </c>
      <c r="X21" s="189">
        <f t="shared" si="5"/>
        <v>0</v>
      </c>
      <c r="Y21" s="189">
        <f t="shared" si="6"/>
        <v>929.62512500000003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7.38</v>
      </c>
      <c r="C22" s="100"/>
      <c r="D22" s="66"/>
      <c r="E22" s="67"/>
      <c r="F22" s="66"/>
      <c r="G22" s="66"/>
      <c r="H22" s="102"/>
      <c r="I22" s="79"/>
      <c r="J22" s="81">
        <f t="shared" si="0"/>
        <v>7.38</v>
      </c>
      <c r="K22" s="80"/>
      <c r="L22" s="186">
        <f t="shared" si="1"/>
        <v>0</v>
      </c>
      <c r="M22" s="107"/>
      <c r="N22" s="104">
        <v>11</v>
      </c>
      <c r="O22" s="152" t="s">
        <v>188</v>
      </c>
      <c r="P22" s="158">
        <v>681</v>
      </c>
      <c r="Q22" s="158">
        <v>18</v>
      </c>
      <c r="R22" s="270">
        <v>1490.04</v>
      </c>
      <c r="S22" s="268"/>
      <c r="T22" s="268"/>
      <c r="U22" s="189">
        <f t="shared" si="2"/>
        <v>0</v>
      </c>
      <c r="V22" s="189">
        <f t="shared" si="3"/>
        <v>11.1753</v>
      </c>
      <c r="W22" s="189">
        <f t="shared" si="4"/>
        <v>0</v>
      </c>
      <c r="X22" s="189">
        <f t="shared" si="5"/>
        <v>0</v>
      </c>
      <c r="Y22" s="189">
        <f t="shared" si="6"/>
        <v>1478.8646999999999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270"/>
      <c r="S23" s="268"/>
      <c r="T23" s="268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270"/>
      <c r="S24" s="268"/>
      <c r="T24" s="268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1.2</v>
      </c>
      <c r="C27" s="95"/>
      <c r="D27" s="94"/>
      <c r="E27" s="96"/>
      <c r="F27" s="94"/>
      <c r="G27" s="94"/>
      <c r="H27" s="98"/>
      <c r="I27" s="99">
        <v>1.2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7.38</v>
      </c>
      <c r="C28" s="95"/>
      <c r="D28" s="94"/>
      <c r="E28" s="96"/>
      <c r="F28" s="94"/>
      <c r="G28" s="94"/>
      <c r="H28" s="98"/>
      <c r="I28" s="99"/>
      <c r="J28" s="185">
        <f t="shared" si="0"/>
        <v>7.38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27.43</v>
      </c>
      <c r="C29" s="100"/>
      <c r="D29" s="66"/>
      <c r="E29" s="67"/>
      <c r="F29" s="66"/>
      <c r="G29" s="66"/>
      <c r="H29" s="102"/>
      <c r="I29" s="79"/>
      <c r="J29" s="81">
        <f t="shared" si="0"/>
        <v>27.43</v>
      </c>
      <c r="K29" s="80"/>
      <c r="L29" s="186">
        <f>K29-B29</f>
        <v>-27.43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164.03140000000002</v>
      </c>
      <c r="C30" s="100"/>
      <c r="D30" s="66"/>
      <c r="E30" s="67"/>
      <c r="F30" s="66"/>
      <c r="G30" s="66"/>
      <c r="H30" s="102"/>
      <c r="I30" s="79"/>
      <c r="J30" s="81">
        <f t="shared" si="0"/>
        <v>164.03140000000002</v>
      </c>
      <c r="K30" s="80"/>
      <c r="L30" s="186">
        <f>K30-B30</f>
        <v>-164.03140000000002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8"/>
      <c r="Q31" s="158"/>
      <c r="R31" s="162"/>
      <c r="S31" s="160"/>
      <c r="T31" s="160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27.43</v>
      </c>
      <c r="C35" s="95"/>
      <c r="D35" s="94"/>
      <c r="E35" s="96"/>
      <c r="F35" s="94"/>
      <c r="G35" s="94"/>
      <c r="H35" s="98"/>
      <c r="I35" s="99">
        <v>27.43</v>
      </c>
      <c r="J35" s="185">
        <f t="shared" si="0"/>
        <v>0</v>
      </c>
      <c r="K35" s="99"/>
      <c r="L35" s="187">
        <f t="shared" ref="L35:L40" si="8">K35-B35</f>
        <v>-27.43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164.03140000000002</v>
      </c>
      <c r="C36" s="95"/>
      <c r="D36" s="94"/>
      <c r="E36" s="96"/>
      <c r="F36" s="94"/>
      <c r="G36" s="94"/>
      <c r="H36" s="98"/>
      <c r="I36" s="99"/>
      <c r="J36" s="185">
        <f t="shared" si="0"/>
        <v>164.03140000000002</v>
      </c>
      <c r="K36" s="99"/>
      <c r="L36" s="187">
        <f t="shared" si="8"/>
        <v>-164.03140000000002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4.43</v>
      </c>
      <c r="C37" s="100"/>
      <c r="D37" s="66"/>
      <c r="E37" s="67"/>
      <c r="F37" s="66"/>
      <c r="G37" s="66"/>
      <c r="H37" s="102"/>
      <c r="I37" s="79"/>
      <c r="J37" s="81">
        <f t="shared" si="0"/>
        <v>4.43</v>
      </c>
      <c r="K37" s="80"/>
      <c r="L37" s="186">
        <f t="shared" si="8"/>
        <v>-4.43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26.491399999999999</v>
      </c>
      <c r="C38" s="100"/>
      <c r="D38" s="66"/>
      <c r="E38" s="67"/>
      <c r="F38" s="66"/>
      <c r="G38" s="66"/>
      <c r="H38" s="102"/>
      <c r="I38" s="79"/>
      <c r="J38" s="81">
        <f t="shared" si="0"/>
        <v>26.491399999999999</v>
      </c>
      <c r="K38" s="80"/>
      <c r="L38" s="186">
        <f t="shared" si="8"/>
        <v>-26.491399999999999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15499.730000000003</v>
      </c>
      <c r="S42" s="190">
        <f t="shared" si="9"/>
        <v>0</v>
      </c>
      <c r="T42" s="190">
        <f t="shared" si="9"/>
        <v>667.11</v>
      </c>
      <c r="U42" s="190">
        <f t="shared" si="9"/>
        <v>28.754741379310349</v>
      </c>
      <c r="V42" s="190">
        <f t="shared" si="9"/>
        <v>116.247975</v>
      </c>
      <c r="W42" s="190">
        <f t="shared" si="9"/>
        <v>0</v>
      </c>
      <c r="X42" s="190">
        <f t="shared" si="9"/>
        <v>16.677750000000003</v>
      </c>
      <c r="Y42" s="190">
        <f t="shared" si="9"/>
        <v>15383.482025000001</v>
      </c>
      <c r="Z42" s="190">
        <f t="shared" si="9"/>
        <v>0</v>
      </c>
      <c r="AA42" s="190">
        <f t="shared" si="9"/>
        <v>621.67750862068965</v>
      </c>
      <c r="AB42" s="166"/>
    </row>
    <row r="43" spans="1:28" ht="15.75" x14ac:dyDescent="0.25">
      <c r="A43" s="93" t="s">
        <v>101</v>
      </c>
      <c r="B43" s="97">
        <f>+B37+B39+B41</f>
        <v>4.43</v>
      </c>
      <c r="C43" s="95"/>
      <c r="D43" s="94"/>
      <c r="E43" s="96"/>
      <c r="F43" s="94"/>
      <c r="G43" s="94"/>
      <c r="H43" s="98"/>
      <c r="I43" s="99">
        <v>4.43</v>
      </c>
      <c r="J43" s="185">
        <f t="shared" si="0"/>
        <v>0</v>
      </c>
      <c r="K43" s="99"/>
      <c r="L43" s="187">
        <f>K43-B43</f>
        <v>-4.43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26.491399999999999</v>
      </c>
      <c r="C44" s="95"/>
      <c r="D44" s="94"/>
      <c r="E44" s="96"/>
      <c r="F44" s="94"/>
      <c r="G44" s="94"/>
      <c r="H44" s="98"/>
      <c r="I44" s="99"/>
      <c r="J44" s="185">
        <f t="shared" si="0"/>
        <v>26.491399999999999</v>
      </c>
      <c r="K44" s="99"/>
      <c r="L44" s="187">
        <f>K44-B44</f>
        <v>-26.491399999999999</v>
      </c>
      <c r="M44" s="107"/>
      <c r="N44" s="104">
        <v>2</v>
      </c>
      <c r="O44" s="167" t="s">
        <v>69</v>
      </c>
      <c r="P44" s="158"/>
      <c r="Q44" s="158"/>
      <c r="R44" s="160">
        <v>32.06</v>
      </c>
      <c r="S44" s="160"/>
      <c r="T44" s="160"/>
      <c r="U44" s="189">
        <f t="shared" si="10"/>
        <v>0</v>
      </c>
      <c r="V44" s="189">
        <f t="shared" si="11"/>
        <v>0.24045</v>
      </c>
      <c r="W44" s="189">
        <f t="shared" si="12"/>
        <v>0</v>
      </c>
      <c r="X44" s="189">
        <f t="shared" si="13"/>
        <v>0</v>
      </c>
      <c r="Y44" s="189">
        <f t="shared" si="14"/>
        <v>31.819550000000003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135.22999999999999</v>
      </c>
      <c r="S45" s="160"/>
      <c r="T45" s="160">
        <v>101.3</v>
      </c>
      <c r="U45" s="189">
        <f t="shared" si="10"/>
        <v>4.3663793103448283</v>
      </c>
      <c r="V45" s="189">
        <f t="shared" si="11"/>
        <v>1.0142249999999999</v>
      </c>
      <c r="W45" s="189">
        <f t="shared" si="12"/>
        <v>0</v>
      </c>
      <c r="X45" s="189">
        <f t="shared" si="13"/>
        <v>2.5325000000000002</v>
      </c>
      <c r="Y45" s="189">
        <f t="shared" si="14"/>
        <v>134.21577499999998</v>
      </c>
      <c r="Z45" s="189">
        <f t="shared" si="14"/>
        <v>0</v>
      </c>
      <c r="AA45" s="189">
        <f t="shared" si="15"/>
        <v>94.401120689655173</v>
      </c>
      <c r="AB45" s="156"/>
    </row>
    <row r="46" spans="1:28" ht="15.75" x14ac:dyDescent="0.25">
      <c r="A46" s="115" t="s">
        <v>27</v>
      </c>
      <c r="B46" s="117">
        <f>R42</f>
        <v>15499.730000000003</v>
      </c>
      <c r="C46" s="116">
        <v>7.4999999999999997E-3</v>
      </c>
      <c r="D46" s="117">
        <f>B46*C46</f>
        <v>116.24797500000003</v>
      </c>
      <c r="E46" s="172">
        <v>0</v>
      </c>
      <c r="F46" s="117">
        <f t="shared" ref="F46:F50" si="16">D46*E46</f>
        <v>0</v>
      </c>
      <c r="G46" s="117">
        <f t="shared" ref="G46:G51" si="17">B46-D46-F46</f>
        <v>15383.482025000003</v>
      </c>
      <c r="H46" s="173">
        <f>B$6+1</f>
        <v>44786</v>
      </c>
      <c r="I46" s="174">
        <v>15481.73</v>
      </c>
      <c r="J46" s="81">
        <f t="shared" si="0"/>
        <v>18.000000000003638</v>
      </c>
      <c r="K46" s="80">
        <v>15844.45</v>
      </c>
      <c r="L46" s="186">
        <f>K46-G46</f>
        <v>460.96797499999775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167.29</v>
      </c>
      <c r="C47" s="116">
        <v>7.4999999999999997E-3</v>
      </c>
      <c r="D47" s="117">
        <f t="shared" ref="D47:D50" si="18">B47*C47</f>
        <v>1.254675</v>
      </c>
      <c r="E47" s="172">
        <v>0</v>
      </c>
      <c r="F47" s="117">
        <f t="shared" si="16"/>
        <v>0</v>
      </c>
      <c r="G47" s="117">
        <f t="shared" si="17"/>
        <v>166.035325</v>
      </c>
      <c r="H47" s="173">
        <f>B$6+1</f>
        <v>44786</v>
      </c>
      <c r="I47" s="175">
        <v>167.29</v>
      </c>
      <c r="J47" s="81">
        <f t="shared" si="0"/>
        <v>0</v>
      </c>
      <c r="K47" s="80"/>
      <c r="L47" s="186">
        <f t="shared" ref="L47:L64" si="19">+G47-K47</f>
        <v>166.035325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100.46000000000001</v>
      </c>
      <c r="C48" s="116">
        <v>7.4999999999999997E-3</v>
      </c>
      <c r="D48" s="117">
        <f t="shared" si="18"/>
        <v>0.75345000000000006</v>
      </c>
      <c r="E48" s="172">
        <v>0</v>
      </c>
      <c r="F48" s="117">
        <f t="shared" si="16"/>
        <v>0</v>
      </c>
      <c r="G48" s="117">
        <f t="shared" si="17"/>
        <v>99.706550000000007</v>
      </c>
      <c r="H48" s="173">
        <f t="shared" ref="H48:H61" si="20">B$6+1</f>
        <v>44786</v>
      </c>
      <c r="I48" s="176">
        <v>100.46</v>
      </c>
      <c r="J48" s="81">
        <f t="shared" si="0"/>
        <v>0</v>
      </c>
      <c r="K48" s="80"/>
      <c r="L48" s="186">
        <f t="shared" si="19"/>
        <v>99.706550000000007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211</v>
      </c>
      <c r="B49" s="117">
        <f>R75</f>
        <v>5392.25</v>
      </c>
      <c r="C49" s="116">
        <v>7.4999999999999997E-3</v>
      </c>
      <c r="D49" s="117">
        <f t="shared" si="18"/>
        <v>40.441874999999996</v>
      </c>
      <c r="E49" s="172">
        <v>0</v>
      </c>
      <c r="F49" s="117">
        <f t="shared" si="16"/>
        <v>0</v>
      </c>
      <c r="G49" s="117">
        <f t="shared" si="17"/>
        <v>5351.8081249999996</v>
      </c>
      <c r="H49" s="173">
        <f t="shared" si="20"/>
        <v>44786</v>
      </c>
      <c r="I49" s="176">
        <v>5255.4</v>
      </c>
      <c r="J49" s="81">
        <f t="shared" si="0"/>
        <v>136.85000000000036</v>
      </c>
      <c r="K49" s="80"/>
      <c r="L49" s="186">
        <f t="shared" si="19"/>
        <v>5351.8081249999996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3506.7999999999997</v>
      </c>
      <c r="C50" s="116">
        <v>7.4999999999999997E-3</v>
      </c>
      <c r="D50" s="117">
        <f t="shared" si="18"/>
        <v>26.300999999999998</v>
      </c>
      <c r="E50" s="172">
        <v>0</v>
      </c>
      <c r="F50" s="117">
        <f t="shared" si="16"/>
        <v>0</v>
      </c>
      <c r="G50" s="117">
        <f t="shared" si="17"/>
        <v>3480.4989999999998</v>
      </c>
      <c r="H50" s="173">
        <f t="shared" si="20"/>
        <v>44786</v>
      </c>
      <c r="I50" s="175">
        <v>4179.1189999999997</v>
      </c>
      <c r="J50" s="81">
        <f>B50-I50</f>
        <v>-672.31899999999996</v>
      </c>
      <c r="K50" s="80"/>
      <c r="L50" s="186">
        <f t="shared" si="19"/>
        <v>3480.4989999999998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684.83</v>
      </c>
      <c r="C51" s="116">
        <v>1.4999999999999999E-2</v>
      </c>
      <c r="D51" s="117">
        <f>+B51*C51</f>
        <v>10.272450000000001</v>
      </c>
      <c r="E51" s="172">
        <v>0</v>
      </c>
      <c r="F51" s="117">
        <f>D51*E51</f>
        <v>0</v>
      </c>
      <c r="G51" s="117">
        <f t="shared" si="17"/>
        <v>674.55754999999999</v>
      </c>
      <c r="H51" s="173">
        <f t="shared" si="20"/>
        <v>44786</v>
      </c>
      <c r="I51" s="175"/>
      <c r="J51" s="81">
        <f t="shared" si="0"/>
        <v>684.83</v>
      </c>
      <c r="K51" s="80"/>
      <c r="L51" s="186">
        <f t="shared" si="19"/>
        <v>674.55754999999999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667.11</v>
      </c>
      <c r="C52" s="116">
        <v>2.5000000000000001E-2</v>
      </c>
      <c r="D52" s="117">
        <f>B52*C52</f>
        <v>16.67775</v>
      </c>
      <c r="E52" s="172">
        <v>0.05</v>
      </c>
      <c r="F52" s="117">
        <f>(B52/E$10)*E52</f>
        <v>28.754741379310349</v>
      </c>
      <c r="G52" s="117">
        <f>B52-D52-F52</f>
        <v>621.67750862068976</v>
      </c>
      <c r="H52" s="188">
        <f t="shared" si="20"/>
        <v>44786</v>
      </c>
      <c r="I52" s="176">
        <v>667.11</v>
      </c>
      <c r="J52" s="81">
        <f t="shared" si="0"/>
        <v>0</v>
      </c>
      <c r="K52" s="80">
        <v>188.88</v>
      </c>
      <c r="L52" s="186">
        <f>K52-G52</f>
        <v>-432.79750862068977</v>
      </c>
      <c r="M52" s="107"/>
      <c r="N52" s="104">
        <v>10</v>
      </c>
      <c r="O52" s="167" t="s">
        <v>69</v>
      </c>
      <c r="P52" s="242"/>
      <c r="Q52" s="84"/>
      <c r="R52" s="160"/>
      <c r="S52" s="160"/>
      <c r="T52" s="160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101.3</v>
      </c>
      <c r="C53" s="116">
        <v>2.5000000000000001E-2</v>
      </c>
      <c r="D53" s="117">
        <f t="shared" ref="D53:D56" si="21">B53*C53</f>
        <v>2.5325000000000002</v>
      </c>
      <c r="E53" s="172">
        <v>0.05</v>
      </c>
      <c r="F53" s="117">
        <f t="shared" ref="F53:F56" si="22">(B53/E$10)*E53</f>
        <v>4.3663793103448283</v>
      </c>
      <c r="G53" s="117">
        <f t="shared" ref="G53:G58" si="23">B53-D53-F53</f>
        <v>94.401120689655173</v>
      </c>
      <c r="H53" s="188">
        <f t="shared" si="20"/>
        <v>44786</v>
      </c>
      <c r="I53" s="176">
        <v>101.3</v>
      </c>
      <c r="J53" s="81">
        <f t="shared" si="0"/>
        <v>0</v>
      </c>
      <c r="K53" s="80"/>
      <c r="L53" s="186">
        <f t="shared" si="19"/>
        <v>94.401120689655173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44786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44786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210</v>
      </c>
      <c r="B56" s="117">
        <f>T75</f>
        <v>203.63</v>
      </c>
      <c r="C56" s="116">
        <v>2.5000000000000001E-2</v>
      </c>
      <c r="D56" s="117">
        <f t="shared" si="21"/>
        <v>5.0907499999999999</v>
      </c>
      <c r="E56" s="172">
        <v>0.05</v>
      </c>
      <c r="F56" s="117">
        <f t="shared" si="22"/>
        <v>8.7771551724137939</v>
      </c>
      <c r="G56" s="117">
        <f t="shared" si="23"/>
        <v>189.7620948275862</v>
      </c>
      <c r="H56" s="173">
        <f t="shared" si="20"/>
        <v>44786</v>
      </c>
      <c r="I56" s="176">
        <v>203.63</v>
      </c>
      <c r="J56" s="81">
        <f t="shared" si="0"/>
        <v>0</v>
      </c>
      <c r="K56" s="80"/>
      <c r="L56" s="186">
        <f t="shared" si="19"/>
        <v>189.7620948275862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44788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44790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44815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219.57242500000001</v>
      </c>
      <c r="E61" s="177"/>
      <c r="F61" s="57">
        <f>SUM(F46:F58)</f>
        <v>41.898275862068971</v>
      </c>
      <c r="G61" s="57">
        <f>SUM(G46:G58)</f>
        <v>26061.929299137937</v>
      </c>
      <c r="H61" s="173">
        <f t="shared" si="20"/>
        <v>44786</v>
      </c>
      <c r="I61" s="175"/>
      <c r="J61" s="81">
        <f t="shared" si="0"/>
        <v>0</v>
      </c>
      <c r="K61" s="80"/>
      <c r="L61" s="186">
        <f t="shared" si="19"/>
        <v>26061.929299137937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12</v>
      </c>
      <c r="C62" s="18"/>
      <c r="D62" s="101"/>
      <c r="E62" s="178"/>
      <c r="F62" s="101"/>
      <c r="G62" s="57"/>
      <c r="H62" s="173">
        <f>B$6+1</f>
        <v>44786</v>
      </c>
      <c r="I62" s="176"/>
      <c r="J62" s="81">
        <f t="shared" si="0"/>
        <v>12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239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167.29</v>
      </c>
      <c r="S63" s="191">
        <f>SUM(S43:S62)</f>
        <v>0</v>
      </c>
      <c r="T63" s="191">
        <f>SUM(T43:T62)</f>
        <v>101.3</v>
      </c>
      <c r="U63" s="191">
        <f t="shared" ref="U63:X63" si="26">SUM(U43:U62)</f>
        <v>4.3663793103448283</v>
      </c>
      <c r="V63" s="191">
        <f t="shared" si="26"/>
        <v>1.254675</v>
      </c>
      <c r="W63" s="191">
        <f t="shared" si="26"/>
        <v>0</v>
      </c>
      <c r="X63" s="191">
        <f t="shared" si="26"/>
        <v>2.5325000000000002</v>
      </c>
      <c r="Y63" s="191">
        <f>SUM(Y43:Y62)</f>
        <v>166.03532499999997</v>
      </c>
      <c r="Z63" s="191">
        <f t="shared" ref="Z63:AA63" si="27">SUM(Z43:Z62)</f>
        <v>0</v>
      </c>
      <c r="AA63" s="191">
        <f t="shared" si="27"/>
        <v>94.401120689655173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52123.858598275874</v>
      </c>
      <c r="H64" s="184"/>
      <c r="I64" s="175"/>
      <c r="J64" s="81">
        <f t="shared" si="0"/>
        <v>0</v>
      </c>
      <c r="K64" s="80"/>
      <c r="L64" s="186">
        <f t="shared" si="19"/>
        <v>52123.858598275874</v>
      </c>
      <c r="M64" s="130"/>
      <c r="N64" s="87">
        <v>1</v>
      </c>
      <c r="O64" s="122" t="s">
        <v>209</v>
      </c>
      <c r="P64" s="225"/>
      <c r="Q64" s="225">
        <v>3984</v>
      </c>
      <c r="R64" s="275">
        <v>23.32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0.1749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23.145099999999999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41876.072800000009</v>
      </c>
      <c r="G65" s="22"/>
      <c r="L65" s="132"/>
      <c r="M65" s="131"/>
      <c r="N65" s="87">
        <v>2</v>
      </c>
      <c r="O65" s="122" t="s">
        <v>209</v>
      </c>
      <c r="P65" s="225"/>
      <c r="Q65" s="225">
        <v>5250</v>
      </c>
      <c r="R65" s="275">
        <v>9.99</v>
      </c>
      <c r="S65" s="225"/>
      <c r="T65" s="87"/>
      <c r="U65" s="189">
        <f t="shared" si="28"/>
        <v>0</v>
      </c>
      <c r="V65" s="189">
        <f t="shared" si="29"/>
        <v>7.4925000000000005E-2</v>
      </c>
      <c r="W65" s="189">
        <f t="shared" si="30"/>
        <v>0</v>
      </c>
      <c r="X65" s="189">
        <f t="shared" si="31"/>
        <v>0</v>
      </c>
      <c r="Y65" s="189">
        <f t="shared" si="32"/>
        <v>9.9150749999999999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5"/>
      <c r="Q66" s="225">
        <v>9895</v>
      </c>
      <c r="R66" s="275">
        <v>16.5</v>
      </c>
      <c r="S66" s="225"/>
      <c r="T66" s="87"/>
      <c r="U66" s="189">
        <f t="shared" si="28"/>
        <v>0</v>
      </c>
      <c r="V66" s="189">
        <f t="shared" si="29"/>
        <v>0.12375</v>
      </c>
      <c r="W66" s="189">
        <f t="shared" si="30"/>
        <v>0</v>
      </c>
      <c r="X66" s="189">
        <f t="shared" si="31"/>
        <v>0</v>
      </c>
      <c r="Y66" s="189">
        <f t="shared" si="32"/>
        <v>16.376249999999999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209</v>
      </c>
      <c r="P67" s="225"/>
      <c r="Q67" s="225">
        <v>9701</v>
      </c>
      <c r="R67" s="275">
        <v>37.78</v>
      </c>
      <c r="S67" s="225"/>
      <c r="T67" s="87"/>
      <c r="U67" s="189">
        <f t="shared" si="28"/>
        <v>0</v>
      </c>
      <c r="V67" s="189">
        <f t="shared" si="29"/>
        <v>0.28334999999999999</v>
      </c>
      <c r="W67" s="189">
        <f t="shared" si="30"/>
        <v>0</v>
      </c>
      <c r="X67" s="189">
        <f t="shared" si="31"/>
        <v>0</v>
      </c>
      <c r="Y67" s="189">
        <f t="shared" si="32"/>
        <v>37.496650000000002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41703.78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209</v>
      </c>
      <c r="P68" s="225"/>
      <c r="Q68" s="225">
        <v>9759</v>
      </c>
      <c r="R68" s="225">
        <f>10+2.87</f>
        <v>12.870000000000001</v>
      </c>
      <c r="S68" s="225"/>
      <c r="T68" s="87"/>
      <c r="U68" s="189">
        <f t="shared" si="28"/>
        <v>0</v>
      </c>
      <c r="V68" s="189">
        <f t="shared" si="29"/>
        <v>9.6525E-2</v>
      </c>
      <c r="W68" s="189">
        <f t="shared" si="30"/>
        <v>0</v>
      </c>
      <c r="X68" s="189">
        <f t="shared" si="31"/>
        <v>0</v>
      </c>
      <c r="Y68" s="189">
        <f t="shared" si="32"/>
        <v>12.773475000000001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41331.43</v>
      </c>
      <c r="C69" s="59"/>
      <c r="F69" s="87" t="s">
        <v>127</v>
      </c>
      <c r="G69" s="22"/>
      <c r="H69" s="89"/>
      <c r="I69" s="136"/>
      <c r="J69" s="136">
        <f>K52</f>
        <v>188.88</v>
      </c>
      <c r="N69" s="312" t="s">
        <v>108</v>
      </c>
      <c r="O69" s="312"/>
      <c r="P69" s="313"/>
      <c r="Q69" s="313"/>
      <c r="R69" s="192">
        <f>SUM(R64:R68)</f>
        <v>100.46000000000001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0.75344999999999995</v>
      </c>
      <c r="W69" s="192">
        <f t="shared" si="34"/>
        <v>0</v>
      </c>
      <c r="X69" s="192">
        <f t="shared" si="34"/>
        <v>0</v>
      </c>
      <c r="Y69" s="192">
        <f t="shared" si="34"/>
        <v>99.706550000000007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372.34999999999854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211</v>
      </c>
      <c r="Q70" s="275">
        <v>2001</v>
      </c>
      <c r="R70" s="221">
        <v>174.83</v>
      </c>
      <c r="S70" s="225"/>
      <c r="T70" s="221"/>
      <c r="U70" s="189">
        <f t="shared" ref="U70:U74" si="35">((T70/U$10)*U$9)</f>
        <v>0</v>
      </c>
      <c r="V70" s="189">
        <f t="shared" ref="V70:V74" si="36">R70*V$10</f>
        <v>1.3112250000000001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173.51877500000001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172.29280000001017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188.88</v>
      </c>
      <c r="N71" s="87">
        <v>2</v>
      </c>
      <c r="O71" s="122" t="s">
        <v>208</v>
      </c>
      <c r="P71" s="251">
        <v>212</v>
      </c>
      <c r="Q71" s="225">
        <v>2001</v>
      </c>
      <c r="R71" s="221">
        <v>131.30000000000001</v>
      </c>
      <c r="S71" s="225"/>
      <c r="T71" s="221"/>
      <c r="U71" s="189">
        <f t="shared" si="35"/>
        <v>0</v>
      </c>
      <c r="V71" s="189">
        <f t="shared" si="36"/>
        <v>0.98475000000000001</v>
      </c>
      <c r="W71" s="189">
        <f t="shared" si="37"/>
        <v>0</v>
      </c>
      <c r="X71" s="189">
        <f t="shared" si="38"/>
        <v>0</v>
      </c>
      <c r="Y71" s="189">
        <f t="shared" si="39"/>
        <v>130.31525000000002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51">
        <v>61</v>
      </c>
      <c r="Q72" s="225">
        <v>2001</v>
      </c>
      <c r="R72" s="221">
        <v>42.35</v>
      </c>
      <c r="S72" s="225"/>
      <c r="T72" s="225"/>
      <c r="U72" s="189">
        <f t="shared" si="35"/>
        <v>0</v>
      </c>
      <c r="V72" s="189">
        <f t="shared" si="36"/>
        <v>0.31762499999999999</v>
      </c>
      <c r="W72" s="189">
        <f t="shared" si="37"/>
        <v>0</v>
      </c>
      <c r="X72" s="189">
        <f t="shared" si="38"/>
        <v>0</v>
      </c>
      <c r="Y72" s="189">
        <f t="shared" si="39"/>
        <v>42.032375000000002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51">
        <v>62</v>
      </c>
      <c r="Q73" s="225">
        <v>2001</v>
      </c>
      <c r="R73" s="221">
        <v>1726.07</v>
      </c>
      <c r="S73" s="225"/>
      <c r="T73" s="225">
        <v>13.21</v>
      </c>
      <c r="U73" s="189">
        <f t="shared" si="35"/>
        <v>0.56939655172413806</v>
      </c>
      <c r="V73" s="189">
        <f t="shared" si="36"/>
        <v>12.945524999999998</v>
      </c>
      <c r="W73" s="189">
        <f t="shared" si="37"/>
        <v>0</v>
      </c>
      <c r="X73" s="189">
        <f t="shared" si="38"/>
        <v>0.33025000000000004</v>
      </c>
      <c r="Y73" s="189">
        <f t="shared" si="39"/>
        <v>1713.1244749999998</v>
      </c>
      <c r="Z73" s="189">
        <f t="shared" si="39"/>
        <v>0</v>
      </c>
      <c r="AA73" s="189">
        <f t="shared" si="40"/>
        <v>12.310353448275864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208</v>
      </c>
      <c r="P74" s="251">
        <v>207</v>
      </c>
      <c r="Q74" s="225">
        <v>2001</v>
      </c>
      <c r="R74" s="221">
        <f>352.1+2965.6</f>
        <v>3317.7</v>
      </c>
      <c r="S74" s="225"/>
      <c r="T74" s="225">
        <v>190.42</v>
      </c>
      <c r="U74" s="189">
        <f t="shared" si="35"/>
        <v>8.2077586206896562</v>
      </c>
      <c r="V74" s="189">
        <f t="shared" si="36"/>
        <v>24.882749999999998</v>
      </c>
      <c r="W74" s="189">
        <f t="shared" si="37"/>
        <v>0</v>
      </c>
      <c r="X74" s="189">
        <f t="shared" si="38"/>
        <v>4.7604999999999995</v>
      </c>
      <c r="Y74" s="189">
        <f t="shared" si="39"/>
        <v>3292.8172499999996</v>
      </c>
      <c r="Z74" s="189">
        <f t="shared" si="39"/>
        <v>0</v>
      </c>
      <c r="AA74" s="189">
        <f t="shared" si="40"/>
        <v>177.45174137931033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5392.25</v>
      </c>
      <c r="S75" s="192"/>
      <c r="T75" s="192">
        <f>SUM(T70:T74)</f>
        <v>203.63</v>
      </c>
      <c r="U75" s="192">
        <f>SUM(U70:U74)</f>
        <v>8.7771551724137939</v>
      </c>
      <c r="V75" s="192">
        <f t="shared" ref="V75:AA75" si="42">SUM(V70:V74)</f>
        <v>40.441874999999996</v>
      </c>
      <c r="W75" s="192">
        <f t="shared" si="42"/>
        <v>0</v>
      </c>
      <c r="X75" s="192">
        <f t="shared" si="42"/>
        <v>5.0907499999999999</v>
      </c>
      <c r="Y75" s="192">
        <f t="shared" si="42"/>
        <v>5351.8081249999996</v>
      </c>
      <c r="Z75" s="192">
        <f t="shared" si="42"/>
        <v>0</v>
      </c>
      <c r="AA75" s="193">
        <f t="shared" si="42"/>
        <v>189.7620948275862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196.06+32.74+203.82+36.72</f>
        <v>469.34000000000003</v>
      </c>
      <c r="R78" s="82">
        <v>7.4999999999999997E-3</v>
      </c>
      <c r="S78" s="194">
        <f>+(P78+Q78)*R78</f>
        <v>3.5200499999999999</v>
      </c>
      <c r="T78" s="258">
        <f>+(P78+Q78)-S78</f>
        <v>465.81995000000001</v>
      </c>
      <c r="U78" s="211">
        <f>49.74+126.8</f>
        <v>176.54</v>
      </c>
      <c r="V78" s="112"/>
      <c r="W78" s="113">
        <v>1.4999999999999999E-2</v>
      </c>
      <c r="X78" s="196">
        <f>+(U78+V78)*W78</f>
        <v>2.6480999999999999</v>
      </c>
      <c r="Y78" s="258">
        <f>+(U78+V78)-X78</f>
        <v>173.89189999999999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f>762.11+26.48+56.49</f>
        <v>845.08</v>
      </c>
      <c r="R79" s="82">
        <v>7.4999999999999997E-3</v>
      </c>
      <c r="S79" s="194">
        <f t="shared" ref="S79:S97" si="44">+(P79+Q79)*R79</f>
        <v>6.3380999999999998</v>
      </c>
      <c r="T79" s="258">
        <f t="shared" ref="T79:T97" si="45">+(P79+Q79)-S79</f>
        <v>838.74189999999999</v>
      </c>
      <c r="U79" s="211">
        <f>2.73+70.29</f>
        <v>73.02000000000001</v>
      </c>
      <c r="V79" s="112"/>
      <c r="W79" s="113">
        <v>1.4999999999999999E-2</v>
      </c>
      <c r="X79" s="196">
        <f t="shared" ref="X79:X97" si="46">+(U79+V79)*W79</f>
        <v>1.0953000000000002</v>
      </c>
      <c r="Y79" s="258">
        <f t="shared" ref="Y79:Y97" si="47">+(U79+V79)-X79</f>
        <v>71.924700000000016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499.27+98.28+191.17+23</f>
        <v>811.71999999999991</v>
      </c>
      <c r="R80" s="82">
        <v>7.4999999999999997E-3</v>
      </c>
      <c r="S80" s="194">
        <f t="shared" si="44"/>
        <v>6.0878999999999994</v>
      </c>
      <c r="T80" s="254">
        <f t="shared" si="45"/>
        <v>805.63209999999992</v>
      </c>
      <c r="U80" s="211">
        <f>52.45+92.22</f>
        <v>144.67000000000002</v>
      </c>
      <c r="V80" s="112"/>
      <c r="W80" s="113">
        <v>1.4999999999999999E-2</v>
      </c>
      <c r="X80" s="196">
        <f t="shared" si="46"/>
        <v>2.1700500000000003</v>
      </c>
      <c r="Y80" s="217">
        <f t="shared" si="47"/>
        <v>142.49995000000001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353.19+183.53+400.27+15.95</f>
        <v>952.94</v>
      </c>
      <c r="R81" s="82">
        <v>7.4999999999999997E-3</v>
      </c>
      <c r="S81" s="194">
        <f t="shared" si="44"/>
        <v>7.1470500000000001</v>
      </c>
      <c r="T81" s="254">
        <f t="shared" si="45"/>
        <v>945.79295000000002</v>
      </c>
      <c r="U81" s="211">
        <f>157.25</f>
        <v>157.25</v>
      </c>
      <c r="V81" s="112"/>
      <c r="W81" s="113">
        <v>1.4999999999999999E-2</v>
      </c>
      <c r="X81" s="196">
        <f t="shared" si="46"/>
        <v>2.3587500000000001</v>
      </c>
      <c r="Y81" s="258">
        <f t="shared" si="47"/>
        <v>154.89125000000001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312.33+115.39</f>
        <v>427.71999999999997</v>
      </c>
      <c r="R82" s="82">
        <v>7.4999999999999997E-3</v>
      </c>
      <c r="S82" s="194">
        <f t="shared" si="44"/>
        <v>3.2078999999999995</v>
      </c>
      <c r="T82" s="254">
        <f t="shared" si="45"/>
        <v>424.51209999999998</v>
      </c>
      <c r="U82" s="211">
        <v>133.35</v>
      </c>
      <c r="V82" s="112"/>
      <c r="W82" s="113">
        <v>1.4999999999999999E-2</v>
      </c>
      <c r="X82" s="196">
        <f t="shared" si="46"/>
        <v>2.0002499999999999</v>
      </c>
      <c r="Y82" s="213">
        <f t="shared" si="47"/>
        <v>131.34975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54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58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54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258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5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58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3506.7999999999997</v>
      </c>
      <c r="R98" s="111"/>
      <c r="S98" s="195">
        <f>SUM(S78:S97)</f>
        <v>26.300999999999998</v>
      </c>
      <c r="T98" s="195">
        <f>SUM(T78:T97)</f>
        <v>3480.4989999999998</v>
      </c>
      <c r="U98" s="114">
        <f>SUM(U78:U97)</f>
        <v>684.83</v>
      </c>
      <c r="V98" s="114">
        <f>SUM(V78:V97)</f>
        <v>0</v>
      </c>
      <c r="W98" s="112"/>
      <c r="X98" s="197">
        <f>SUM(X78:X97)</f>
        <v>10.272450000000001</v>
      </c>
      <c r="Y98" s="197">
        <f>SUM(Y78:Y97)</f>
        <v>674.55754999999999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3">
        <f>P78+Q78+U78</f>
        <v>645.88</v>
      </c>
      <c r="R101" s="84"/>
    </row>
    <row r="102" spans="14:30" x14ac:dyDescent="0.25">
      <c r="N102" s="85"/>
      <c r="Q102" s="215">
        <f t="shared" ref="Q102" si="51">P79+Q79+U79</f>
        <v>918.1</v>
      </c>
      <c r="R102" s="84"/>
    </row>
    <row r="103" spans="14:30" x14ac:dyDescent="0.25">
      <c r="N103" s="85"/>
      <c r="Q103" s="215">
        <f t="shared" ref="Q103:Q107" si="52">P80+Q80+U80</f>
        <v>956.38999999999987</v>
      </c>
      <c r="R103" s="84"/>
    </row>
    <row r="104" spans="14:30" x14ac:dyDescent="0.25">
      <c r="N104" s="85"/>
      <c r="Q104" s="215">
        <f>P81+Q81+U81</f>
        <v>1110.19</v>
      </c>
      <c r="R104" s="84"/>
    </row>
    <row r="105" spans="14:30" x14ac:dyDescent="0.25">
      <c r="N105" s="85"/>
      <c r="Q105" s="215">
        <f t="shared" si="52"/>
        <v>561.06999999999994</v>
      </c>
      <c r="R105" s="84"/>
    </row>
    <row r="106" spans="14:30" x14ac:dyDescent="0.25">
      <c r="N106" s="85"/>
      <c r="Q106" s="215">
        <f t="shared" si="52"/>
        <v>0</v>
      </c>
      <c r="R106" s="84"/>
    </row>
    <row r="107" spans="14:30" x14ac:dyDescent="0.25">
      <c r="N107" s="85"/>
      <c r="Q107" s="246">
        <f t="shared" si="52"/>
        <v>0</v>
      </c>
      <c r="R107" s="84"/>
    </row>
    <row r="108" spans="14:30" x14ac:dyDescent="0.25">
      <c r="N108" s="85"/>
      <c r="Q108" s="84">
        <f>P85+Q85+U85</f>
        <v>0</v>
      </c>
      <c r="R108" s="84"/>
    </row>
    <row r="109" spans="14:30" x14ac:dyDescent="0.25">
      <c r="N109" s="85"/>
      <c r="Q109" s="246">
        <f>P86+Q86+U86</f>
        <v>0</v>
      </c>
      <c r="R109" s="84"/>
    </row>
    <row r="110" spans="14:30" x14ac:dyDescent="0.25">
      <c r="N110" s="85"/>
      <c r="Q110" s="84">
        <f>P87+Q87+U87</f>
        <v>0</v>
      </c>
      <c r="R110" s="84"/>
    </row>
    <row r="111" spans="14:30" x14ac:dyDescent="0.25">
      <c r="N111" s="85"/>
      <c r="Q111" s="84"/>
      <c r="R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27" zoomScale="90" zoomScaleNormal="90" workbookViewId="0">
      <selection activeCell="L52" sqref="L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>
        <v>6.12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1999.5</v>
      </c>
      <c r="C12" s="15"/>
      <c r="D12" s="56"/>
      <c r="E12" s="16"/>
      <c r="F12" s="56"/>
      <c r="G12" s="56"/>
      <c r="H12" s="17"/>
      <c r="I12" s="83">
        <v>1999.5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229</v>
      </c>
      <c r="Q12" s="153">
        <v>11</v>
      </c>
      <c r="R12" s="154">
        <v>506.58</v>
      </c>
      <c r="S12" s="155"/>
      <c r="T12" s="155"/>
      <c r="U12" s="189">
        <f>((T12/U$10)*U$9)</f>
        <v>0</v>
      </c>
      <c r="V12" s="189">
        <f>R12*V$10</f>
        <v>3.7993499999999996</v>
      </c>
      <c r="W12" s="189">
        <f>+S12*V$10</f>
        <v>0</v>
      </c>
      <c r="X12" s="189">
        <f>+T12*X$10</f>
        <v>0</v>
      </c>
      <c r="Y12" s="189">
        <f>R12-V12</f>
        <v>502.78064999999998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3397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3397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228</v>
      </c>
      <c r="Q13" s="153">
        <v>11</v>
      </c>
      <c r="R13" s="154">
        <v>1687.99</v>
      </c>
      <c r="S13" s="155"/>
      <c r="T13" s="157">
        <v>143.1</v>
      </c>
      <c r="U13" s="189">
        <f t="shared" ref="U13:U41" si="2">((T13/U$10)*U$9)</f>
        <v>6.1681034482758621</v>
      </c>
      <c r="V13" s="189">
        <f t="shared" ref="V13:V41" si="3">R13*V$10</f>
        <v>12.659924999999999</v>
      </c>
      <c r="W13" s="189">
        <f t="shared" ref="W13:W41" si="4">+S13*V$10</f>
        <v>0</v>
      </c>
      <c r="X13" s="189">
        <f t="shared" ref="X13:X41" si="5">+T13*X$10</f>
        <v>3.5775000000000001</v>
      </c>
      <c r="Y13" s="189">
        <f t="shared" ref="Y13:Z41" si="6">R13-V13</f>
        <v>1675.3300750000001</v>
      </c>
      <c r="Z13" s="189">
        <f t="shared" si="6"/>
        <v>0</v>
      </c>
      <c r="AA13" s="189">
        <f t="shared" ref="AA13:AA41" si="7">T13-U13-X13</f>
        <v>133.35439655172414</v>
      </c>
      <c r="AB13" s="156"/>
    </row>
    <row r="14" spans="1:28" ht="15.75" x14ac:dyDescent="0.25">
      <c r="A14" s="86" t="s">
        <v>81</v>
      </c>
      <c r="B14" s="57">
        <f>B13*B8</f>
        <v>20314.060000000001</v>
      </c>
      <c r="C14" s="15"/>
      <c r="D14" s="56"/>
      <c r="E14" s="16"/>
      <c r="F14" s="56"/>
      <c r="G14" s="56"/>
      <c r="H14" s="17"/>
      <c r="I14" s="83"/>
      <c r="J14" s="81">
        <f t="shared" si="0"/>
        <v>20314.060000000001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612</v>
      </c>
      <c r="Q14" s="153">
        <v>2</v>
      </c>
      <c r="R14" s="154">
        <v>1971.33</v>
      </c>
      <c r="S14" s="155"/>
      <c r="T14" s="157">
        <v>19.43</v>
      </c>
      <c r="U14" s="189">
        <f t="shared" si="2"/>
        <v>0.83750000000000002</v>
      </c>
      <c r="V14" s="189">
        <f t="shared" si="3"/>
        <v>14.784974999999999</v>
      </c>
      <c r="W14" s="189">
        <f t="shared" si="4"/>
        <v>0</v>
      </c>
      <c r="X14" s="189">
        <f t="shared" si="5"/>
        <v>0.48575000000000002</v>
      </c>
      <c r="Y14" s="189">
        <f t="shared" si="6"/>
        <v>1956.5450249999999</v>
      </c>
      <c r="Z14" s="189">
        <f t="shared" si="6"/>
        <v>0</v>
      </c>
      <c r="AA14" s="189">
        <f t="shared" si="7"/>
        <v>18.106750000000002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613</v>
      </c>
      <c r="Q15" s="153">
        <v>2</v>
      </c>
      <c r="R15" s="154">
        <v>1525.34</v>
      </c>
      <c r="S15" s="155"/>
      <c r="T15" s="157"/>
      <c r="U15" s="189">
        <f t="shared" si="2"/>
        <v>0</v>
      </c>
      <c r="V15" s="189">
        <f t="shared" si="3"/>
        <v>11.440049999999999</v>
      </c>
      <c r="W15" s="189">
        <f t="shared" si="4"/>
        <v>0</v>
      </c>
      <c r="X15" s="189">
        <f t="shared" si="5"/>
        <v>0</v>
      </c>
      <c r="Y15" s="189">
        <f t="shared" si="6"/>
        <v>1513.89995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592</v>
      </c>
      <c r="Q16" s="153">
        <v>4</v>
      </c>
      <c r="R16" s="154">
        <v>408.9</v>
      </c>
      <c r="S16" s="155"/>
      <c r="T16" s="157"/>
      <c r="U16" s="189">
        <f t="shared" si="2"/>
        <v>0</v>
      </c>
      <c r="V16" s="189">
        <f t="shared" si="3"/>
        <v>3.0667499999999999</v>
      </c>
      <c r="W16" s="189">
        <f t="shared" si="4"/>
        <v>0</v>
      </c>
      <c r="X16" s="189">
        <f t="shared" si="5"/>
        <v>0</v>
      </c>
      <c r="Y16" s="189">
        <f t="shared" si="6"/>
        <v>405.83324999999996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593</v>
      </c>
      <c r="Q17" s="153">
        <v>4</v>
      </c>
      <c r="R17" s="154">
        <v>780.11</v>
      </c>
      <c r="S17" s="155"/>
      <c r="T17" s="157">
        <v>69.63</v>
      </c>
      <c r="U17" s="189">
        <f t="shared" si="2"/>
        <v>3.0012931034482762</v>
      </c>
      <c r="V17" s="189">
        <f t="shared" si="3"/>
        <v>5.8508249999999995</v>
      </c>
      <c r="W17" s="189">
        <f t="shared" si="4"/>
        <v>0</v>
      </c>
      <c r="X17" s="189">
        <f t="shared" si="5"/>
        <v>1.74075</v>
      </c>
      <c r="Y17" s="189">
        <f t="shared" si="6"/>
        <v>774.25917500000003</v>
      </c>
      <c r="Z17" s="189">
        <f t="shared" si="6"/>
        <v>0</v>
      </c>
      <c r="AA17" s="189">
        <f t="shared" si="7"/>
        <v>64.887956896551714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5</v>
      </c>
      <c r="Q18" s="153">
        <v>13</v>
      </c>
      <c r="R18" s="154">
        <v>481.39</v>
      </c>
      <c r="S18" s="155"/>
      <c r="T18" s="157"/>
      <c r="U18" s="189">
        <f t="shared" si="2"/>
        <v>0</v>
      </c>
      <c r="V18" s="189">
        <f t="shared" si="3"/>
        <v>3.6104249999999998</v>
      </c>
      <c r="W18" s="189">
        <f t="shared" si="4"/>
        <v>0</v>
      </c>
      <c r="X18" s="189">
        <f t="shared" si="5"/>
        <v>0</v>
      </c>
      <c r="Y18" s="189">
        <f t="shared" si="6"/>
        <v>477.77957499999997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3397</v>
      </c>
      <c r="C19" s="95"/>
      <c r="D19" s="94"/>
      <c r="E19" s="96"/>
      <c r="F19" s="94"/>
      <c r="G19" s="94"/>
      <c r="H19" s="98"/>
      <c r="I19" s="99">
        <v>3397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229</v>
      </c>
      <c r="Q19" s="158">
        <v>10</v>
      </c>
      <c r="R19" s="159">
        <v>329.81</v>
      </c>
      <c r="S19" s="160"/>
      <c r="T19" s="161"/>
      <c r="U19" s="189">
        <f t="shared" si="2"/>
        <v>0</v>
      </c>
      <c r="V19" s="189">
        <f t="shared" si="3"/>
        <v>2.4735749999999999</v>
      </c>
      <c r="W19" s="189">
        <f t="shared" si="4"/>
        <v>0</v>
      </c>
      <c r="X19" s="189">
        <f t="shared" si="5"/>
        <v>0</v>
      </c>
      <c r="Y19" s="189">
        <f t="shared" si="6"/>
        <v>327.33642500000002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20314.060000000001</v>
      </c>
      <c r="C20" s="95"/>
      <c r="D20" s="94"/>
      <c r="E20" s="96"/>
      <c r="F20" s="94"/>
      <c r="G20" s="94"/>
      <c r="H20" s="98"/>
      <c r="I20" s="99"/>
      <c r="J20" s="185">
        <f t="shared" si="0"/>
        <v>20314.060000000001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230</v>
      </c>
      <c r="Q20" s="158">
        <v>10</v>
      </c>
      <c r="R20" s="159">
        <v>1267.56</v>
      </c>
      <c r="S20" s="160"/>
      <c r="T20" s="161"/>
      <c r="U20" s="189">
        <f t="shared" si="2"/>
        <v>0</v>
      </c>
      <c r="V20" s="189">
        <f t="shared" si="3"/>
        <v>9.5066999999999986</v>
      </c>
      <c r="W20" s="189">
        <f t="shared" si="4"/>
        <v>0</v>
      </c>
      <c r="X20" s="189">
        <f t="shared" si="5"/>
        <v>0</v>
      </c>
      <c r="Y20" s="189">
        <f t="shared" si="6"/>
        <v>1258.0533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682</v>
      </c>
      <c r="Q21" s="158">
        <v>18</v>
      </c>
      <c r="R21" s="159">
        <v>663.39</v>
      </c>
      <c r="S21" s="160"/>
      <c r="T21" s="161">
        <v>25.03</v>
      </c>
      <c r="U21" s="189">
        <f t="shared" si="2"/>
        <v>1.0788793103448278</v>
      </c>
      <c r="V21" s="189">
        <f t="shared" si="3"/>
        <v>4.9754249999999995</v>
      </c>
      <c r="W21" s="189">
        <f t="shared" si="4"/>
        <v>0</v>
      </c>
      <c r="X21" s="189">
        <f t="shared" si="5"/>
        <v>0.62575000000000003</v>
      </c>
      <c r="Y21" s="189">
        <f t="shared" si="6"/>
        <v>658.41457500000001</v>
      </c>
      <c r="Z21" s="189">
        <f t="shared" si="6"/>
        <v>0</v>
      </c>
      <c r="AA21" s="189">
        <f t="shared" si="7"/>
        <v>23.325370689655173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683</v>
      </c>
      <c r="Q22" s="158">
        <v>18</v>
      </c>
      <c r="R22" s="162">
        <v>1158.24</v>
      </c>
      <c r="S22" s="160"/>
      <c r="T22" s="160"/>
      <c r="U22" s="189">
        <f t="shared" si="2"/>
        <v>0</v>
      </c>
      <c r="V22" s="189">
        <f t="shared" si="3"/>
        <v>8.6867999999999999</v>
      </c>
      <c r="W22" s="189">
        <f t="shared" si="4"/>
        <v>0</v>
      </c>
      <c r="X22" s="189">
        <f t="shared" si="5"/>
        <v>0</v>
      </c>
      <c r="Y22" s="189">
        <f t="shared" si="6"/>
        <v>1149.5532000000001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89.12</v>
      </c>
      <c r="C29" s="100"/>
      <c r="D29" s="66"/>
      <c r="E29" s="67"/>
      <c r="F29" s="66"/>
      <c r="G29" s="66"/>
      <c r="H29" s="102"/>
      <c r="I29" s="79"/>
      <c r="J29" s="81">
        <f t="shared" si="0"/>
        <v>89.12</v>
      </c>
      <c r="K29" s="80"/>
      <c r="L29" s="186">
        <f>K29-B29</f>
        <v>-89.12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532.93760000000009</v>
      </c>
      <c r="C30" s="100"/>
      <c r="D30" s="66"/>
      <c r="E30" s="67"/>
      <c r="F30" s="66"/>
      <c r="G30" s="66"/>
      <c r="H30" s="102"/>
      <c r="I30" s="79"/>
      <c r="J30" s="81">
        <f t="shared" si="0"/>
        <v>532.93760000000009</v>
      </c>
      <c r="K30" s="80"/>
      <c r="L30" s="186">
        <f>K30-B30</f>
        <v>-532.93760000000009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89.12</v>
      </c>
      <c r="C35" s="95"/>
      <c r="D35" s="94"/>
      <c r="E35" s="96"/>
      <c r="F35" s="94"/>
      <c r="G35" s="94"/>
      <c r="H35" s="98"/>
      <c r="I35" s="99">
        <v>89.12</v>
      </c>
      <c r="J35" s="185">
        <f t="shared" si="0"/>
        <v>0</v>
      </c>
      <c r="K35" s="99"/>
      <c r="L35" s="187">
        <f>K35-B35</f>
        <v>-89.12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532.93760000000009</v>
      </c>
      <c r="C36" s="95"/>
      <c r="D36" s="94"/>
      <c r="E36" s="96"/>
      <c r="F36" s="94"/>
      <c r="G36" s="94"/>
      <c r="H36" s="98"/>
      <c r="I36" s="99"/>
      <c r="J36" s="185">
        <f t="shared" si="0"/>
        <v>532.93760000000009</v>
      </c>
      <c r="K36" s="99"/>
      <c r="L36" s="187">
        <f>K36-B36</f>
        <v>-532.93760000000009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26.85</v>
      </c>
      <c r="C37" s="100"/>
      <c r="D37" s="66"/>
      <c r="E37" s="67"/>
      <c r="F37" s="66"/>
      <c r="G37" s="66"/>
      <c r="H37" s="102"/>
      <c r="I37" s="79"/>
      <c r="J37" s="81">
        <f t="shared" si="0"/>
        <v>26.85</v>
      </c>
      <c r="K37" s="80"/>
      <c r="L37" s="186">
        <f>K37-B37</f>
        <v>-26.85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160.56300000000002</v>
      </c>
      <c r="C38" s="100"/>
      <c r="D38" s="66"/>
      <c r="E38" s="67"/>
      <c r="F38" s="66"/>
      <c r="G38" s="66"/>
      <c r="H38" s="102"/>
      <c r="I38" s="79"/>
      <c r="J38" s="81">
        <f t="shared" si="0"/>
        <v>160.56300000000002</v>
      </c>
      <c r="K38" s="80"/>
      <c r="L38" s="186">
        <f>K38-B38</f>
        <v>-160.56300000000002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10780.64</v>
      </c>
      <c r="S42" s="190">
        <f t="shared" si="8"/>
        <v>0</v>
      </c>
      <c r="T42" s="190">
        <f t="shared" si="8"/>
        <v>257.19</v>
      </c>
      <c r="U42" s="190">
        <f t="shared" si="8"/>
        <v>11.085775862068967</v>
      </c>
      <c r="V42" s="190">
        <f t="shared" si="8"/>
        <v>80.854799999999997</v>
      </c>
      <c r="W42" s="190">
        <f t="shared" si="8"/>
        <v>0</v>
      </c>
      <c r="X42" s="190">
        <f t="shared" si="8"/>
        <v>6.4297500000000003</v>
      </c>
      <c r="Y42" s="190">
        <f t="shared" si="8"/>
        <v>10699.7852</v>
      </c>
      <c r="Z42" s="190">
        <f t="shared" si="8"/>
        <v>0</v>
      </c>
      <c r="AA42" s="190">
        <f t="shared" si="8"/>
        <v>239.67447413793104</v>
      </c>
      <c r="AB42" s="166"/>
    </row>
    <row r="43" spans="1:28" ht="15.75" x14ac:dyDescent="0.25">
      <c r="A43" s="93" t="s">
        <v>101</v>
      </c>
      <c r="B43" s="97">
        <f>+B37+B39+B41</f>
        <v>26.85</v>
      </c>
      <c r="C43" s="95"/>
      <c r="D43" s="94"/>
      <c r="E43" s="96"/>
      <c r="F43" s="94"/>
      <c r="G43" s="94"/>
      <c r="H43" s="98"/>
      <c r="I43" s="99">
        <v>17.170000000000002</v>
      </c>
      <c r="J43" s="185">
        <f t="shared" si="0"/>
        <v>9.68</v>
      </c>
      <c r="K43" s="99"/>
      <c r="L43" s="187">
        <f>K43-B43</f>
        <v>-26.85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160.56300000000002</v>
      </c>
      <c r="C44" s="95"/>
      <c r="D44" s="94"/>
      <c r="E44" s="96"/>
      <c r="F44" s="94"/>
      <c r="G44" s="94"/>
      <c r="H44" s="98"/>
      <c r="I44" s="99"/>
      <c r="J44" s="185">
        <f t="shared" si="0"/>
        <v>160.56300000000002</v>
      </c>
      <c r="K44" s="99"/>
      <c r="L44" s="187">
        <f>K44-B44</f>
        <v>-160.56300000000002</v>
      </c>
      <c r="M44" s="107"/>
      <c r="N44" s="104">
        <v>2</v>
      </c>
      <c r="O44" s="167" t="s">
        <v>69</v>
      </c>
      <c r="P44" s="158"/>
      <c r="Q44" s="158"/>
      <c r="R44" s="160">
        <v>815.17</v>
      </c>
      <c r="S44" s="160"/>
      <c r="T44" s="160"/>
      <c r="U44" s="189">
        <f t="shared" si="9"/>
        <v>0</v>
      </c>
      <c r="V44" s="189">
        <f t="shared" si="10"/>
        <v>6.1137749999999995</v>
      </c>
      <c r="W44" s="189">
        <f t="shared" si="11"/>
        <v>0</v>
      </c>
      <c r="X44" s="189">
        <f t="shared" si="12"/>
        <v>0</v>
      </c>
      <c r="Y44" s="189">
        <f t="shared" si="13"/>
        <v>809.05622499999993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216.64</v>
      </c>
      <c r="S45" s="160"/>
      <c r="T45" s="160"/>
      <c r="U45" s="189">
        <f t="shared" si="9"/>
        <v>0</v>
      </c>
      <c r="V45" s="189">
        <f t="shared" si="10"/>
        <v>1.6247999999999998</v>
      </c>
      <c r="W45" s="189">
        <f t="shared" si="11"/>
        <v>0</v>
      </c>
      <c r="X45" s="189">
        <f t="shared" si="12"/>
        <v>0</v>
      </c>
      <c r="Y45" s="189">
        <f t="shared" si="13"/>
        <v>215.01519999999999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10780.64</v>
      </c>
      <c r="C46" s="116">
        <v>7.4999999999999997E-3</v>
      </c>
      <c r="D46" s="117">
        <f>B46*C46</f>
        <v>80.854799999999997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10699.7852</v>
      </c>
      <c r="H46" s="173">
        <f>B$6+1</f>
        <v>44787</v>
      </c>
      <c r="I46" s="174">
        <v>10780.64</v>
      </c>
      <c r="J46" s="81">
        <f t="shared" si="0"/>
        <v>0</v>
      </c>
      <c r="K46" s="80">
        <v>10817.75</v>
      </c>
      <c r="L46" s="186">
        <f>K46-G46</f>
        <v>117.96479999999974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1031.81</v>
      </c>
      <c r="C47" s="116">
        <v>7.4999999999999997E-3</v>
      </c>
      <c r="D47" s="117">
        <f t="shared" ref="D47:D50" si="17">B47*C47</f>
        <v>7.7385749999999991</v>
      </c>
      <c r="E47" s="172">
        <v>0</v>
      </c>
      <c r="F47" s="117">
        <f t="shared" si="15"/>
        <v>0</v>
      </c>
      <c r="G47" s="117">
        <f t="shared" si="16"/>
        <v>1024.0714249999999</v>
      </c>
      <c r="H47" s="173">
        <f>B$6+1</f>
        <v>44787</v>
      </c>
      <c r="I47" s="175">
        <v>1031.81</v>
      </c>
      <c r="J47" s="81">
        <f t="shared" si="0"/>
        <v>0</v>
      </c>
      <c r="K47" s="80"/>
      <c r="L47" s="186">
        <f t="shared" ref="L47:L64" si="18">+G47-K47</f>
        <v>1024.0714249999999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173</v>
      </c>
      <c r="B48" s="117">
        <f>R69</f>
        <v>183.31</v>
      </c>
      <c r="C48" s="116">
        <v>7.4999999999999997E-3</v>
      </c>
      <c r="D48" s="117">
        <f t="shared" si="17"/>
        <v>1.374825</v>
      </c>
      <c r="E48" s="172">
        <v>0</v>
      </c>
      <c r="F48" s="117">
        <f t="shared" si="15"/>
        <v>0</v>
      </c>
      <c r="G48" s="117">
        <f t="shared" si="16"/>
        <v>181.93517500000002</v>
      </c>
      <c r="H48" s="173">
        <f t="shared" ref="H48:H61" si="19">B$6+1</f>
        <v>44787</v>
      </c>
      <c r="I48" s="176">
        <v>183.31</v>
      </c>
      <c r="J48" s="81">
        <f>B48-I48</f>
        <v>0</v>
      </c>
      <c r="K48" s="80"/>
      <c r="L48" s="186">
        <f t="shared" si="18"/>
        <v>181.93517500000002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4013.74</v>
      </c>
      <c r="C49" s="116">
        <v>7.4999999999999997E-3</v>
      </c>
      <c r="D49" s="117">
        <f t="shared" si="17"/>
        <v>30.103049999999996</v>
      </c>
      <c r="E49" s="172">
        <v>0</v>
      </c>
      <c r="F49" s="117">
        <f t="shared" si="15"/>
        <v>0</v>
      </c>
      <c r="G49" s="117">
        <f t="shared" si="16"/>
        <v>3983.6369499999996</v>
      </c>
      <c r="H49" s="173">
        <f t="shared" si="19"/>
        <v>44787</v>
      </c>
      <c r="I49" s="176">
        <v>4013.74</v>
      </c>
      <c r="J49" s="81">
        <f t="shared" si="0"/>
        <v>0</v>
      </c>
      <c r="K49" s="80"/>
      <c r="L49" s="186">
        <f t="shared" si="18"/>
        <v>3983.6369499999996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984.20999999999992</v>
      </c>
      <c r="C50" s="116">
        <v>7.4999999999999997E-3</v>
      </c>
      <c r="D50" s="117">
        <f t="shared" si="17"/>
        <v>7.3815749999999989</v>
      </c>
      <c r="E50" s="172">
        <v>0</v>
      </c>
      <c r="F50" s="117">
        <f t="shared" si="15"/>
        <v>0</v>
      </c>
      <c r="G50" s="117">
        <f t="shared" si="16"/>
        <v>976.82842499999992</v>
      </c>
      <c r="H50" s="173">
        <f t="shared" si="19"/>
        <v>44787</v>
      </c>
      <c r="I50" s="175">
        <v>1404.3</v>
      </c>
      <c r="J50" s="81">
        <f t="shared" si="0"/>
        <v>-420.09000000000003</v>
      </c>
      <c r="K50" s="80"/>
      <c r="L50" s="186">
        <f t="shared" si="18"/>
        <v>976.82842499999992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420.09</v>
      </c>
      <c r="C51" s="116">
        <v>1.4999999999999999E-2</v>
      </c>
      <c r="D51" s="117">
        <f>+B51*C51</f>
        <v>6.3013499999999993</v>
      </c>
      <c r="E51" s="172">
        <v>0</v>
      </c>
      <c r="F51" s="117">
        <f>D51*E51</f>
        <v>0</v>
      </c>
      <c r="G51" s="117">
        <f t="shared" si="16"/>
        <v>413.78864999999996</v>
      </c>
      <c r="H51" s="173">
        <f t="shared" si="19"/>
        <v>44787</v>
      </c>
      <c r="I51" s="175"/>
      <c r="J51" s="81">
        <f t="shared" si="0"/>
        <v>420.09</v>
      </c>
      <c r="K51" s="80"/>
      <c r="L51" s="186">
        <f t="shared" si="18"/>
        <v>413.78864999999996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257.19</v>
      </c>
      <c r="C52" s="116">
        <v>2.5000000000000001E-2</v>
      </c>
      <c r="D52" s="117">
        <f>B52*C52</f>
        <v>6.4297500000000003</v>
      </c>
      <c r="E52" s="172">
        <v>0.05</v>
      </c>
      <c r="F52" s="117">
        <f>(B52/E$10)*E52</f>
        <v>11.085775862068967</v>
      </c>
      <c r="G52" s="117">
        <f>B52-D52-F52</f>
        <v>239.67447413793101</v>
      </c>
      <c r="H52" s="188">
        <f t="shared" si="19"/>
        <v>44787</v>
      </c>
      <c r="I52" s="176">
        <v>257.19</v>
      </c>
      <c r="J52" s="81">
        <f t="shared" si="0"/>
        <v>0</v>
      </c>
      <c r="K52" s="80">
        <v>128.91999999999999</v>
      </c>
      <c r="L52" s="186">
        <f>K52-G52</f>
        <v>-110.75447413793103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213</v>
      </c>
      <c r="B56" s="117">
        <f>T75</f>
        <v>301.07</v>
      </c>
      <c r="C56" s="116">
        <v>2.5000000000000001E-2</v>
      </c>
      <c r="D56" s="117">
        <f t="shared" si="20"/>
        <v>7.5267499999999998</v>
      </c>
      <c r="E56" s="172">
        <v>0.05</v>
      </c>
      <c r="F56" s="117">
        <f t="shared" si="21"/>
        <v>12.977155172413795</v>
      </c>
      <c r="G56" s="117">
        <f t="shared" si="22"/>
        <v>280.5660948275862</v>
      </c>
      <c r="H56" s="173">
        <f t="shared" si="19"/>
        <v>44787</v>
      </c>
      <c r="I56" s="176">
        <v>301.07</v>
      </c>
      <c r="J56" s="81">
        <f t="shared" si="0"/>
        <v>0</v>
      </c>
      <c r="K56" s="80"/>
      <c r="L56" s="186">
        <f t="shared" si="18"/>
        <v>280.5660948275862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147.71067499999998</v>
      </c>
      <c r="E61" s="177"/>
      <c r="F61" s="57">
        <f>SUM(F46:F58)</f>
        <v>24.062931034482762</v>
      </c>
      <c r="G61" s="57">
        <f>SUM(G46:G58)</f>
        <v>17800.286393965518</v>
      </c>
      <c r="H61" s="173">
        <f t="shared" si="19"/>
        <v>44787</v>
      </c>
      <c r="I61" s="175"/>
      <c r="J61" s="81">
        <f t="shared" si="0"/>
        <v>0</v>
      </c>
      <c r="K61" s="80"/>
      <c r="L61" s="186">
        <f t="shared" si="18"/>
        <v>17800.286393965518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44787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1031.81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7.7385749999999991</v>
      </c>
      <c r="W63" s="191">
        <f t="shared" si="25"/>
        <v>0</v>
      </c>
      <c r="X63" s="191">
        <f t="shared" si="25"/>
        <v>0</v>
      </c>
      <c r="Y63" s="191">
        <f>SUM(Y43:Y62)</f>
        <v>1024.0714249999999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35600.572787931036</v>
      </c>
      <c r="H64" s="184"/>
      <c r="I64" s="175"/>
      <c r="J64" s="81">
        <f t="shared" si="0"/>
        <v>0</v>
      </c>
      <c r="K64" s="80"/>
      <c r="L64" s="186">
        <f t="shared" si="18"/>
        <v>35600.572787931036</v>
      </c>
      <c r="M64" s="130"/>
      <c r="N64" s="87">
        <v>1</v>
      </c>
      <c r="O64" s="122" t="s">
        <v>247</v>
      </c>
      <c r="P64" s="87"/>
      <c r="Q64" s="225">
        <v>1614</v>
      </c>
      <c r="R64" s="221">
        <f>29.18+7.2+17.89</f>
        <v>54.27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0.40702500000000003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53.862975000000006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40979.120599999987</v>
      </c>
      <c r="G65" s="22"/>
      <c r="L65" s="132"/>
      <c r="M65" s="131"/>
      <c r="N65" s="87">
        <v>2</v>
      </c>
      <c r="O65" s="122" t="s">
        <v>191</v>
      </c>
      <c r="P65" s="87"/>
      <c r="Q65" s="225">
        <v>2655</v>
      </c>
      <c r="R65" s="225">
        <v>6.6</v>
      </c>
      <c r="S65" s="87"/>
      <c r="T65" s="87"/>
      <c r="U65" s="189">
        <f t="shared" si="27"/>
        <v>0</v>
      </c>
      <c r="V65" s="189">
        <f t="shared" si="28"/>
        <v>4.9499999999999995E-2</v>
      </c>
      <c r="W65" s="189">
        <f t="shared" si="29"/>
        <v>0</v>
      </c>
      <c r="X65" s="189">
        <f t="shared" si="30"/>
        <v>0</v>
      </c>
      <c r="Y65" s="189">
        <f t="shared" si="31"/>
        <v>6.5504999999999995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191</v>
      </c>
      <c r="P66" s="87"/>
      <c r="Q66" s="225">
        <v>8472</v>
      </c>
      <c r="R66" s="225">
        <v>42.75</v>
      </c>
      <c r="S66" s="87"/>
      <c r="T66" s="87"/>
      <c r="U66" s="189">
        <f t="shared" si="27"/>
        <v>0</v>
      </c>
      <c r="V66" s="189">
        <f t="shared" si="28"/>
        <v>0.32062499999999999</v>
      </c>
      <c r="W66" s="189">
        <f t="shared" si="29"/>
        <v>0</v>
      </c>
      <c r="X66" s="189">
        <f t="shared" si="30"/>
        <v>0</v>
      </c>
      <c r="Y66" s="189">
        <f t="shared" si="31"/>
        <v>42.429375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191</v>
      </c>
      <c r="P67" s="87"/>
      <c r="Q67" s="225">
        <v>9659</v>
      </c>
      <c r="R67" s="225">
        <v>29.77</v>
      </c>
      <c r="S67" s="87"/>
      <c r="T67" s="87"/>
      <c r="U67" s="189">
        <f t="shared" si="27"/>
        <v>0</v>
      </c>
      <c r="V67" s="189">
        <f t="shared" si="28"/>
        <v>0.223275</v>
      </c>
      <c r="W67" s="189">
        <f t="shared" si="29"/>
        <v>0</v>
      </c>
      <c r="X67" s="189">
        <f t="shared" si="30"/>
        <v>0</v>
      </c>
      <c r="Y67" s="189">
        <f t="shared" si="31"/>
        <v>29.546724999999999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40941.68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>
        <v>7072</v>
      </c>
      <c r="R68" s="225">
        <f>19.37+30.55</f>
        <v>49.92</v>
      </c>
      <c r="S68" s="87"/>
      <c r="T68" s="87"/>
      <c r="U68" s="189">
        <f t="shared" si="27"/>
        <v>0</v>
      </c>
      <c r="V68" s="189">
        <f t="shared" si="28"/>
        <v>0.37440000000000001</v>
      </c>
      <c r="W68" s="189">
        <f t="shared" si="29"/>
        <v>0</v>
      </c>
      <c r="X68" s="189">
        <f t="shared" si="30"/>
        <v>0</v>
      </c>
      <c r="Y68" s="189">
        <f t="shared" si="31"/>
        <v>49.5456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40368.949999999997</v>
      </c>
      <c r="C69" s="59"/>
      <c r="F69" s="87" t="s">
        <v>127</v>
      </c>
      <c r="G69" s="22"/>
      <c r="H69" s="89"/>
      <c r="I69" s="136"/>
      <c r="J69" s="136">
        <f>K52</f>
        <v>128.91999999999999</v>
      </c>
      <c r="N69" s="312" t="s">
        <v>108</v>
      </c>
      <c r="O69" s="312"/>
      <c r="P69" s="313"/>
      <c r="Q69" s="313"/>
      <c r="R69" s="192">
        <f>SUM(R64:R68)</f>
        <v>183.31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1.374825</v>
      </c>
      <c r="W69" s="192">
        <f t="shared" si="33"/>
        <v>0</v>
      </c>
      <c r="X69" s="192">
        <f t="shared" si="33"/>
        <v>0</v>
      </c>
      <c r="Y69" s="192">
        <f t="shared" si="33"/>
        <v>181.93517500000002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572.7300000000032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214</v>
      </c>
      <c r="Q70" s="225">
        <v>2001</v>
      </c>
      <c r="R70" s="221">
        <v>643.75</v>
      </c>
      <c r="S70" s="225"/>
      <c r="T70" s="225">
        <v>179.3</v>
      </c>
      <c r="U70" s="189">
        <f t="shared" ref="U70:U74" si="34">((T70/U$10)*U$9)</f>
        <v>7.7284482758620703</v>
      </c>
      <c r="V70" s="189">
        <f t="shared" ref="V70:V74" si="35">R70*V$10</f>
        <v>4.828125</v>
      </c>
      <c r="W70" s="189">
        <f t="shared" ref="W70:W74" si="36">+S70*V$10</f>
        <v>0</v>
      </c>
      <c r="X70" s="189">
        <f t="shared" ref="X70:X74" si="37">+T70*X$10</f>
        <v>4.4825000000000008</v>
      </c>
      <c r="Y70" s="189">
        <f t="shared" ref="Y70:Z74" si="38">R70-V70</f>
        <v>638.921875</v>
      </c>
      <c r="Z70" s="189">
        <f t="shared" si="38"/>
        <v>0</v>
      </c>
      <c r="AA70" s="189">
        <f t="shared" ref="AA70:AA74" si="39">T70-U70-X70</f>
        <v>167.08905172413796</v>
      </c>
      <c r="AB70" s="87"/>
    </row>
    <row r="71" spans="1:30" ht="28.5" customHeight="1" thickBot="1" x14ac:dyDescent="0.3">
      <c r="A71" s="25" t="s">
        <v>56</v>
      </c>
      <c r="B71" s="70">
        <f>B65-B68</f>
        <v>37.440599999987171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128.91999999999999</v>
      </c>
      <c r="N71" s="87">
        <v>2</v>
      </c>
      <c r="O71" s="122" t="s">
        <v>212</v>
      </c>
      <c r="P71" s="225">
        <v>213</v>
      </c>
      <c r="Q71" s="225">
        <v>2001</v>
      </c>
      <c r="R71" s="221">
        <v>289.95</v>
      </c>
      <c r="S71" s="225"/>
      <c r="T71" s="221">
        <v>7.7</v>
      </c>
      <c r="U71" s="189">
        <f t="shared" si="34"/>
        <v>0.33189655172413796</v>
      </c>
      <c r="V71" s="189">
        <f t="shared" si="35"/>
        <v>2.1746249999999998</v>
      </c>
      <c r="W71" s="189">
        <f t="shared" si="36"/>
        <v>0</v>
      </c>
      <c r="X71" s="189">
        <f t="shared" si="37"/>
        <v>0.1925</v>
      </c>
      <c r="Y71" s="189">
        <f t="shared" si="38"/>
        <v>287.775375</v>
      </c>
      <c r="Z71" s="189">
        <f t="shared" si="38"/>
        <v>0</v>
      </c>
      <c r="AA71" s="189">
        <f t="shared" si="39"/>
        <v>7.1756034482758624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212</v>
      </c>
      <c r="P72" s="225">
        <v>63</v>
      </c>
      <c r="Q72" s="225">
        <v>2001</v>
      </c>
      <c r="R72" s="221">
        <v>50.39</v>
      </c>
      <c r="S72" s="225"/>
      <c r="T72" s="225"/>
      <c r="U72" s="189">
        <f t="shared" si="34"/>
        <v>0</v>
      </c>
      <c r="V72" s="189">
        <f t="shared" si="35"/>
        <v>0.37792500000000001</v>
      </c>
      <c r="W72" s="189">
        <f t="shared" si="36"/>
        <v>0</v>
      </c>
      <c r="X72" s="189">
        <f t="shared" si="37"/>
        <v>0</v>
      </c>
      <c r="Y72" s="189">
        <f t="shared" si="38"/>
        <v>50.012075000000003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212</v>
      </c>
      <c r="P73" s="225">
        <v>64</v>
      </c>
      <c r="Q73" s="225">
        <v>2001</v>
      </c>
      <c r="R73" s="221">
        <v>1226.99</v>
      </c>
      <c r="S73" s="225"/>
      <c r="T73" s="225"/>
      <c r="U73" s="189">
        <f t="shared" si="34"/>
        <v>0</v>
      </c>
      <c r="V73" s="189">
        <f t="shared" si="35"/>
        <v>9.2024249999999999</v>
      </c>
      <c r="W73" s="189">
        <f t="shared" si="36"/>
        <v>0</v>
      </c>
      <c r="X73" s="189">
        <f t="shared" si="37"/>
        <v>0</v>
      </c>
      <c r="Y73" s="189">
        <f t="shared" si="38"/>
        <v>1217.7875750000001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212</v>
      </c>
      <c r="P74" s="225">
        <v>209</v>
      </c>
      <c r="Q74" s="225">
        <v>2001</v>
      </c>
      <c r="R74" s="221">
        <v>1802.66</v>
      </c>
      <c r="S74" s="225"/>
      <c r="T74" s="225">
        <v>114.07</v>
      </c>
      <c r="U74" s="189">
        <f t="shared" si="34"/>
        <v>4.9168103448275868</v>
      </c>
      <c r="V74" s="189">
        <f t="shared" si="35"/>
        <v>13.51995</v>
      </c>
      <c r="W74" s="189">
        <f t="shared" si="36"/>
        <v>0</v>
      </c>
      <c r="X74" s="189">
        <f t="shared" si="37"/>
        <v>2.85175</v>
      </c>
      <c r="Y74" s="189">
        <f t="shared" si="38"/>
        <v>1789.14005</v>
      </c>
      <c r="Z74" s="189">
        <f t="shared" si="38"/>
        <v>0</v>
      </c>
      <c r="AA74" s="189">
        <f t="shared" si="39"/>
        <v>106.30143965517242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4013.74</v>
      </c>
      <c r="S75" s="192"/>
      <c r="T75" s="192">
        <f>SUM(T70:T74)</f>
        <v>301.07</v>
      </c>
      <c r="U75" s="192">
        <f>SUM(U70:U74)</f>
        <v>12.977155172413795</v>
      </c>
      <c r="V75" s="192">
        <f t="shared" ref="V75:AA75" si="41">SUM(V70:V74)</f>
        <v>30.103050000000003</v>
      </c>
      <c r="W75" s="192">
        <f t="shared" si="41"/>
        <v>0</v>
      </c>
      <c r="X75" s="192">
        <f t="shared" si="41"/>
        <v>7.5267500000000007</v>
      </c>
      <c r="Y75" s="192">
        <f t="shared" si="41"/>
        <v>3983.6369500000001</v>
      </c>
      <c r="Z75" s="192">
        <f t="shared" si="41"/>
        <v>0</v>
      </c>
      <c r="AA75" s="193">
        <f t="shared" si="41"/>
        <v>280.56609482758626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366.76+18.83</f>
        <v>385.59</v>
      </c>
      <c r="R78" s="82">
        <v>7.4999999999999997E-3</v>
      </c>
      <c r="S78" s="194">
        <f>+(P78+Q78)*R78</f>
        <v>2.8919249999999996</v>
      </c>
      <c r="T78" s="219">
        <f>+(P78+Q78)-S78</f>
        <v>382.69807499999996</v>
      </c>
      <c r="U78" s="211">
        <v>93.67</v>
      </c>
      <c r="V78" s="112"/>
      <c r="W78" s="113">
        <v>1.4999999999999999E-2</v>
      </c>
      <c r="X78" s="196">
        <f>+(U78+V78)*W78</f>
        <v>1.4050499999999999</v>
      </c>
      <c r="Y78" s="258">
        <f>+(U78+V78)-X78</f>
        <v>92.264949999999999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123.72+73.66+29.02</f>
        <v>226.4</v>
      </c>
      <c r="R79" s="82">
        <v>7.4999999999999997E-3</v>
      </c>
      <c r="S79" s="194">
        <f t="shared" ref="S79:S97" si="43">+(P79+Q79)*R79</f>
        <v>1.698</v>
      </c>
      <c r="T79" s="219">
        <f t="shared" ref="T79:T97" si="44">+(P79+Q79)-S79</f>
        <v>224.702</v>
      </c>
      <c r="U79" s="211">
        <f>110.15</f>
        <v>110.15</v>
      </c>
      <c r="V79" s="112"/>
      <c r="W79" s="113">
        <v>1.4999999999999999E-2</v>
      </c>
      <c r="X79" s="196">
        <f t="shared" ref="X79:X97" si="45">+(U79+V79)*W79</f>
        <v>1.65225</v>
      </c>
      <c r="Y79" s="258">
        <f t="shared" ref="Y79:Y97" si="46">+(U79+V79)-X79</f>
        <v>108.49775000000001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131.79+141.28</f>
        <v>273.07</v>
      </c>
      <c r="R80" s="82">
        <v>7.4999999999999997E-3</v>
      </c>
      <c r="S80" s="194">
        <f t="shared" si="43"/>
        <v>2.048025</v>
      </c>
      <c r="T80" s="219">
        <f t="shared" si="44"/>
        <v>271.021975</v>
      </c>
      <c r="U80" s="211">
        <f>91.53+19.91</f>
        <v>111.44</v>
      </c>
      <c r="V80" s="112"/>
      <c r="W80" s="113">
        <v>1.4999999999999999E-2</v>
      </c>
      <c r="X80" s="196">
        <f t="shared" si="45"/>
        <v>1.6716</v>
      </c>
      <c r="Y80" s="217">
        <f>+(U80+V80)-X80</f>
        <v>109.7684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>
        <f>5.98</f>
        <v>5.98</v>
      </c>
      <c r="R81" s="82">
        <v>7.4999999999999997E-3</v>
      </c>
      <c r="S81" s="194">
        <f t="shared" si="43"/>
        <v>4.4850000000000001E-2</v>
      </c>
      <c r="T81" s="258">
        <f t="shared" si="44"/>
        <v>5.9351500000000001</v>
      </c>
      <c r="U81" s="211"/>
      <c r="V81" s="112"/>
      <c r="W81" s="113">
        <v>1.4999999999999999E-2</v>
      </c>
      <c r="X81" s="196">
        <f t="shared" si="45"/>
        <v>0</v>
      </c>
      <c r="Y81" s="25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72.22+20.95</f>
        <v>93.17</v>
      </c>
      <c r="R82" s="82">
        <v>7.4999999999999997E-3</v>
      </c>
      <c r="S82" s="194">
        <f t="shared" si="43"/>
        <v>0.69877500000000003</v>
      </c>
      <c r="T82" s="254">
        <f t="shared" si="44"/>
        <v>92.471225000000004</v>
      </c>
      <c r="U82" s="211">
        <f>84+20.83</f>
        <v>104.83</v>
      </c>
      <c r="V82" s="112"/>
      <c r="W82" s="113">
        <v>1.4999999999999999E-2</v>
      </c>
      <c r="X82" s="196">
        <f t="shared" si="45"/>
        <v>1.5724499999999999</v>
      </c>
      <c r="Y82" s="254">
        <f t="shared" si="46"/>
        <v>103.25754999999999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54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4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54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54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54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5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54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984.20999999999992</v>
      </c>
      <c r="R98" s="111"/>
      <c r="S98" s="195">
        <f>SUM(S78:S97)</f>
        <v>7.3815749999999998</v>
      </c>
      <c r="T98" s="195">
        <f>SUM(T78:T97)</f>
        <v>976.82842500000004</v>
      </c>
      <c r="U98" s="114">
        <f>SUM(U78:U97)</f>
        <v>420.09</v>
      </c>
      <c r="V98" s="114">
        <f>SUM(V78:V97)</f>
        <v>0</v>
      </c>
      <c r="W98" s="112"/>
      <c r="X98" s="197">
        <f>SUM(X78:X97)</f>
        <v>6.3013499999999993</v>
      </c>
      <c r="Y98" s="197">
        <f>SUM(Y78:Y97)</f>
        <v>413.78864999999996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479.26</v>
      </c>
      <c r="Q101" s="253"/>
    </row>
    <row r="102" spans="14:30" x14ac:dyDescent="0.25">
      <c r="N102" s="85"/>
      <c r="P102" s="215">
        <f>P79+Q79+U79</f>
        <v>336.55</v>
      </c>
    </row>
    <row r="103" spans="14:30" x14ac:dyDescent="0.25">
      <c r="N103" s="85"/>
      <c r="P103" s="233">
        <f>P80+U80+Q80</f>
        <v>384.51</v>
      </c>
    </row>
    <row r="104" spans="14:30" x14ac:dyDescent="0.25">
      <c r="N104" s="85"/>
      <c r="P104" s="215">
        <f>Q81+P81+U81</f>
        <v>5.98</v>
      </c>
    </row>
    <row r="105" spans="14:30" x14ac:dyDescent="0.25">
      <c r="N105" s="85"/>
      <c r="P105" s="215">
        <f t="shared" ref="P105:P106" si="50">P82+Q82+U82</f>
        <v>198</v>
      </c>
    </row>
    <row r="106" spans="14:30" x14ac:dyDescent="0.25">
      <c r="N106" s="85"/>
      <c r="P106" s="215">
        <f t="shared" si="50"/>
        <v>0</v>
      </c>
    </row>
    <row r="107" spans="14:30" x14ac:dyDescent="0.25">
      <c r="N107" s="85"/>
      <c r="P107" s="246">
        <f>P84+Q84+U84</f>
        <v>0</v>
      </c>
    </row>
    <row r="108" spans="14:30" x14ac:dyDescent="0.25">
      <c r="N108" s="85"/>
      <c r="P108" s="246">
        <f>P85+Q85+U85</f>
        <v>0</v>
      </c>
    </row>
    <row r="109" spans="14:30" x14ac:dyDescent="0.25">
      <c r="N109" s="85"/>
      <c r="P109" s="84">
        <f>P86+Q86+U86</f>
        <v>0</v>
      </c>
    </row>
    <row r="110" spans="14:30" x14ac:dyDescent="0.25">
      <c r="N110" s="85"/>
      <c r="P110" s="84">
        <f>P87+Q87+U87</f>
        <v>0</v>
      </c>
    </row>
    <row r="111" spans="14:30" x14ac:dyDescent="0.25">
      <c r="N111" s="85"/>
      <c r="P111" s="84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P46" zoomScale="90" zoomScaleNormal="90" workbookViewId="0">
      <selection activeCell="W71" sqref="W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1867.5</v>
      </c>
      <c r="C12" s="15"/>
      <c r="D12" s="56"/>
      <c r="E12" s="16"/>
      <c r="F12" s="56"/>
      <c r="G12" s="56"/>
      <c r="H12" s="17"/>
      <c r="I12" s="83">
        <v>1867.5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220</v>
      </c>
      <c r="P12" s="158">
        <v>231</v>
      </c>
      <c r="Q12" s="158">
        <v>11</v>
      </c>
      <c r="R12" s="159">
        <v>1766.8</v>
      </c>
      <c r="S12" s="160"/>
      <c r="T12" s="160"/>
      <c r="U12" s="189">
        <f>((T12/U$10)*U$9)</f>
        <v>0</v>
      </c>
      <c r="V12" s="189">
        <f>R12*V$10</f>
        <v>13.250999999999999</v>
      </c>
      <c r="W12" s="189">
        <f>+S12*V$10</f>
        <v>0</v>
      </c>
      <c r="X12" s="189">
        <f>+T12*X$10</f>
        <v>0</v>
      </c>
      <c r="Y12" s="189">
        <f>R12-V12</f>
        <v>1753.549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3021</v>
      </c>
      <c r="C13" s="15"/>
      <c r="D13" s="56"/>
      <c r="E13" s="16"/>
      <c r="F13" s="56"/>
      <c r="G13" s="56"/>
      <c r="H13" s="17"/>
      <c r="I13" s="83"/>
      <c r="J13" s="81">
        <f>I13-B13</f>
        <v>-3021</v>
      </c>
      <c r="K13" s="75"/>
      <c r="L13" s="186">
        <f t="shared" ref="L13:L42" si="0">+G13-K13</f>
        <v>0</v>
      </c>
      <c r="M13" s="106"/>
      <c r="N13" s="104">
        <v>2</v>
      </c>
      <c r="O13" s="152" t="s">
        <v>220</v>
      </c>
      <c r="P13" s="158">
        <v>230</v>
      </c>
      <c r="Q13" s="158">
        <v>11</v>
      </c>
      <c r="R13" s="159">
        <v>402.37</v>
      </c>
      <c r="S13" s="160"/>
      <c r="T13" s="161">
        <v>73.72</v>
      </c>
      <c r="U13" s="189">
        <f t="shared" ref="U13:U41" si="1">((T13/U$10)*U$9)</f>
        <v>3.1775862068965521</v>
      </c>
      <c r="V13" s="189">
        <f t="shared" ref="V13:V41" si="2">R13*V$10</f>
        <v>3.0177749999999999</v>
      </c>
      <c r="W13" s="189">
        <f t="shared" ref="W13:W41" si="3">+S13*V$10</f>
        <v>0</v>
      </c>
      <c r="X13" s="189">
        <f t="shared" ref="X13:X41" si="4">+T13*X$10</f>
        <v>1.843</v>
      </c>
      <c r="Y13" s="189">
        <f t="shared" ref="Y13:Z41" si="5">R13-V13</f>
        <v>399.35222500000003</v>
      </c>
      <c r="Z13" s="189">
        <f t="shared" si="5"/>
        <v>0</v>
      </c>
      <c r="AA13" s="189">
        <f t="shared" ref="AA13:AA41" si="6">T13-U13-X13</f>
        <v>68.699413793103446</v>
      </c>
      <c r="AB13" s="156"/>
    </row>
    <row r="14" spans="1:28" ht="15.75" x14ac:dyDescent="0.25">
      <c r="A14" s="86" t="s">
        <v>81</v>
      </c>
      <c r="B14" s="57">
        <f>B13*B8</f>
        <v>18065.580000000002</v>
      </c>
      <c r="C14" s="15"/>
      <c r="D14" s="56"/>
      <c r="E14" s="16"/>
      <c r="F14" s="56"/>
      <c r="G14" s="56"/>
      <c r="H14" s="17"/>
      <c r="I14" s="83"/>
      <c r="J14" s="81">
        <f t="shared" ref="J14:J64" si="7">B14-I14</f>
        <v>18065.580000000002</v>
      </c>
      <c r="K14" s="80"/>
      <c r="L14" s="186">
        <f t="shared" si="0"/>
        <v>0</v>
      </c>
      <c r="M14" s="107"/>
      <c r="N14" s="104">
        <v>3</v>
      </c>
      <c r="O14" s="152" t="s">
        <v>220</v>
      </c>
      <c r="P14" s="158">
        <v>614</v>
      </c>
      <c r="Q14" s="158">
        <v>2</v>
      </c>
      <c r="R14" s="159">
        <v>1297.81</v>
      </c>
      <c r="S14" s="160"/>
      <c r="T14" s="161"/>
      <c r="U14" s="189">
        <f t="shared" si="1"/>
        <v>0</v>
      </c>
      <c r="V14" s="189">
        <f t="shared" si="2"/>
        <v>9.7335750000000001</v>
      </c>
      <c r="W14" s="189">
        <f t="shared" si="3"/>
        <v>0</v>
      </c>
      <c r="X14" s="189">
        <f t="shared" si="4"/>
        <v>0</v>
      </c>
      <c r="Y14" s="189">
        <f t="shared" si="5"/>
        <v>1288.076425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7"/>
        <v>0</v>
      </c>
      <c r="K15" s="80"/>
      <c r="L15" s="186">
        <f t="shared" si="0"/>
        <v>0</v>
      </c>
      <c r="M15" s="107"/>
      <c r="N15" s="104">
        <v>4</v>
      </c>
      <c r="O15" s="152" t="s">
        <v>220</v>
      </c>
      <c r="P15" s="158">
        <v>615</v>
      </c>
      <c r="Q15" s="158">
        <v>2</v>
      </c>
      <c r="R15" s="159">
        <v>1755.72</v>
      </c>
      <c r="S15" s="160"/>
      <c r="T15" s="161">
        <v>24.14</v>
      </c>
      <c r="U15" s="189">
        <f t="shared" si="1"/>
        <v>1.0405172413793105</v>
      </c>
      <c r="V15" s="189">
        <f t="shared" si="2"/>
        <v>13.167899999999999</v>
      </c>
      <c r="W15" s="189">
        <f t="shared" si="3"/>
        <v>0</v>
      </c>
      <c r="X15" s="189">
        <f t="shared" si="4"/>
        <v>0.60350000000000004</v>
      </c>
      <c r="Y15" s="189">
        <f t="shared" si="5"/>
        <v>1742.5521000000001</v>
      </c>
      <c r="Z15" s="189">
        <f t="shared" si="5"/>
        <v>0</v>
      </c>
      <c r="AA15" s="189">
        <f t="shared" si="6"/>
        <v>22.495982758620691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7"/>
        <v>0</v>
      </c>
      <c r="K16" s="80"/>
      <c r="L16" s="186">
        <f t="shared" si="0"/>
        <v>0</v>
      </c>
      <c r="M16" s="107"/>
      <c r="N16" s="104">
        <v>5</v>
      </c>
      <c r="O16" s="152" t="s">
        <v>220</v>
      </c>
      <c r="P16" s="158">
        <v>597</v>
      </c>
      <c r="Q16" s="158">
        <v>4</v>
      </c>
      <c r="R16" s="159">
        <v>232.54</v>
      </c>
      <c r="S16" s="160"/>
      <c r="T16" s="161"/>
      <c r="U16" s="189">
        <f t="shared" si="1"/>
        <v>0</v>
      </c>
      <c r="V16" s="189">
        <f t="shared" si="2"/>
        <v>1.7440499999999999</v>
      </c>
      <c r="W16" s="189">
        <f t="shared" si="3"/>
        <v>0</v>
      </c>
      <c r="X16" s="189">
        <f t="shared" si="4"/>
        <v>0</v>
      </c>
      <c r="Y16" s="189">
        <f t="shared" si="5"/>
        <v>230.79595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220</v>
      </c>
      <c r="P17" s="158">
        <v>595</v>
      </c>
      <c r="Q17" s="158">
        <v>4</v>
      </c>
      <c r="R17" s="159">
        <v>1266.17</v>
      </c>
      <c r="S17" s="160"/>
      <c r="T17" s="161"/>
      <c r="U17" s="189">
        <f t="shared" si="1"/>
        <v>0</v>
      </c>
      <c r="V17" s="189">
        <f t="shared" si="2"/>
        <v>9.4962750000000007</v>
      </c>
      <c r="W17" s="189">
        <f t="shared" si="3"/>
        <v>0</v>
      </c>
      <c r="X17" s="189">
        <f t="shared" si="4"/>
        <v>0</v>
      </c>
      <c r="Y17" s="189">
        <f t="shared" si="5"/>
        <v>1256.6737250000001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220</v>
      </c>
      <c r="P18" s="158">
        <v>6</v>
      </c>
      <c r="Q18" s="158">
        <v>13</v>
      </c>
      <c r="R18" s="159">
        <v>2324.87</v>
      </c>
      <c r="S18" s="160"/>
      <c r="T18" s="161">
        <v>129.63999999999999</v>
      </c>
      <c r="U18" s="189">
        <f t="shared" si="1"/>
        <v>5.5879310344827591</v>
      </c>
      <c r="V18" s="189">
        <f t="shared" si="2"/>
        <v>17.436525</v>
      </c>
      <c r="W18" s="189">
        <f t="shared" si="3"/>
        <v>0</v>
      </c>
      <c r="X18" s="189">
        <f t="shared" si="4"/>
        <v>3.2409999999999997</v>
      </c>
      <c r="Y18" s="189">
        <f t="shared" si="5"/>
        <v>2307.4334749999998</v>
      </c>
      <c r="Z18" s="189">
        <f t="shared" si="5"/>
        <v>0</v>
      </c>
      <c r="AA18" s="189">
        <f t="shared" si="6"/>
        <v>120.81106896551722</v>
      </c>
      <c r="AB18" s="156"/>
    </row>
    <row r="19" spans="1:28" ht="15.75" x14ac:dyDescent="0.25">
      <c r="A19" s="93" t="s">
        <v>79</v>
      </c>
      <c r="B19" s="97">
        <f>+B13+B15+B17</f>
        <v>3021</v>
      </c>
      <c r="C19" s="95"/>
      <c r="D19" s="94"/>
      <c r="E19" s="96"/>
      <c r="F19" s="94"/>
      <c r="G19" s="94"/>
      <c r="H19" s="98"/>
      <c r="I19" s="99">
        <v>3021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220</v>
      </c>
      <c r="P19" s="158">
        <v>232</v>
      </c>
      <c r="Q19" s="158">
        <v>10</v>
      </c>
      <c r="R19" s="159">
        <v>1090.8800000000001</v>
      </c>
      <c r="S19" s="160"/>
      <c r="T19" s="161">
        <v>240.36</v>
      </c>
      <c r="U19" s="189">
        <f t="shared" si="1"/>
        <v>10.360344827586209</v>
      </c>
      <c r="V19" s="189">
        <f t="shared" si="2"/>
        <v>8.1816000000000013</v>
      </c>
      <c r="W19" s="189">
        <f t="shared" si="3"/>
        <v>0</v>
      </c>
      <c r="X19" s="189">
        <f t="shared" si="4"/>
        <v>6.0090000000000003</v>
      </c>
      <c r="Y19" s="189">
        <f t="shared" si="5"/>
        <v>1082.6984000000002</v>
      </c>
      <c r="Z19" s="189">
        <f t="shared" si="5"/>
        <v>0</v>
      </c>
      <c r="AA19" s="189">
        <f t="shared" si="6"/>
        <v>223.99065517241382</v>
      </c>
      <c r="AB19" s="156"/>
    </row>
    <row r="20" spans="1:28" ht="15.75" x14ac:dyDescent="0.25">
      <c r="A20" s="93" t="s">
        <v>80</v>
      </c>
      <c r="B20" s="97">
        <f>+B14+B16+B18</f>
        <v>18065.580000000002</v>
      </c>
      <c r="C20" s="95"/>
      <c r="D20" s="94"/>
      <c r="E20" s="96"/>
      <c r="F20" s="94"/>
      <c r="G20" s="94"/>
      <c r="H20" s="98"/>
      <c r="I20" s="99"/>
      <c r="J20" s="185">
        <f t="shared" si="7"/>
        <v>18065.580000000002</v>
      </c>
      <c r="K20" s="99"/>
      <c r="L20" s="187">
        <f t="shared" si="0"/>
        <v>0</v>
      </c>
      <c r="M20" s="107"/>
      <c r="N20" s="104">
        <v>9</v>
      </c>
      <c r="O20" s="152" t="s">
        <v>220</v>
      </c>
      <c r="P20" s="158">
        <v>231</v>
      </c>
      <c r="Q20" s="158">
        <v>10</v>
      </c>
      <c r="R20" s="159">
        <v>1518.21</v>
      </c>
      <c r="S20" s="160"/>
      <c r="T20" s="161"/>
      <c r="U20" s="189">
        <f t="shared" si="1"/>
        <v>0</v>
      </c>
      <c r="V20" s="189">
        <f t="shared" si="2"/>
        <v>11.386575000000001</v>
      </c>
      <c r="W20" s="189">
        <f t="shared" si="3"/>
        <v>0</v>
      </c>
      <c r="X20" s="189">
        <f t="shared" si="4"/>
        <v>0</v>
      </c>
      <c r="Y20" s="189">
        <f t="shared" si="5"/>
        <v>1506.823425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220</v>
      </c>
      <c r="P21" s="158">
        <v>684</v>
      </c>
      <c r="Q21" s="158">
        <v>18</v>
      </c>
      <c r="R21" s="159">
        <v>554.36</v>
      </c>
      <c r="S21" s="160"/>
      <c r="T21" s="161">
        <v>10</v>
      </c>
      <c r="U21" s="189">
        <f t="shared" si="1"/>
        <v>0.43103448275862077</v>
      </c>
      <c r="V21" s="189">
        <f t="shared" si="2"/>
        <v>4.1577000000000002</v>
      </c>
      <c r="W21" s="189">
        <f t="shared" si="3"/>
        <v>0</v>
      </c>
      <c r="X21" s="189">
        <f t="shared" si="4"/>
        <v>0.25</v>
      </c>
      <c r="Y21" s="189">
        <f t="shared" si="5"/>
        <v>550.20230000000004</v>
      </c>
      <c r="Z21" s="189">
        <f t="shared" si="5"/>
        <v>0</v>
      </c>
      <c r="AA21" s="189">
        <f t="shared" si="6"/>
        <v>9.318965517241379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220</v>
      </c>
      <c r="P22" s="158">
        <v>685</v>
      </c>
      <c r="Q22" s="158">
        <v>18</v>
      </c>
      <c r="R22" s="162">
        <v>1153.1199999999999</v>
      </c>
      <c r="S22" s="160"/>
      <c r="T22" s="160"/>
      <c r="U22" s="189">
        <f t="shared" si="1"/>
        <v>0</v>
      </c>
      <c r="V22" s="189">
        <f t="shared" si="2"/>
        <v>8.6483999999999988</v>
      </c>
      <c r="W22" s="189">
        <f t="shared" si="3"/>
        <v>0</v>
      </c>
      <c r="X22" s="189">
        <f t="shared" si="4"/>
        <v>0</v>
      </c>
      <c r="Y22" s="189">
        <f t="shared" si="5"/>
        <v>1144.4715999999999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220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>
        <v>17.64</v>
      </c>
      <c r="C29" s="100"/>
      <c r="D29" s="66"/>
      <c r="E29" s="67"/>
      <c r="F29" s="66"/>
      <c r="G29" s="66"/>
      <c r="H29" s="102"/>
      <c r="I29" s="79"/>
      <c r="J29" s="81">
        <f t="shared" si="7"/>
        <v>17.64</v>
      </c>
      <c r="K29" s="80"/>
      <c r="L29" s="186">
        <f>K29-B29</f>
        <v>-17.64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105.48720000000002</v>
      </c>
      <c r="C30" s="100"/>
      <c r="D30" s="66"/>
      <c r="E30" s="67"/>
      <c r="F30" s="66"/>
      <c r="G30" s="66"/>
      <c r="H30" s="102"/>
      <c r="I30" s="79"/>
      <c r="J30" s="81">
        <f t="shared" si="7"/>
        <v>105.48720000000002</v>
      </c>
      <c r="K30" s="80"/>
      <c r="L30" s="186">
        <f>K30-B30</f>
        <v>-105.48720000000002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17.64</v>
      </c>
      <c r="C35" s="95"/>
      <c r="D35" s="94"/>
      <c r="E35" s="96"/>
      <c r="F35" s="94"/>
      <c r="G35" s="94"/>
      <c r="H35" s="98"/>
      <c r="I35" s="99">
        <v>17.64</v>
      </c>
      <c r="J35" s="185">
        <f t="shared" si="7"/>
        <v>0</v>
      </c>
      <c r="K35" s="99"/>
      <c r="L35" s="187">
        <f>K35-B35</f>
        <v>-17.64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105.48720000000002</v>
      </c>
      <c r="C36" s="95"/>
      <c r="D36" s="94"/>
      <c r="E36" s="96"/>
      <c r="F36" s="94"/>
      <c r="G36" s="94"/>
      <c r="H36" s="98"/>
      <c r="I36" s="99"/>
      <c r="J36" s="185">
        <f t="shared" si="7"/>
        <v>105.48720000000002</v>
      </c>
      <c r="K36" s="99"/>
      <c r="L36" s="187">
        <f>K36-B36</f>
        <v>-105.48720000000002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44.96</v>
      </c>
      <c r="C37" s="100"/>
      <c r="D37" s="66"/>
      <c r="E37" s="67"/>
      <c r="F37" s="66"/>
      <c r="G37" s="66"/>
      <c r="H37" s="102"/>
      <c r="I37" s="79"/>
      <c r="J37" s="81">
        <f t="shared" si="7"/>
        <v>44.96</v>
      </c>
      <c r="K37" s="80"/>
      <c r="L37" s="186">
        <f>K37-B37</f>
        <v>-44.96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268.86080000000004</v>
      </c>
      <c r="C38" s="100"/>
      <c r="D38" s="66"/>
      <c r="E38" s="67"/>
      <c r="F38" s="66"/>
      <c r="G38" s="66"/>
      <c r="H38" s="102"/>
      <c r="I38" s="79"/>
      <c r="J38" s="81">
        <f t="shared" si="7"/>
        <v>268.86080000000004</v>
      </c>
      <c r="K38" s="80"/>
      <c r="L38" s="186">
        <f>K38-B38</f>
        <v>-268.86080000000004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13362.849999999999</v>
      </c>
      <c r="S42" s="190">
        <f t="shared" si="8"/>
        <v>0</v>
      </c>
      <c r="T42" s="190">
        <f t="shared" si="8"/>
        <v>477.86</v>
      </c>
      <c r="U42" s="190">
        <f t="shared" si="8"/>
        <v>20.597413793103449</v>
      </c>
      <c r="V42" s="190">
        <f t="shared" si="8"/>
        <v>100.22137500000001</v>
      </c>
      <c r="W42" s="190">
        <f t="shared" si="8"/>
        <v>0</v>
      </c>
      <c r="X42" s="190">
        <f t="shared" si="8"/>
        <v>11.9465</v>
      </c>
      <c r="Y42" s="190">
        <f t="shared" si="8"/>
        <v>13262.628625000001</v>
      </c>
      <c r="Z42" s="190">
        <f t="shared" si="8"/>
        <v>0</v>
      </c>
      <c r="AA42" s="190">
        <f t="shared" si="8"/>
        <v>445.31608620689656</v>
      </c>
      <c r="AB42" s="166"/>
    </row>
    <row r="43" spans="1:28" ht="15.75" x14ac:dyDescent="0.25">
      <c r="A43" s="93" t="s">
        <v>101</v>
      </c>
      <c r="B43" s="97">
        <f>+B37+B39+B41</f>
        <v>44.96</v>
      </c>
      <c r="C43" s="95"/>
      <c r="D43" s="94"/>
      <c r="E43" s="96"/>
      <c r="F43" s="94"/>
      <c r="G43" s="94"/>
      <c r="H43" s="98"/>
      <c r="I43" s="99">
        <v>44.96</v>
      </c>
      <c r="J43" s="185">
        <f t="shared" si="7"/>
        <v>0</v>
      </c>
      <c r="K43" s="99"/>
      <c r="L43" s="187">
        <f>K43-B43</f>
        <v>-44.96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268.86080000000004</v>
      </c>
      <c r="C44" s="95"/>
      <c r="D44" s="94"/>
      <c r="E44" s="96"/>
      <c r="F44" s="94"/>
      <c r="G44" s="94"/>
      <c r="H44" s="98"/>
      <c r="I44" s="99"/>
      <c r="J44" s="185">
        <f t="shared" si="7"/>
        <v>268.86080000000004</v>
      </c>
      <c r="K44" s="99"/>
      <c r="L44" s="187">
        <f>K44-B44</f>
        <v>-268.86080000000004</v>
      </c>
      <c r="M44" s="107"/>
      <c r="N44" s="104">
        <v>2</v>
      </c>
      <c r="O44" s="167" t="s">
        <v>69</v>
      </c>
      <c r="P44" s="158"/>
      <c r="Q44" s="158"/>
      <c r="R44" s="160">
        <v>735.04</v>
      </c>
      <c r="S44" s="160"/>
      <c r="T44" s="155"/>
      <c r="U44" s="189">
        <f t="shared" si="9"/>
        <v>0</v>
      </c>
      <c r="V44" s="189">
        <f t="shared" si="10"/>
        <v>5.5127999999999995</v>
      </c>
      <c r="W44" s="189">
        <f t="shared" si="11"/>
        <v>0</v>
      </c>
      <c r="X44" s="189">
        <f t="shared" si="12"/>
        <v>0</v>
      </c>
      <c r="Y44" s="189">
        <f t="shared" si="13"/>
        <v>729.52719999999999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81.12</v>
      </c>
      <c r="S45" s="160"/>
      <c r="T45" s="155"/>
      <c r="U45" s="189">
        <f t="shared" si="9"/>
        <v>0</v>
      </c>
      <c r="V45" s="189">
        <f t="shared" si="10"/>
        <v>0.60840000000000005</v>
      </c>
      <c r="W45" s="189">
        <f t="shared" si="11"/>
        <v>0</v>
      </c>
      <c r="X45" s="189">
        <f t="shared" si="12"/>
        <v>0</v>
      </c>
      <c r="Y45" s="189">
        <f t="shared" si="13"/>
        <v>80.511600000000001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13362.849999999999</v>
      </c>
      <c r="C46" s="116">
        <v>7.4999999999999997E-3</v>
      </c>
      <c r="D46" s="117">
        <f>B46*C46</f>
        <v>100.22137499999998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13262.628624999999</v>
      </c>
      <c r="H46" s="173">
        <f>B$6+1</f>
        <v>44788</v>
      </c>
      <c r="I46" s="174">
        <v>13362.85</v>
      </c>
      <c r="J46" s="81">
        <f t="shared" si="7"/>
        <v>0</v>
      </c>
      <c r="K46" s="80">
        <v>13615.27</v>
      </c>
      <c r="L46" s="186">
        <f>K46-G46</f>
        <v>352.64137500000106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816.16</v>
      </c>
      <c r="C47" s="116">
        <v>7.4999999999999997E-3</v>
      </c>
      <c r="D47" s="117">
        <f t="shared" ref="D47:D50" si="17">B47*C47</f>
        <v>6.1212</v>
      </c>
      <c r="E47" s="172">
        <v>0</v>
      </c>
      <c r="F47" s="117">
        <f t="shared" si="15"/>
        <v>0</v>
      </c>
      <c r="G47" s="117">
        <f t="shared" si="16"/>
        <v>810.03879999999992</v>
      </c>
      <c r="H47" s="173">
        <f>B$6+1</f>
        <v>44788</v>
      </c>
      <c r="I47" s="175">
        <v>816.16</v>
      </c>
      <c r="J47" s="81">
        <f t="shared" si="7"/>
        <v>0</v>
      </c>
      <c r="K47" s="80">
        <v>810.04</v>
      </c>
      <c r="L47" s="186">
        <f t="shared" ref="L47:L64" si="18">+G47-K47</f>
        <v>-1.2000000000398359E-3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982.3599999999999</v>
      </c>
      <c r="C48" s="116">
        <v>1.4999999999999999E-2</v>
      </c>
      <c r="D48" s="117">
        <f t="shared" si="17"/>
        <v>14.735399999999998</v>
      </c>
      <c r="E48" s="172">
        <v>0</v>
      </c>
      <c r="F48" s="117">
        <f t="shared" si="15"/>
        <v>0</v>
      </c>
      <c r="G48" s="117">
        <f t="shared" si="16"/>
        <v>967.62459999999987</v>
      </c>
      <c r="H48" s="173">
        <f t="shared" ref="H48:H61" si="19">B$6+1</f>
        <v>44788</v>
      </c>
      <c r="I48" s="176">
        <v>982.36</v>
      </c>
      <c r="J48" s="81">
        <f t="shared" si="7"/>
        <v>0</v>
      </c>
      <c r="K48" s="80">
        <v>967.62</v>
      </c>
      <c r="L48" s="186">
        <f t="shared" si="18"/>
        <v>4.5999999998684871E-3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3312.5</v>
      </c>
      <c r="C49" s="116">
        <v>7.4999999999999997E-3</v>
      </c>
      <c r="D49" s="117">
        <f t="shared" si="17"/>
        <v>24.84375</v>
      </c>
      <c r="E49" s="172">
        <v>0</v>
      </c>
      <c r="F49" s="117">
        <f t="shared" si="15"/>
        <v>0</v>
      </c>
      <c r="G49" s="117">
        <f t="shared" si="16"/>
        <v>3287.65625</v>
      </c>
      <c r="H49" s="173">
        <f t="shared" si="19"/>
        <v>44788</v>
      </c>
      <c r="I49" s="176">
        <v>3312.5</v>
      </c>
      <c r="J49" s="81">
        <f t="shared" si="7"/>
        <v>0</v>
      </c>
      <c r="K49" s="80"/>
      <c r="L49" s="186">
        <f t="shared" si="18"/>
        <v>3287.65625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29.38</v>
      </c>
      <c r="C50" s="116">
        <v>7.4999999999999997E-3</v>
      </c>
      <c r="D50" s="117">
        <f t="shared" si="17"/>
        <v>0.22034999999999999</v>
      </c>
      <c r="E50" s="172">
        <v>0</v>
      </c>
      <c r="F50" s="117">
        <f t="shared" si="15"/>
        <v>0</v>
      </c>
      <c r="G50" s="117">
        <f t="shared" si="16"/>
        <v>29.159649999999999</v>
      </c>
      <c r="H50" s="173">
        <f t="shared" si="19"/>
        <v>44788</v>
      </c>
      <c r="I50" s="175">
        <v>74.239999999999995</v>
      </c>
      <c r="J50" s="81">
        <f t="shared" si="7"/>
        <v>-44.86</v>
      </c>
      <c r="K50" s="80">
        <v>24.18</v>
      </c>
      <c r="L50" s="186">
        <f t="shared" si="18"/>
        <v>4.9796499999999995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44.86</v>
      </c>
      <c r="C51" s="116">
        <v>1.4999999999999999E-2</v>
      </c>
      <c r="D51" s="117">
        <f>+B51*C51</f>
        <v>0.67289999999999994</v>
      </c>
      <c r="E51" s="172">
        <v>0</v>
      </c>
      <c r="F51" s="117">
        <f>D51*E51</f>
        <v>0</v>
      </c>
      <c r="G51" s="117">
        <f t="shared" si="16"/>
        <v>44.187100000000001</v>
      </c>
      <c r="H51" s="173">
        <f t="shared" si="19"/>
        <v>44788</v>
      </c>
      <c r="I51" s="175"/>
      <c r="J51" s="81">
        <f t="shared" si="7"/>
        <v>44.86</v>
      </c>
      <c r="K51" s="80">
        <v>44.19</v>
      </c>
      <c r="L51" s="186">
        <f t="shared" si="18"/>
        <v>-2.899999999996794E-3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477.86</v>
      </c>
      <c r="C52" s="116">
        <v>2.5000000000000001E-2</v>
      </c>
      <c r="D52" s="117">
        <f>B52*C52</f>
        <v>11.9465</v>
      </c>
      <c r="E52" s="172">
        <v>0.05</v>
      </c>
      <c r="F52" s="117">
        <f>(B52/E$10)*E52</f>
        <v>20.597413793103453</v>
      </c>
      <c r="G52" s="117">
        <f>B52-D52-F52</f>
        <v>445.31608620689656</v>
      </c>
      <c r="H52" s="188">
        <f t="shared" si="19"/>
        <v>44788</v>
      </c>
      <c r="I52" s="176">
        <v>477.86</v>
      </c>
      <c r="J52" s="81">
        <f t="shared" si="7"/>
        <v>0</v>
      </c>
      <c r="K52" s="80">
        <v>114.21</v>
      </c>
      <c r="L52" s="186">
        <f>K52-G52</f>
        <v>-331.10608620689658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44788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44788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44788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217</v>
      </c>
      <c r="B56" s="117">
        <f>T75</f>
        <v>148.16999999999999</v>
      </c>
      <c r="C56" s="116">
        <v>2.5000000000000001E-2</v>
      </c>
      <c r="D56" s="117">
        <f t="shared" si="20"/>
        <v>3.70425</v>
      </c>
      <c r="E56" s="172">
        <v>0.05</v>
      </c>
      <c r="F56" s="117">
        <f t="shared" si="21"/>
        <v>6.3866379310344827</v>
      </c>
      <c r="G56" s="117">
        <f t="shared" si="22"/>
        <v>138.07911206896551</v>
      </c>
      <c r="H56" s="173">
        <f t="shared" si="19"/>
        <v>44788</v>
      </c>
      <c r="I56" s="176">
        <v>148.16999999999999</v>
      </c>
      <c r="J56" s="81">
        <f t="shared" si="7"/>
        <v>0</v>
      </c>
      <c r="K56" s="80"/>
      <c r="L56" s="186">
        <f t="shared" si="18"/>
        <v>138.07911206896551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44790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44792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44817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162.46572499999996</v>
      </c>
      <c r="E61" s="177"/>
      <c r="F61" s="57">
        <f>SUM(F46:F58)</f>
        <v>26.984051724137935</v>
      </c>
      <c r="G61" s="57">
        <f>SUM(G46:G58)</f>
        <v>18984.690223275862</v>
      </c>
      <c r="H61" s="173">
        <f t="shared" si="19"/>
        <v>44788</v>
      </c>
      <c r="I61" s="175"/>
      <c r="J61" s="81">
        <f t="shared" si="7"/>
        <v>0</v>
      </c>
      <c r="K61" s="80"/>
      <c r="L61" s="186">
        <f t="shared" si="18"/>
        <v>18984.690223275862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44788</v>
      </c>
      <c r="I62" s="176"/>
      <c r="J62" s="81">
        <f t="shared" si="7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251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816.16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6.1212</v>
      </c>
      <c r="W63" s="191">
        <f t="shared" si="25"/>
        <v>0</v>
      </c>
      <c r="X63" s="191">
        <f t="shared" si="25"/>
        <v>0</v>
      </c>
      <c r="Y63" s="191">
        <f>SUM(Y43:Y62)</f>
        <v>810.03880000000004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37969.380446551724</v>
      </c>
      <c r="H64" s="184"/>
      <c r="I64" s="175"/>
      <c r="J64" s="81">
        <f t="shared" si="7"/>
        <v>0</v>
      </c>
      <c r="K64" s="80"/>
      <c r="L64" s="186">
        <f t="shared" si="18"/>
        <v>37969.380446551724</v>
      </c>
      <c r="M64" s="130"/>
      <c r="N64" s="87">
        <v>1</v>
      </c>
      <c r="O64" s="122" t="s">
        <v>214</v>
      </c>
      <c r="P64" s="225"/>
      <c r="Q64" s="225">
        <v>1557</v>
      </c>
      <c r="R64" s="221">
        <f>56.71+15.54+25.67+11+37.22</f>
        <v>146.13999999999999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1.0960499999999997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145.04395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39481.567999999999</v>
      </c>
      <c r="G65" s="22"/>
      <c r="L65" s="132"/>
      <c r="M65" s="131"/>
      <c r="N65" s="87">
        <v>2</v>
      </c>
      <c r="O65" s="122" t="s">
        <v>214</v>
      </c>
      <c r="P65" s="225"/>
      <c r="Q65" s="225" t="s">
        <v>275</v>
      </c>
      <c r="R65" s="221">
        <f>113.08+112.4</f>
        <v>225.48000000000002</v>
      </c>
      <c r="S65" s="225"/>
      <c r="T65" s="225"/>
      <c r="U65" s="189">
        <f t="shared" si="27"/>
        <v>0</v>
      </c>
      <c r="V65" s="189">
        <f t="shared" si="28"/>
        <v>1.6911</v>
      </c>
      <c r="W65" s="189">
        <f t="shared" si="29"/>
        <v>0</v>
      </c>
      <c r="X65" s="189">
        <f t="shared" si="30"/>
        <v>0</v>
      </c>
      <c r="Y65" s="189">
        <f t="shared" si="31"/>
        <v>223.78890000000001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214</v>
      </c>
      <c r="P66" s="225"/>
      <c r="Q66" s="225">
        <v>5115</v>
      </c>
      <c r="R66" s="225">
        <f>68.47+48+14.84+1+0.12+20.72</f>
        <v>153.15</v>
      </c>
      <c r="S66" s="225"/>
      <c r="T66" s="225"/>
      <c r="U66" s="189">
        <f t="shared" si="27"/>
        <v>0</v>
      </c>
      <c r="V66" s="189">
        <f t="shared" si="28"/>
        <v>1.148625</v>
      </c>
      <c r="W66" s="189">
        <f t="shared" si="29"/>
        <v>0</v>
      </c>
      <c r="X66" s="189">
        <f t="shared" si="30"/>
        <v>0</v>
      </c>
      <c r="Y66" s="189">
        <f t="shared" si="31"/>
        <v>152.001375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214</v>
      </c>
      <c r="P67" s="225"/>
      <c r="Q67" s="225">
        <v>7995</v>
      </c>
      <c r="R67" s="225">
        <f>100+11+42+7.85</f>
        <v>160.85</v>
      </c>
      <c r="S67" s="225"/>
      <c r="T67" s="225"/>
      <c r="U67" s="189">
        <f t="shared" si="27"/>
        <v>0</v>
      </c>
      <c r="V67" s="189">
        <f t="shared" si="28"/>
        <v>1.206375</v>
      </c>
      <c r="W67" s="189">
        <f t="shared" si="29"/>
        <v>0</v>
      </c>
      <c r="X67" s="189">
        <f t="shared" si="30"/>
        <v>0</v>
      </c>
      <c r="Y67" s="189">
        <f t="shared" si="31"/>
        <v>159.64362499999999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39487.31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214</v>
      </c>
      <c r="P68" s="225"/>
      <c r="Q68" s="225">
        <v>179</v>
      </c>
      <c r="R68" s="225">
        <f>82.52+44.83+95.99+12+61.4</f>
        <v>296.73999999999995</v>
      </c>
      <c r="S68" s="225"/>
      <c r="T68" s="225"/>
      <c r="U68" s="189">
        <f t="shared" si="27"/>
        <v>0</v>
      </c>
      <c r="V68" s="189">
        <f t="shared" si="28"/>
        <v>2.2255499999999997</v>
      </c>
      <c r="W68" s="189">
        <f t="shared" si="29"/>
        <v>0</v>
      </c>
      <c r="X68" s="189">
        <f t="shared" si="30"/>
        <v>0</v>
      </c>
      <c r="Y68" s="189">
        <f t="shared" si="31"/>
        <v>294.51444999999995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38973.86</v>
      </c>
      <c r="C69" s="59"/>
      <c r="F69" s="87" t="s">
        <v>127</v>
      </c>
      <c r="G69" s="22"/>
      <c r="H69" s="89"/>
      <c r="I69" s="136"/>
      <c r="J69" s="136">
        <f>K52</f>
        <v>114.21</v>
      </c>
      <c r="N69" s="312" t="s">
        <v>108</v>
      </c>
      <c r="O69" s="312"/>
      <c r="P69" s="313"/>
      <c r="Q69" s="313"/>
      <c r="R69" s="192">
        <f>SUM(R64:R68)</f>
        <v>982.3599999999999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7.3676999999999992</v>
      </c>
      <c r="W69" s="192">
        <f t="shared" si="33"/>
        <v>0</v>
      </c>
      <c r="X69" s="192">
        <f t="shared" si="33"/>
        <v>0</v>
      </c>
      <c r="Y69" s="192">
        <f t="shared" si="33"/>
        <v>974.99229999999989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513.44999999999709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210</v>
      </c>
      <c r="Q70" s="225">
        <v>2001</v>
      </c>
      <c r="R70" s="221">
        <v>161.63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1.2122249999999999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160.41777500000001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-5.7419999999983702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114.21</v>
      </c>
      <c r="N71" s="87">
        <v>2</v>
      </c>
      <c r="O71" s="122" t="s">
        <v>208</v>
      </c>
      <c r="P71" s="225">
        <v>66</v>
      </c>
      <c r="Q71" s="225">
        <v>2001</v>
      </c>
      <c r="R71" s="221">
        <v>158.46</v>
      </c>
      <c r="S71" s="225"/>
      <c r="T71" s="225"/>
      <c r="U71" s="189">
        <f t="shared" si="34"/>
        <v>0</v>
      </c>
      <c r="V71" s="189">
        <f t="shared" si="35"/>
        <v>1.18845</v>
      </c>
      <c r="W71" s="189">
        <f t="shared" si="36"/>
        <v>0</v>
      </c>
      <c r="X71" s="189">
        <f t="shared" si="37"/>
        <v>0</v>
      </c>
      <c r="Y71" s="189">
        <f t="shared" si="38"/>
        <v>157.27155000000002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>
        <v>65</v>
      </c>
      <c r="Q72" s="225">
        <v>2001</v>
      </c>
      <c r="R72" s="221">
        <v>469.39</v>
      </c>
      <c r="S72" s="225"/>
      <c r="T72" s="225">
        <v>103.35</v>
      </c>
      <c r="U72" s="189">
        <f t="shared" si="34"/>
        <v>4.4547413793103452</v>
      </c>
      <c r="V72" s="189">
        <f t="shared" si="35"/>
        <v>3.5204249999999999</v>
      </c>
      <c r="W72" s="189">
        <f t="shared" si="36"/>
        <v>0</v>
      </c>
      <c r="X72" s="189">
        <f t="shared" si="37"/>
        <v>2.5837500000000002</v>
      </c>
      <c r="Y72" s="189">
        <f t="shared" si="38"/>
        <v>465.869575</v>
      </c>
      <c r="Z72" s="189">
        <f t="shared" si="38"/>
        <v>0</v>
      </c>
      <c r="AA72" s="189">
        <f t="shared" si="39"/>
        <v>96.311508620689651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>
        <v>215</v>
      </c>
      <c r="Q73" s="225">
        <v>2001</v>
      </c>
      <c r="R73" s="221">
        <f>217.31+421.9</f>
        <v>639.21</v>
      </c>
      <c r="S73" s="225"/>
      <c r="T73" s="225"/>
      <c r="U73" s="189">
        <f t="shared" si="34"/>
        <v>0</v>
      </c>
      <c r="V73" s="189">
        <f t="shared" si="35"/>
        <v>4.7940750000000003</v>
      </c>
      <c r="W73" s="189">
        <f t="shared" si="36"/>
        <v>0</v>
      </c>
      <c r="X73" s="189">
        <f t="shared" si="37"/>
        <v>0</v>
      </c>
      <c r="Y73" s="189">
        <f t="shared" si="38"/>
        <v>634.41592500000002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208</v>
      </c>
      <c r="P74" s="225">
        <v>211</v>
      </c>
      <c r="Q74" s="225">
        <v>44</v>
      </c>
      <c r="R74" s="221">
        <v>1883.81</v>
      </c>
      <c r="S74" s="225"/>
      <c r="T74" s="225">
        <v>44.82</v>
      </c>
      <c r="U74" s="189">
        <f t="shared" si="34"/>
        <v>1.9318965517241382</v>
      </c>
      <c r="V74" s="189">
        <f t="shared" si="35"/>
        <v>14.128575</v>
      </c>
      <c r="W74" s="189">
        <f t="shared" si="36"/>
        <v>0</v>
      </c>
      <c r="X74" s="189">
        <f t="shared" si="37"/>
        <v>1.1205000000000001</v>
      </c>
      <c r="Y74" s="189">
        <f t="shared" si="38"/>
        <v>1869.681425</v>
      </c>
      <c r="Z74" s="189">
        <f t="shared" si="38"/>
        <v>0</v>
      </c>
      <c r="AA74" s="189">
        <f t="shared" si="39"/>
        <v>41.767603448275864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3312.5</v>
      </c>
      <c r="S75" s="192"/>
      <c r="T75" s="192">
        <f>SUM(T70:T74)</f>
        <v>148.16999999999999</v>
      </c>
      <c r="U75" s="192">
        <f>SUM(U70:U74)</f>
        <v>6.3866379310344836</v>
      </c>
      <c r="V75" s="192">
        <f t="shared" ref="V75:AA75" si="41">SUM(V70:V74)</f>
        <v>24.84375</v>
      </c>
      <c r="W75" s="192">
        <f t="shared" si="41"/>
        <v>0</v>
      </c>
      <c r="X75" s="192">
        <f t="shared" si="41"/>
        <v>3.70425</v>
      </c>
      <c r="Y75" s="192">
        <f t="shared" si="41"/>
        <v>3287.65625</v>
      </c>
      <c r="Z75" s="192">
        <f t="shared" si="41"/>
        <v>0</v>
      </c>
      <c r="AA75" s="193">
        <f t="shared" si="41"/>
        <v>138.07911206896551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29.38</f>
        <v>29.38</v>
      </c>
      <c r="R78" s="82">
        <v>7.4999999999999997E-3</v>
      </c>
      <c r="S78" s="194">
        <f>+(P78+Q78)*R78</f>
        <v>0.22034999999999999</v>
      </c>
      <c r="T78" s="258">
        <f>+(P78+Q78)-S78</f>
        <v>29.159649999999999</v>
      </c>
      <c r="U78" s="211">
        <f>22.61</f>
        <v>22.61</v>
      </c>
      <c r="V78" s="112"/>
      <c r="W78" s="113">
        <v>1.4999999999999999E-2</v>
      </c>
      <c r="X78" s="196">
        <f>+(U78+V78)*W78</f>
        <v>0.33914999999999995</v>
      </c>
      <c r="Y78" s="258">
        <f>+(U78+V78)-X78</f>
        <v>22.270849999999999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24.18</v>
      </c>
      <c r="N79" s="87">
        <v>4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58">
        <f t="shared" ref="T79:T97" si="44">+(P79+Q79)-S79</f>
        <v>0</v>
      </c>
      <c r="U79" s="211">
        <f>22.25</f>
        <v>22.25</v>
      </c>
      <c r="V79" s="112"/>
      <c r="W79" s="113">
        <v>1.4999999999999999E-2</v>
      </c>
      <c r="X79" s="196">
        <f t="shared" ref="X79:X97" si="45">+(U79+V79)*W79</f>
        <v>0.33374999999999999</v>
      </c>
      <c r="Y79" s="258">
        <f t="shared" ref="Y79:Y97" si="46">+(U79+V79)-X79</f>
        <v>21.916250000000002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58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5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24.18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58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5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58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58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8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58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58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5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54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5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54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216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29.38</v>
      </c>
      <c r="R98" s="111"/>
      <c r="S98" s="195">
        <f>SUM(S78:S97)</f>
        <v>0.22034999999999999</v>
      </c>
      <c r="T98" s="195">
        <f>SUM(T78:T97)</f>
        <v>29.159649999999999</v>
      </c>
      <c r="U98" s="114">
        <f>SUM(U78:U97)</f>
        <v>44.86</v>
      </c>
      <c r="V98" s="114">
        <f>SUM(V78:V97)</f>
        <v>0</v>
      </c>
      <c r="W98" s="112"/>
      <c r="X98" s="197">
        <f>SUM(X78:X97)</f>
        <v>0.67289999999999994</v>
      </c>
      <c r="Y98" s="197">
        <f>SUM(Y78:Y97)</f>
        <v>44.187100000000001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P78+U78+Q78</f>
        <v>51.989999999999995</v>
      </c>
      <c r="R102" s="84"/>
    </row>
    <row r="103" spans="14:30" x14ac:dyDescent="0.25">
      <c r="N103" s="85"/>
      <c r="Q103" s="215">
        <f t="shared" ref="Q103:Q111" si="50">P79+Q79+U79</f>
        <v>22.25</v>
      </c>
      <c r="R103" s="84"/>
    </row>
    <row r="104" spans="14:30" x14ac:dyDescent="0.25">
      <c r="N104" s="85"/>
      <c r="Q104" s="215">
        <f>P80+Q80+U80</f>
        <v>0</v>
      </c>
      <c r="R104" s="84"/>
    </row>
    <row r="105" spans="14:30" x14ac:dyDescent="0.25">
      <c r="N105" s="85"/>
      <c r="Q105" s="215">
        <f>P81+Q81+U81</f>
        <v>0</v>
      </c>
      <c r="R105" s="84"/>
    </row>
    <row r="106" spans="14:30" x14ac:dyDescent="0.25">
      <c r="N106" s="85"/>
      <c r="Q106" s="215">
        <f t="shared" si="50"/>
        <v>0</v>
      </c>
      <c r="R106" s="84"/>
    </row>
    <row r="107" spans="14:30" x14ac:dyDescent="0.25">
      <c r="N107" s="85"/>
      <c r="Q107" s="215">
        <f t="shared" si="50"/>
        <v>0</v>
      </c>
      <c r="R107" s="84"/>
    </row>
    <row r="108" spans="14:30" x14ac:dyDescent="0.25">
      <c r="N108" s="85"/>
      <c r="Q108" s="215">
        <f t="shared" si="50"/>
        <v>0</v>
      </c>
      <c r="R108" s="84"/>
    </row>
    <row r="109" spans="14:30" x14ac:dyDescent="0.25">
      <c r="N109" s="85"/>
      <c r="Q109" s="215">
        <f>P85+Q85+U85</f>
        <v>0</v>
      </c>
      <c r="R109" s="84"/>
    </row>
    <row r="110" spans="14:30" x14ac:dyDescent="0.25">
      <c r="N110" s="85"/>
      <c r="Q110" s="84">
        <f>P86+Q86+U86</f>
        <v>0</v>
      </c>
      <c r="R110" s="84"/>
    </row>
    <row r="111" spans="14:30" x14ac:dyDescent="0.25">
      <c r="N111" s="85"/>
      <c r="Q111" s="84">
        <f t="shared" si="50"/>
        <v>0</v>
      </c>
      <c r="R111" s="84"/>
    </row>
    <row r="112" spans="14:30" x14ac:dyDescent="0.25">
      <c r="N112" s="85"/>
      <c r="Q112" s="84"/>
      <c r="R112" s="84"/>
    </row>
    <row r="113" spans="14:18" x14ac:dyDescent="0.25">
      <c r="N113" s="85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3" zoomScale="90" zoomScaleNormal="90" workbookViewId="0">
      <selection activeCell="K73" sqref="K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44788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>
        <v>6.12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737.5</v>
      </c>
      <c r="C12" s="15"/>
      <c r="D12" s="56"/>
      <c r="E12" s="16"/>
      <c r="F12" s="56"/>
      <c r="G12" s="56"/>
      <c r="H12" s="17"/>
      <c r="I12" s="83">
        <v>737.5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232</v>
      </c>
      <c r="Q12" s="158">
        <v>11</v>
      </c>
      <c r="R12" s="159">
        <v>2414.64</v>
      </c>
      <c r="S12" s="160"/>
      <c r="T12" s="160"/>
      <c r="U12" s="189">
        <f>((T12/U$10)*U$9)</f>
        <v>0</v>
      </c>
      <c r="V12" s="189">
        <f>R12*V$10</f>
        <v>18.1098</v>
      </c>
      <c r="W12" s="189">
        <f>+S12*V$10</f>
        <v>0</v>
      </c>
      <c r="X12" s="189">
        <f>+T12*X$10</f>
        <v>0</v>
      </c>
      <c r="Y12" s="189">
        <f>R12-V12</f>
        <v>2396.5301999999997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1806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1806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616</v>
      </c>
      <c r="Q13" s="158">
        <v>2</v>
      </c>
      <c r="R13" s="159">
        <v>1000.22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7.5016499999999997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992.71834999999999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10799.880000000001</v>
      </c>
      <c r="C14" s="15"/>
      <c r="D14" s="56"/>
      <c r="E14" s="16"/>
      <c r="F14" s="56"/>
      <c r="G14" s="56"/>
      <c r="H14" s="17"/>
      <c r="I14" s="83"/>
      <c r="J14" s="81">
        <f t="shared" si="0"/>
        <v>10799.880000000001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617</v>
      </c>
      <c r="Q14" s="158">
        <v>2</v>
      </c>
      <c r="R14" s="159">
        <v>1336.06</v>
      </c>
      <c r="S14" s="160"/>
      <c r="T14" s="161">
        <v>323.88</v>
      </c>
      <c r="U14" s="189">
        <f t="shared" si="2"/>
        <v>13.960344827586207</v>
      </c>
      <c r="V14" s="189">
        <f t="shared" si="3"/>
        <v>10.020449999999999</v>
      </c>
      <c r="W14" s="189">
        <f t="shared" si="4"/>
        <v>0</v>
      </c>
      <c r="X14" s="189">
        <f t="shared" si="5"/>
        <v>8.0969999999999995</v>
      </c>
      <c r="Y14" s="189">
        <f t="shared" si="6"/>
        <v>1326.03955</v>
      </c>
      <c r="Z14" s="189">
        <f t="shared" si="6"/>
        <v>0</v>
      </c>
      <c r="AA14" s="189">
        <f t="shared" si="7"/>
        <v>301.82265517241382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596</v>
      </c>
      <c r="Q15" s="158">
        <v>4</v>
      </c>
      <c r="R15" s="159">
        <v>2617.96</v>
      </c>
      <c r="S15" s="160"/>
      <c r="T15" s="161">
        <v>83.61</v>
      </c>
      <c r="U15" s="189">
        <f t="shared" si="2"/>
        <v>3.6038793103448281</v>
      </c>
      <c r="V15" s="189">
        <f t="shared" si="3"/>
        <v>19.634699999999999</v>
      </c>
      <c r="W15" s="189">
        <f t="shared" si="4"/>
        <v>0</v>
      </c>
      <c r="X15" s="189">
        <f t="shared" si="5"/>
        <v>2.0902500000000002</v>
      </c>
      <c r="Y15" s="189">
        <f t="shared" si="6"/>
        <v>2598.3253</v>
      </c>
      <c r="Z15" s="189">
        <f t="shared" si="6"/>
        <v>0</v>
      </c>
      <c r="AA15" s="189">
        <f t="shared" si="7"/>
        <v>77.915870689655179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233</v>
      </c>
      <c r="Q16" s="158">
        <v>10</v>
      </c>
      <c r="R16" s="159">
        <v>825.1</v>
      </c>
      <c r="S16" s="160"/>
      <c r="T16" s="161">
        <v>16.5</v>
      </c>
      <c r="U16" s="189">
        <f t="shared" si="2"/>
        <v>0.7112068965517242</v>
      </c>
      <c r="V16" s="189">
        <f t="shared" si="3"/>
        <v>6.18825</v>
      </c>
      <c r="W16" s="189">
        <f t="shared" si="4"/>
        <v>0</v>
      </c>
      <c r="X16" s="189">
        <f t="shared" si="5"/>
        <v>0.41250000000000003</v>
      </c>
      <c r="Y16" s="189">
        <f t="shared" si="6"/>
        <v>818.91174999999998</v>
      </c>
      <c r="Z16" s="189">
        <f t="shared" si="6"/>
        <v>0</v>
      </c>
      <c r="AA16" s="189">
        <f t="shared" si="7"/>
        <v>15.376293103448276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234</v>
      </c>
      <c r="Q17" s="158">
        <v>10</v>
      </c>
      <c r="R17" s="159">
        <v>882.37</v>
      </c>
      <c r="S17" s="160"/>
      <c r="T17" s="161"/>
      <c r="U17" s="189">
        <f t="shared" si="2"/>
        <v>0</v>
      </c>
      <c r="V17" s="189">
        <f t="shared" si="3"/>
        <v>6.617775</v>
      </c>
      <c r="W17" s="189">
        <f t="shared" si="4"/>
        <v>0</v>
      </c>
      <c r="X17" s="189">
        <f t="shared" si="5"/>
        <v>0</v>
      </c>
      <c r="Y17" s="189">
        <f t="shared" si="6"/>
        <v>875.75222499999995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686</v>
      </c>
      <c r="Q18" s="158">
        <v>18</v>
      </c>
      <c r="R18" s="162">
        <v>677.13</v>
      </c>
      <c r="S18" s="160"/>
      <c r="T18" s="161"/>
      <c r="U18" s="189">
        <f t="shared" si="2"/>
        <v>0</v>
      </c>
      <c r="V18" s="189" t="e">
        <f>#REF!*V$10</f>
        <v>#REF!</v>
      </c>
      <c r="W18" s="189">
        <f t="shared" si="4"/>
        <v>0</v>
      </c>
      <c r="X18" s="189">
        <f t="shared" si="5"/>
        <v>0</v>
      </c>
      <c r="Y18" s="189" t="e">
        <f>#REF!-V18</f>
        <v>#REF!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1806</v>
      </c>
      <c r="C19" s="95"/>
      <c r="D19" s="94"/>
      <c r="E19" s="96"/>
      <c r="F19" s="94"/>
      <c r="G19" s="94"/>
      <c r="H19" s="98"/>
      <c r="I19" s="99">
        <v>1806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687</v>
      </c>
      <c r="Q19" s="158">
        <v>18</v>
      </c>
      <c r="R19" s="159">
        <v>866.97</v>
      </c>
      <c r="S19" s="160"/>
      <c r="T19" s="161">
        <v>44.01</v>
      </c>
      <c r="U19" s="189">
        <f t="shared" si="2"/>
        <v>1.8969827586206898</v>
      </c>
      <c r="V19" s="189">
        <f t="shared" si="3"/>
        <v>6.502275</v>
      </c>
      <c r="W19" s="189">
        <f t="shared" si="4"/>
        <v>0</v>
      </c>
      <c r="X19" s="189">
        <f t="shared" si="5"/>
        <v>1.10025</v>
      </c>
      <c r="Y19" s="189">
        <f t="shared" si="6"/>
        <v>860.46772499999997</v>
      </c>
      <c r="Z19" s="189">
        <f t="shared" si="6"/>
        <v>0</v>
      </c>
      <c r="AA19" s="189">
        <f t="shared" si="7"/>
        <v>41.012767241379308</v>
      </c>
      <c r="AB19" s="156"/>
    </row>
    <row r="20" spans="1:28" ht="15.75" x14ac:dyDescent="0.25">
      <c r="A20" s="93" t="s">
        <v>80</v>
      </c>
      <c r="B20" s="97">
        <f>+B14+B16+B18</f>
        <v>10799.880000000001</v>
      </c>
      <c r="C20" s="95"/>
      <c r="D20" s="94"/>
      <c r="E20" s="96"/>
      <c r="F20" s="94"/>
      <c r="G20" s="94"/>
      <c r="H20" s="98"/>
      <c r="I20" s="99"/>
      <c r="J20" s="185">
        <f t="shared" si="0"/>
        <v>10799.880000000001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S27" s="160"/>
      <c r="T27" s="160"/>
      <c r="U27" s="189">
        <f t="shared" si="2"/>
        <v>0</v>
      </c>
      <c r="V27" s="189">
        <f>R18*V$10</f>
        <v>5.0784750000000001</v>
      </c>
      <c r="W27" s="189">
        <f t="shared" si="4"/>
        <v>0</v>
      </c>
      <c r="X27" s="189">
        <f t="shared" si="5"/>
        <v>0</v>
      </c>
      <c r="Y27" s="189">
        <f>R18-V27</f>
        <v>672.05152499999997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41.2</v>
      </c>
      <c r="C37" s="100"/>
      <c r="D37" s="66"/>
      <c r="E37" s="67"/>
      <c r="F37" s="66"/>
      <c r="G37" s="66"/>
      <c r="H37" s="102"/>
      <c r="I37" s="79"/>
      <c r="J37" s="81">
        <f t="shared" si="0"/>
        <v>41.2</v>
      </c>
      <c r="K37" s="80"/>
      <c r="L37" s="186">
        <f t="shared" si="8"/>
        <v>-41.2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246.37600000000003</v>
      </c>
      <c r="C38" s="100"/>
      <c r="D38" s="66"/>
      <c r="E38" s="67"/>
      <c r="F38" s="66"/>
      <c r="G38" s="66"/>
      <c r="H38" s="102"/>
      <c r="I38" s="79"/>
      <c r="J38" s="81">
        <f t="shared" si="0"/>
        <v>246.37600000000003</v>
      </c>
      <c r="K38" s="80"/>
      <c r="L38" s="186">
        <f t="shared" si="8"/>
        <v>-246.37600000000003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10620.449999999999</v>
      </c>
      <c r="S42" s="190">
        <f t="shared" si="9"/>
        <v>0</v>
      </c>
      <c r="T42" s="190">
        <f t="shared" si="9"/>
        <v>468</v>
      </c>
      <c r="U42" s="190">
        <f t="shared" si="9"/>
        <v>20.172413793103448</v>
      </c>
      <c r="V42" s="190" t="e">
        <f t="shared" si="9"/>
        <v>#REF!</v>
      </c>
      <c r="W42" s="190">
        <f t="shared" si="9"/>
        <v>0</v>
      </c>
      <c r="X42" s="190">
        <f t="shared" si="9"/>
        <v>11.7</v>
      </c>
      <c r="Y42" s="190" t="e">
        <f t="shared" si="9"/>
        <v>#REF!</v>
      </c>
      <c r="Z42" s="190">
        <f t="shared" si="9"/>
        <v>0</v>
      </c>
      <c r="AA42" s="190">
        <f t="shared" si="9"/>
        <v>436.12758620689658</v>
      </c>
      <c r="AB42" s="166"/>
    </row>
    <row r="43" spans="1:28" ht="15.75" x14ac:dyDescent="0.25">
      <c r="A43" s="93" t="s">
        <v>101</v>
      </c>
      <c r="B43" s="97">
        <f>+B37+B39+B41</f>
        <v>41.2</v>
      </c>
      <c r="C43" s="95"/>
      <c r="D43" s="94"/>
      <c r="E43" s="96"/>
      <c r="F43" s="94"/>
      <c r="G43" s="94"/>
      <c r="H43" s="98"/>
      <c r="I43" s="99">
        <v>40.869999999999997</v>
      </c>
      <c r="J43" s="185">
        <f t="shared" si="0"/>
        <v>0.3300000000000054</v>
      </c>
      <c r="K43" s="99"/>
      <c r="L43" s="187">
        <f>K43-B43</f>
        <v>-41.2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246.37600000000003</v>
      </c>
      <c r="C44" s="95"/>
      <c r="D44" s="94"/>
      <c r="E44" s="96"/>
      <c r="F44" s="94"/>
      <c r="G44" s="94"/>
      <c r="H44" s="98"/>
      <c r="I44" s="99"/>
      <c r="J44" s="185">
        <f t="shared" si="0"/>
        <v>246.37600000000003</v>
      </c>
      <c r="K44" s="99"/>
      <c r="L44" s="187">
        <f>K44-B44</f>
        <v>-246.37600000000003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10620.449999999999</v>
      </c>
      <c r="C46" s="116">
        <v>7.4999999999999997E-3</v>
      </c>
      <c r="D46" s="117">
        <f>B46*C46</f>
        <v>79.653374999999983</v>
      </c>
      <c r="E46" s="172">
        <v>0</v>
      </c>
      <c r="F46" s="117">
        <f t="shared" ref="F46:F50" si="16">D46*E46</f>
        <v>0</v>
      </c>
      <c r="G46" s="117">
        <f t="shared" ref="G46:G51" si="17">B46-D46-F46</f>
        <v>10540.796624999999</v>
      </c>
      <c r="H46" s="173">
        <f>B$6+1</f>
        <v>44789</v>
      </c>
      <c r="I46" s="174">
        <v>9633.8799999999992</v>
      </c>
      <c r="J46" s="81">
        <f t="shared" si="0"/>
        <v>986.56999999999971</v>
      </c>
      <c r="K46" s="80"/>
      <c r="L46" s="186">
        <f>K46-G46</f>
        <v>-10540.796624999999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44789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173</v>
      </c>
      <c r="B48" s="117">
        <f>R69</f>
        <v>388.09999999999997</v>
      </c>
      <c r="C48" s="116">
        <v>1.4999999999999999E-2</v>
      </c>
      <c r="D48" s="117">
        <f t="shared" si="18"/>
        <v>5.8214999999999995</v>
      </c>
      <c r="E48" s="172">
        <v>0</v>
      </c>
      <c r="F48" s="117">
        <f t="shared" si="16"/>
        <v>0</v>
      </c>
      <c r="G48" s="117">
        <f t="shared" si="17"/>
        <v>382.27849999999995</v>
      </c>
      <c r="H48" s="173">
        <f t="shared" ref="H48:H61" si="20">B$6+1</f>
        <v>44789</v>
      </c>
      <c r="I48" s="176">
        <v>388.1</v>
      </c>
      <c r="J48" s="81">
        <f t="shared" si="0"/>
        <v>0</v>
      </c>
      <c r="K48" s="80">
        <v>382.28</v>
      </c>
      <c r="L48" s="186">
        <f t="shared" si="19"/>
        <v>-1.5000000000213731E-3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198</v>
      </c>
      <c r="B49" s="117">
        <f>R75</f>
        <v>4475.4800000000005</v>
      </c>
      <c r="C49" s="116">
        <v>7.4999999999999997E-3</v>
      </c>
      <c r="D49" s="117">
        <f t="shared" si="18"/>
        <v>33.566100000000006</v>
      </c>
      <c r="E49" s="172">
        <v>0</v>
      </c>
      <c r="F49" s="117">
        <f t="shared" si="16"/>
        <v>0</v>
      </c>
      <c r="G49" s="117">
        <f t="shared" si="17"/>
        <v>4441.9139000000005</v>
      </c>
      <c r="H49" s="173">
        <f t="shared" si="20"/>
        <v>44789</v>
      </c>
      <c r="I49" s="176">
        <v>4475.4399999999996</v>
      </c>
      <c r="J49" s="81">
        <f t="shared" si="0"/>
        <v>4.0000000000873115E-2</v>
      </c>
      <c r="K49" s="80">
        <v>4441.91</v>
      </c>
      <c r="L49" s="186">
        <f t="shared" si="19"/>
        <v>3.9000000006126356E-3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1428.58</v>
      </c>
      <c r="C50" s="116">
        <v>7.4999999999999997E-3</v>
      </c>
      <c r="D50" s="117">
        <f t="shared" si="18"/>
        <v>10.71435</v>
      </c>
      <c r="E50" s="172">
        <v>0</v>
      </c>
      <c r="F50" s="117">
        <f t="shared" si="16"/>
        <v>0</v>
      </c>
      <c r="G50" s="117">
        <f t="shared" si="17"/>
        <v>1417.86565</v>
      </c>
      <c r="H50" s="173">
        <f t="shared" si="20"/>
        <v>44789</v>
      </c>
      <c r="I50" s="175">
        <v>2002.45</v>
      </c>
      <c r="J50" s="81">
        <f t="shared" si="0"/>
        <v>-573.87000000000012</v>
      </c>
      <c r="K50" s="80">
        <f>276.17+389.69+321.75+269.7+152.94</f>
        <v>1410.25</v>
      </c>
      <c r="L50" s="186">
        <f t="shared" si="19"/>
        <v>7.6156499999999596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889.11999999999989</v>
      </c>
      <c r="C51" s="116">
        <v>1.4999999999999999E-2</v>
      </c>
      <c r="D51" s="117">
        <f>+B51*C51</f>
        <v>13.336799999999998</v>
      </c>
      <c r="E51" s="172">
        <v>0</v>
      </c>
      <c r="F51" s="117">
        <f>D51*E51</f>
        <v>0</v>
      </c>
      <c r="G51" s="117">
        <f t="shared" si="17"/>
        <v>875.78319999999985</v>
      </c>
      <c r="H51" s="173">
        <f t="shared" si="20"/>
        <v>44789</v>
      </c>
      <c r="I51" s="175"/>
      <c r="J51" s="81">
        <f t="shared" si="0"/>
        <v>889.11999999999989</v>
      </c>
      <c r="K51" s="80">
        <v>875.78</v>
      </c>
      <c r="L51" s="186">
        <f t="shared" si="19"/>
        <v>3.1999999998788553E-3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468</v>
      </c>
      <c r="C52" s="116">
        <v>2.5000000000000001E-2</v>
      </c>
      <c r="D52" s="117">
        <f>B52*C52</f>
        <v>11.700000000000001</v>
      </c>
      <c r="E52" s="172">
        <v>0.05</v>
      </c>
      <c r="F52" s="117">
        <f>(B52/E$10)*E52</f>
        <v>20.172413793103452</v>
      </c>
      <c r="G52" s="117">
        <f>B52-D52-F52</f>
        <v>436.12758620689658</v>
      </c>
      <c r="H52" s="188">
        <f t="shared" si="20"/>
        <v>44789</v>
      </c>
      <c r="I52" s="176">
        <v>423.99</v>
      </c>
      <c r="J52" s="81">
        <f t="shared" si="0"/>
        <v>44.009999999999991</v>
      </c>
      <c r="K52" s="80"/>
      <c r="L52" s="186">
        <f>K52-G52</f>
        <v>-436.12758620689658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44789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217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44789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44789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207</v>
      </c>
      <c r="B56" s="117">
        <f>T75</f>
        <v>55.39</v>
      </c>
      <c r="C56" s="116">
        <v>2.5000000000000001E-2</v>
      </c>
      <c r="D56" s="117">
        <f t="shared" si="21"/>
        <v>1.3847500000000001</v>
      </c>
      <c r="E56" s="172">
        <v>0.05</v>
      </c>
      <c r="F56" s="117">
        <f t="shared" si="22"/>
        <v>2.3875000000000006</v>
      </c>
      <c r="G56" s="117">
        <f t="shared" si="23"/>
        <v>51.617750000000001</v>
      </c>
      <c r="H56" s="173">
        <f t="shared" si="20"/>
        <v>44789</v>
      </c>
      <c r="I56" s="176">
        <v>25.94</v>
      </c>
      <c r="J56" s="81">
        <f t="shared" si="0"/>
        <v>29.45</v>
      </c>
      <c r="K56" s="80">
        <v>51.62</v>
      </c>
      <c r="L56" s="186">
        <f t="shared" si="19"/>
        <v>-2.2499999999965326E-3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44791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44793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44818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156.176875</v>
      </c>
      <c r="E61" s="177"/>
      <c r="F61" s="57">
        <f>SUM(F46:F58)</f>
        <v>22.559913793103451</v>
      </c>
      <c r="G61" s="57">
        <f>SUM(G46:G58)</f>
        <v>18146.383211206899</v>
      </c>
      <c r="H61" s="173">
        <f t="shared" si="20"/>
        <v>44789</v>
      </c>
      <c r="I61" s="175"/>
      <c r="J61" s="81">
        <f t="shared" si="0"/>
        <v>0</v>
      </c>
      <c r="K61" s="80"/>
      <c r="L61" s="186">
        <f t="shared" si="19"/>
        <v>18146.383211206899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</v>
      </c>
      <c r="C62" s="18"/>
      <c r="D62" s="101"/>
      <c r="E62" s="178"/>
      <c r="F62" s="101"/>
      <c r="G62" s="57"/>
      <c r="H62" s="173">
        <f>B$6+1</f>
        <v>44789</v>
      </c>
      <c r="I62" s="176"/>
      <c r="J62" s="81">
        <f t="shared" si="0"/>
        <v>36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36292.766422413799</v>
      </c>
      <c r="H64" s="184"/>
      <c r="I64" s="175"/>
      <c r="J64" s="81">
        <f t="shared" si="0"/>
        <v>0</v>
      </c>
      <c r="K64" s="80"/>
      <c r="L64" s="186">
        <f t="shared" si="19"/>
        <v>36292.766422413799</v>
      </c>
      <c r="M64" s="130"/>
      <c r="N64" s="87">
        <v>1</v>
      </c>
      <c r="O64" s="122" t="s">
        <v>216</v>
      </c>
      <c r="P64" s="275"/>
      <c r="Q64" s="275"/>
      <c r="R64" s="275">
        <f>36+43.3</f>
        <v>79.3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0.59475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78.705249999999992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30072.875999999993</v>
      </c>
      <c r="G65" s="22"/>
      <c r="L65" s="132"/>
      <c r="M65" s="131"/>
      <c r="N65" s="87">
        <v>2</v>
      </c>
      <c r="O65" s="122" t="s">
        <v>216</v>
      </c>
      <c r="P65" s="275"/>
      <c r="Q65" s="275">
        <v>7249</v>
      </c>
      <c r="R65" s="275">
        <v>57.53</v>
      </c>
      <c r="S65" s="225"/>
      <c r="T65" s="225"/>
      <c r="U65" s="189">
        <f t="shared" si="28"/>
        <v>0</v>
      </c>
      <c r="V65" s="189">
        <f t="shared" si="29"/>
        <v>0.431475</v>
      </c>
      <c r="W65" s="189">
        <f t="shared" si="30"/>
        <v>0</v>
      </c>
      <c r="X65" s="189">
        <f t="shared" si="31"/>
        <v>0</v>
      </c>
      <c r="Y65" s="189">
        <f t="shared" si="32"/>
        <v>57.098525000000002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216</v>
      </c>
      <c r="P66" s="275"/>
      <c r="Q66" s="275">
        <v>93</v>
      </c>
      <c r="R66" s="273">
        <v>213.7</v>
      </c>
      <c r="S66" s="225"/>
      <c r="T66" s="225"/>
      <c r="U66" s="189">
        <f t="shared" si="28"/>
        <v>0</v>
      </c>
      <c r="V66" s="189">
        <f t="shared" si="29"/>
        <v>1.6027499999999999</v>
      </c>
      <c r="W66" s="189">
        <f t="shared" si="30"/>
        <v>0</v>
      </c>
      <c r="X66" s="189">
        <f t="shared" si="31"/>
        <v>0</v>
      </c>
      <c r="Y66" s="189">
        <f t="shared" si="32"/>
        <v>212.09725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216</v>
      </c>
      <c r="P67" s="275"/>
      <c r="Q67" s="275">
        <v>2022</v>
      </c>
      <c r="R67" s="275">
        <v>23</v>
      </c>
      <c r="S67" s="225"/>
      <c r="T67" s="225"/>
      <c r="U67" s="189">
        <f t="shared" si="28"/>
        <v>0</v>
      </c>
      <c r="V67" s="189">
        <f t="shared" si="29"/>
        <v>0.17249999999999999</v>
      </c>
      <c r="W67" s="189">
        <f t="shared" si="30"/>
        <v>0</v>
      </c>
      <c r="X67" s="189">
        <f t="shared" si="31"/>
        <v>0</v>
      </c>
      <c r="Y67" s="189">
        <f t="shared" si="32"/>
        <v>22.827500000000001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29852.51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216</v>
      </c>
      <c r="P68" s="275"/>
      <c r="Q68" s="275">
        <v>9186</v>
      </c>
      <c r="R68" s="275">
        <v>14.57</v>
      </c>
      <c r="S68" s="225"/>
      <c r="T68" s="225"/>
      <c r="U68" s="189">
        <f t="shared" si="28"/>
        <v>0</v>
      </c>
      <c r="V68" s="189">
        <f t="shared" si="29"/>
        <v>0.109275</v>
      </c>
      <c r="W68" s="189">
        <f t="shared" si="30"/>
        <v>0</v>
      </c>
      <c r="X68" s="189">
        <f t="shared" si="31"/>
        <v>0</v>
      </c>
      <c r="Y68" s="189">
        <f t="shared" si="32"/>
        <v>14.460725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29563.68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388.09999999999997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2.9107499999999993</v>
      </c>
      <c r="W69" s="192">
        <f t="shared" si="34"/>
        <v>0</v>
      </c>
      <c r="X69" s="192">
        <f t="shared" si="34"/>
        <v>0</v>
      </c>
      <c r="Y69" s="192">
        <f t="shared" si="34"/>
        <v>385.18925000000002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288.82999999999811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275">
        <v>218</v>
      </c>
      <c r="Q70" s="275">
        <v>2001</v>
      </c>
      <c r="R70" s="273">
        <v>1355.44</v>
      </c>
      <c r="S70" s="275"/>
      <c r="T70" s="275">
        <v>25.94</v>
      </c>
      <c r="U70" s="189">
        <f t="shared" ref="U70:U74" si="35">((T70/U$10)*U$9)</f>
        <v>1.1181034482758623</v>
      </c>
      <c r="V70" s="189">
        <f t="shared" ref="V70:V74" si="36">R70*V$10</f>
        <v>10.165800000000001</v>
      </c>
      <c r="W70" s="189">
        <f t="shared" ref="W70:W74" si="37">+S70*V$10</f>
        <v>0</v>
      </c>
      <c r="X70" s="189">
        <f t="shared" ref="X70:X74" si="38">+T70*X$10</f>
        <v>0.64850000000000008</v>
      </c>
      <c r="Y70" s="189">
        <f t="shared" ref="Y70:Z74" si="39">R70-V70</f>
        <v>1345.2742000000001</v>
      </c>
      <c r="Z70" s="189">
        <f t="shared" si="39"/>
        <v>0</v>
      </c>
      <c r="AA70" s="189">
        <f t="shared" ref="AA70:AA74" si="40">T70-U70-X70</f>
        <v>24.173396551724139</v>
      </c>
      <c r="AB70" s="87"/>
    </row>
    <row r="71" spans="1:30" ht="28.5" customHeight="1" thickBot="1" x14ac:dyDescent="0.3">
      <c r="A71" s="25" t="s">
        <v>56</v>
      </c>
      <c r="B71" s="70">
        <f>B65-B68</f>
        <v>220.36599999999453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215</v>
      </c>
      <c r="P71" s="266">
        <v>212</v>
      </c>
      <c r="Q71" s="266">
        <v>2001</v>
      </c>
      <c r="R71" s="273">
        <v>2144.0700000000002</v>
      </c>
      <c r="S71" s="275"/>
      <c r="T71" s="275">
        <v>29.45</v>
      </c>
      <c r="U71" s="189">
        <f t="shared" si="35"/>
        <v>1.2693965517241379</v>
      </c>
      <c r="V71" s="189">
        <f t="shared" si="36"/>
        <v>16.080525000000002</v>
      </c>
      <c r="W71" s="189">
        <f t="shared" si="37"/>
        <v>0</v>
      </c>
      <c r="X71" s="189">
        <f t="shared" si="38"/>
        <v>0.73625000000000007</v>
      </c>
      <c r="Y71" s="189">
        <f t="shared" si="39"/>
        <v>2127.9894750000003</v>
      </c>
      <c r="Z71" s="189">
        <f t="shared" si="39"/>
        <v>0</v>
      </c>
      <c r="AA71" s="189">
        <f t="shared" si="40"/>
        <v>27.444353448275862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275">
        <v>68</v>
      </c>
      <c r="Q72" s="275">
        <v>2001</v>
      </c>
      <c r="R72" s="273">
        <v>975.97</v>
      </c>
      <c r="S72" s="275"/>
      <c r="T72" s="275"/>
      <c r="U72" s="189">
        <f t="shared" si="35"/>
        <v>0</v>
      </c>
      <c r="V72" s="189">
        <f t="shared" si="36"/>
        <v>7.3197749999999999</v>
      </c>
      <c r="W72" s="189">
        <f t="shared" si="37"/>
        <v>0</v>
      </c>
      <c r="X72" s="189">
        <f t="shared" si="38"/>
        <v>0</v>
      </c>
      <c r="Y72" s="189">
        <f t="shared" si="39"/>
        <v>968.65022499999998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215</v>
      </c>
      <c r="P73" s="275"/>
      <c r="Q73" s="275"/>
      <c r="R73" s="273"/>
      <c r="S73" s="275"/>
      <c r="T73" s="275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215</v>
      </c>
      <c r="P74" s="275"/>
      <c r="Q74" s="275"/>
      <c r="R74" s="273"/>
      <c r="S74" s="275"/>
      <c r="T74" s="275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4475.4800000000005</v>
      </c>
      <c r="S75" s="192"/>
      <c r="T75" s="192">
        <f>SUM(T70:T74)</f>
        <v>55.39</v>
      </c>
      <c r="U75" s="192">
        <f>SUM(U70:U74)</f>
        <v>2.3875000000000002</v>
      </c>
      <c r="V75" s="192">
        <f t="shared" ref="V75:AA75" si="42">SUM(V70:V74)</f>
        <v>33.566100000000006</v>
      </c>
      <c r="W75" s="192">
        <f t="shared" si="42"/>
        <v>0</v>
      </c>
      <c r="X75" s="192">
        <f t="shared" si="42"/>
        <v>1.3847500000000001</v>
      </c>
      <c r="Y75" s="192">
        <f t="shared" si="42"/>
        <v>4441.9139000000005</v>
      </c>
      <c r="Z75" s="192">
        <f t="shared" si="42"/>
        <v>0</v>
      </c>
      <c r="AA75" s="193">
        <f t="shared" si="42"/>
        <v>51.617750000000001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179.9+26.37+104.13+82.23</f>
        <v>392.63</v>
      </c>
      <c r="R78" s="82">
        <v>7.4999999999999997E-3</v>
      </c>
      <c r="S78" s="216">
        <f>+(P78+Q78)*R78</f>
        <v>2.944725</v>
      </c>
      <c r="T78" s="258">
        <f>+(P78+Q78)-S78</f>
        <v>389.68527499999999</v>
      </c>
      <c r="U78" s="211">
        <f>64.82+256.26</f>
        <v>321.08</v>
      </c>
      <c r="V78" s="112"/>
      <c r="W78" s="113">
        <v>1.4999999999999999E-2</v>
      </c>
      <c r="X78" s="196">
        <f>+(U78+V78)*W78</f>
        <v>4.8161999999999994</v>
      </c>
      <c r="Y78" s="217">
        <f>+(U78+V78)-X78</f>
        <v>316.2638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1410.25</v>
      </c>
      <c r="N79" s="87">
        <v>2</v>
      </c>
      <c r="O79" s="87" t="s">
        <v>110</v>
      </c>
      <c r="P79" s="137"/>
      <c r="Q79" s="87">
        <f>106.49+183.07+34.62</f>
        <v>324.18</v>
      </c>
      <c r="R79" s="82">
        <v>7.4999999999999997E-3</v>
      </c>
      <c r="S79" s="216">
        <f t="shared" ref="S79:S97" si="44">+(P79+Q79)*R79</f>
        <v>2.4313500000000001</v>
      </c>
      <c r="T79" s="258">
        <f t="shared" ref="T79:T97" si="45">+(P79+Q79)-S79</f>
        <v>321.74865</v>
      </c>
      <c r="U79" s="211">
        <f>64.9+162.8</f>
        <v>227.70000000000002</v>
      </c>
      <c r="V79" s="112"/>
      <c r="W79" s="113">
        <v>1.4999999999999999E-2</v>
      </c>
      <c r="X79" s="196">
        <f t="shared" ref="X79:X97" si="46">+(U79+V79)*W79</f>
        <v>3.4155000000000002</v>
      </c>
      <c r="Y79" s="217">
        <f t="shared" ref="Y79:Y97" si="47">+(U79+V79)-X79</f>
        <v>224.28450000000001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265.13+6.6</f>
        <v>271.73</v>
      </c>
      <c r="R80" s="82">
        <v>7.4999999999999997E-3</v>
      </c>
      <c r="S80" s="216">
        <f t="shared" si="44"/>
        <v>2.0379749999999999</v>
      </c>
      <c r="T80" s="258">
        <f t="shared" si="45"/>
        <v>269.692025</v>
      </c>
      <c r="U80" s="211">
        <f>117.56</f>
        <v>117.56</v>
      </c>
      <c r="V80" s="112"/>
      <c r="W80" s="113">
        <v>1.4999999999999999E-2</v>
      </c>
      <c r="X80" s="196">
        <f t="shared" si="46"/>
        <v>1.7634000000000001</v>
      </c>
      <c r="Y80" s="258">
        <f t="shared" si="47"/>
        <v>115.7966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1410.25</v>
      </c>
      <c r="N81" s="87">
        <v>4</v>
      </c>
      <c r="O81" s="87" t="s">
        <v>110</v>
      </c>
      <c r="P81" s="137"/>
      <c r="Q81" s="137">
        <f>80.86+73.23</f>
        <v>154.09</v>
      </c>
      <c r="R81" s="82">
        <v>7.4999999999999997E-3</v>
      </c>
      <c r="S81" s="216">
        <f t="shared" si="44"/>
        <v>1.155675</v>
      </c>
      <c r="T81" s="258">
        <f t="shared" si="45"/>
        <v>152.934325</v>
      </c>
      <c r="U81" s="211">
        <f>70.84</f>
        <v>70.84</v>
      </c>
      <c r="V81" s="112"/>
      <c r="W81" s="113">
        <v>1.4999999999999999E-2</v>
      </c>
      <c r="X81" s="196">
        <f t="shared" si="46"/>
        <v>1.0626</v>
      </c>
      <c r="Y81" s="258">
        <f t="shared" si="47"/>
        <v>69.7774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87">
        <v>285.95</v>
      </c>
      <c r="R82" s="82">
        <v>7.4999999999999997E-3</v>
      </c>
      <c r="S82" s="216">
        <f t="shared" si="44"/>
        <v>2.144625</v>
      </c>
      <c r="T82" s="219">
        <f t="shared" si="45"/>
        <v>283.80537499999997</v>
      </c>
      <c r="U82" s="211">
        <v>151.94</v>
      </c>
      <c r="V82" s="112"/>
      <c r="W82" s="113">
        <v>1.4999999999999999E-2</v>
      </c>
      <c r="X82" s="196">
        <f t="shared" si="46"/>
        <v>2.2790999999999997</v>
      </c>
      <c r="Y82" s="217">
        <f t="shared" si="47"/>
        <v>149.6609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237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211"/>
      <c r="V84" s="112"/>
      <c r="W84" s="113">
        <v>1.4999999999999999E-2</v>
      </c>
      <c r="X84" s="196">
        <f t="shared" si="46"/>
        <v>0</v>
      </c>
      <c r="Y84" s="258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/>
      <c r="Q85" s="137"/>
      <c r="R85" s="82">
        <v>7.4999999999999997E-3</v>
      </c>
      <c r="S85" s="194">
        <f t="shared" si="44"/>
        <v>0</v>
      </c>
      <c r="T85" s="219">
        <f t="shared" si="45"/>
        <v>0</v>
      </c>
      <c r="U85" s="211"/>
      <c r="V85" s="112"/>
      <c r="W85" s="113">
        <v>1.4999999999999999E-2</v>
      </c>
      <c r="X85" s="196">
        <f t="shared" si="46"/>
        <v>0</v>
      </c>
      <c r="Y85" s="258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/>
      <c r="Q86" s="137"/>
      <c r="R86" s="82">
        <v>7.4999999999999997E-3</v>
      </c>
      <c r="S86" s="194">
        <f t="shared" si="44"/>
        <v>0</v>
      </c>
      <c r="T86" s="219">
        <f t="shared" si="45"/>
        <v>0</v>
      </c>
      <c r="U86" s="211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20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220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1428.58</v>
      </c>
      <c r="R98" s="111"/>
      <c r="S98" s="195">
        <f>SUM(S78:S97)</f>
        <v>10.71435</v>
      </c>
      <c r="T98" s="195">
        <f>SUM(T78:T97)</f>
        <v>1417.86565</v>
      </c>
      <c r="U98" s="114">
        <f>SUM(U78:U97)</f>
        <v>889.11999999999989</v>
      </c>
      <c r="V98" s="114">
        <f>SUM(V78:V97)</f>
        <v>0</v>
      </c>
      <c r="W98" s="112"/>
      <c r="X98" s="197">
        <f>SUM(X78:X97)</f>
        <v>13.3368</v>
      </c>
      <c r="Y98" s="197">
        <f>SUM(Y78:Y97)</f>
        <v>875.78319999999997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713.71</v>
      </c>
    </row>
    <row r="102" spans="14:30" x14ac:dyDescent="0.25">
      <c r="N102" s="85"/>
      <c r="R102" s="215">
        <f>P79+U79+Q79</f>
        <v>551.88</v>
      </c>
    </row>
    <row r="103" spans="14:30" x14ac:dyDescent="0.25">
      <c r="N103" s="85"/>
      <c r="R103" s="215">
        <f>P80+Q80+U80</f>
        <v>389.29</v>
      </c>
    </row>
    <row r="104" spans="14:30" x14ac:dyDescent="0.25">
      <c r="N104" s="85"/>
      <c r="R104" s="215">
        <f>P81+U81+Q81</f>
        <v>224.93</v>
      </c>
    </row>
    <row r="105" spans="14:30" x14ac:dyDescent="0.25">
      <c r="N105" s="85"/>
      <c r="R105" s="215">
        <f>P82+U82+Q82</f>
        <v>437.89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  <c r="R108" s="215">
        <f>P85+Q85+U85</f>
        <v>0</v>
      </c>
    </row>
    <row r="109" spans="14:30" x14ac:dyDescent="0.25">
      <c r="N109" s="85"/>
      <c r="R109" s="233">
        <f>P86+Q86+U86</f>
        <v>0</v>
      </c>
    </row>
    <row r="110" spans="14:30" x14ac:dyDescent="0.25">
      <c r="N110" s="85"/>
      <c r="R110" s="212">
        <f>P87+Q87+U87</f>
        <v>0</v>
      </c>
    </row>
    <row r="111" spans="14:30" x14ac:dyDescent="0.25">
      <c r="N111" s="85"/>
      <c r="R111" s="85">
        <f t="shared" ref="R111" si="51"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42" zoomScale="90" zoomScaleNormal="90" workbookViewId="0">
      <selection activeCell="R66" sqref="R6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190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44789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1210.5</v>
      </c>
      <c r="C12" s="15"/>
      <c r="D12" s="56"/>
      <c r="E12" s="16"/>
      <c r="F12" s="56"/>
      <c r="G12" s="56"/>
      <c r="H12" s="17"/>
      <c r="I12" s="83">
        <v>1210.5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233</v>
      </c>
      <c r="Q12" s="158">
        <v>11</v>
      </c>
      <c r="R12" s="159">
        <v>1170.9000000000001</v>
      </c>
      <c r="S12" s="160"/>
      <c r="T12" s="160"/>
      <c r="U12" s="189">
        <f>((T12/U$10)*U$9)</f>
        <v>0</v>
      </c>
      <c r="V12" s="189">
        <f>R12*V$10</f>
        <v>8.7817500000000006</v>
      </c>
      <c r="W12" s="189">
        <f>+S12*V$10</f>
        <v>0</v>
      </c>
      <c r="X12" s="189">
        <f>+T12*X$10</f>
        <v>0</v>
      </c>
      <c r="Y12" s="189">
        <f>R12-V12</f>
        <v>1162.11825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1815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1815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234</v>
      </c>
      <c r="Q13" s="158">
        <v>11</v>
      </c>
      <c r="R13" s="159">
        <v>1550.76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11.630699999999999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1539.1293000000001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10853.7</v>
      </c>
      <c r="C14" s="15"/>
      <c r="D14" s="56"/>
      <c r="E14" s="16"/>
      <c r="F14" s="56"/>
      <c r="G14" s="56"/>
      <c r="H14" s="17"/>
      <c r="I14" s="83"/>
      <c r="J14" s="81">
        <f t="shared" si="0"/>
        <v>10853.7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618</v>
      </c>
      <c r="Q14" s="158">
        <v>2</v>
      </c>
      <c r="R14" s="159">
        <v>1716.25</v>
      </c>
      <c r="S14" s="160"/>
      <c r="T14" s="161"/>
      <c r="U14" s="189">
        <f t="shared" si="2"/>
        <v>0</v>
      </c>
      <c r="V14" s="189">
        <f t="shared" si="3"/>
        <v>12.871874999999999</v>
      </c>
      <c r="W14" s="189">
        <f t="shared" si="4"/>
        <v>0</v>
      </c>
      <c r="X14" s="189">
        <f t="shared" si="5"/>
        <v>0</v>
      </c>
      <c r="Y14" s="189">
        <f t="shared" si="6"/>
        <v>1703.378125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619</v>
      </c>
      <c r="Q15" s="158">
        <v>2</v>
      </c>
      <c r="R15" s="159">
        <v>1971.03</v>
      </c>
      <c r="S15" s="160"/>
      <c r="T15" s="161">
        <v>228.12</v>
      </c>
      <c r="U15" s="189">
        <f t="shared" si="2"/>
        <v>9.8327586206896562</v>
      </c>
      <c r="V15" s="189">
        <f t="shared" si="3"/>
        <v>14.782724999999999</v>
      </c>
      <c r="W15" s="189">
        <f t="shared" si="4"/>
        <v>0</v>
      </c>
      <c r="X15" s="189">
        <f t="shared" si="5"/>
        <v>5.7030000000000003</v>
      </c>
      <c r="Y15" s="189">
        <f t="shared" si="6"/>
        <v>1956.2472749999999</v>
      </c>
      <c r="Z15" s="189">
        <f t="shared" si="6"/>
        <v>0</v>
      </c>
      <c r="AA15" s="189">
        <f t="shared" si="7"/>
        <v>212.58424137931036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597</v>
      </c>
      <c r="Q16" s="158">
        <v>4</v>
      </c>
      <c r="R16" s="159">
        <v>173.14</v>
      </c>
      <c r="S16" s="160"/>
      <c r="T16" s="161"/>
      <c r="U16" s="189">
        <f t="shared" si="2"/>
        <v>0</v>
      </c>
      <c r="V16" s="189">
        <f t="shared" si="3"/>
        <v>1.2985499999999999</v>
      </c>
      <c r="W16" s="189">
        <f t="shared" si="4"/>
        <v>0</v>
      </c>
      <c r="X16" s="189">
        <f t="shared" si="5"/>
        <v>0</v>
      </c>
      <c r="Y16" s="189">
        <f t="shared" si="6"/>
        <v>171.84144999999998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598</v>
      </c>
      <c r="Q17" s="158">
        <v>4</v>
      </c>
      <c r="R17" s="159">
        <v>1118.22</v>
      </c>
      <c r="S17" s="160"/>
      <c r="T17" s="161">
        <v>77.95</v>
      </c>
      <c r="U17" s="189">
        <f t="shared" si="2"/>
        <v>3.3599137931034484</v>
      </c>
      <c r="V17" s="189">
        <f t="shared" si="3"/>
        <v>8.3866499999999995</v>
      </c>
      <c r="W17" s="189">
        <f t="shared" si="4"/>
        <v>0</v>
      </c>
      <c r="X17" s="189">
        <f t="shared" si="5"/>
        <v>1.9487500000000002</v>
      </c>
      <c r="Y17" s="189">
        <f t="shared" si="6"/>
        <v>1109.8333500000001</v>
      </c>
      <c r="Z17" s="189">
        <f t="shared" si="6"/>
        <v>0</v>
      </c>
      <c r="AA17" s="189">
        <f t="shared" si="7"/>
        <v>72.641336206896554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235</v>
      </c>
      <c r="Q18" s="158">
        <v>10</v>
      </c>
      <c r="R18" s="159">
        <v>475.89</v>
      </c>
      <c r="S18" s="160"/>
      <c r="T18" s="161">
        <v>17.89</v>
      </c>
      <c r="U18" s="189">
        <f t="shared" si="2"/>
        <v>0.77112068965517255</v>
      </c>
      <c r="V18" s="189">
        <f t="shared" si="3"/>
        <v>3.569175</v>
      </c>
      <c r="W18" s="189">
        <f t="shared" si="4"/>
        <v>0</v>
      </c>
      <c r="X18" s="189">
        <f t="shared" si="5"/>
        <v>0.44725000000000004</v>
      </c>
      <c r="Y18" s="189">
        <f t="shared" si="6"/>
        <v>472.32082500000001</v>
      </c>
      <c r="Z18" s="189">
        <f t="shared" si="6"/>
        <v>0</v>
      </c>
      <c r="AA18" s="189">
        <f t="shared" si="7"/>
        <v>16.671629310344827</v>
      </c>
      <c r="AB18" s="156"/>
    </row>
    <row r="19" spans="1:28" ht="15.75" x14ac:dyDescent="0.25">
      <c r="A19" s="93" t="s">
        <v>79</v>
      </c>
      <c r="B19" s="97">
        <f>+B13+B15+B17</f>
        <v>1815</v>
      </c>
      <c r="C19" s="95"/>
      <c r="D19" s="94"/>
      <c r="E19" s="96"/>
      <c r="F19" s="94"/>
      <c r="G19" s="94"/>
      <c r="H19" s="98"/>
      <c r="I19" s="99">
        <v>1815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236</v>
      </c>
      <c r="Q19" s="158">
        <v>10</v>
      </c>
      <c r="R19" s="159">
        <v>1130.76</v>
      </c>
      <c r="S19" s="160"/>
      <c r="T19" s="161"/>
      <c r="U19" s="189">
        <f t="shared" si="2"/>
        <v>0</v>
      </c>
      <c r="V19" s="189">
        <f t="shared" si="3"/>
        <v>8.4806999999999988</v>
      </c>
      <c r="W19" s="189">
        <f t="shared" si="4"/>
        <v>0</v>
      </c>
      <c r="X19" s="189">
        <f t="shared" si="5"/>
        <v>0</v>
      </c>
      <c r="Y19" s="189">
        <f t="shared" si="6"/>
        <v>1122.2792999999999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10853.7</v>
      </c>
      <c r="C20" s="95"/>
      <c r="D20" s="94"/>
      <c r="E20" s="96"/>
      <c r="F20" s="94"/>
      <c r="G20" s="94"/>
      <c r="H20" s="98"/>
      <c r="I20" s="99"/>
      <c r="J20" s="185">
        <f t="shared" si="0"/>
        <v>10853.7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689</v>
      </c>
      <c r="Q20" s="158">
        <v>18</v>
      </c>
      <c r="R20" s="159">
        <v>1364.07</v>
      </c>
      <c r="S20" s="160"/>
      <c r="T20" s="161"/>
      <c r="U20" s="189">
        <f t="shared" si="2"/>
        <v>0</v>
      </c>
      <c r="V20" s="189">
        <f t="shared" si="3"/>
        <v>10.230524999999998</v>
      </c>
      <c r="W20" s="189">
        <f t="shared" si="4"/>
        <v>0</v>
      </c>
      <c r="X20" s="189">
        <f t="shared" si="5"/>
        <v>0</v>
      </c>
      <c r="Y20" s="189">
        <f t="shared" si="6"/>
        <v>1353.839475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688</v>
      </c>
      <c r="Q21" s="158">
        <v>18</v>
      </c>
      <c r="R21" s="159">
        <v>297.61</v>
      </c>
      <c r="S21" s="160"/>
      <c r="T21" s="161">
        <v>34.68</v>
      </c>
      <c r="U21" s="189">
        <f t="shared" si="2"/>
        <v>1.4948275862068967</v>
      </c>
      <c r="V21" s="189">
        <f t="shared" si="3"/>
        <v>2.232075</v>
      </c>
      <c r="W21" s="189">
        <f t="shared" si="4"/>
        <v>0</v>
      </c>
      <c r="X21" s="189">
        <f t="shared" si="5"/>
        <v>0.86699999999999999</v>
      </c>
      <c r="Y21" s="189">
        <f t="shared" si="6"/>
        <v>295.377925</v>
      </c>
      <c r="Z21" s="189">
        <f t="shared" si="6"/>
        <v>0</v>
      </c>
      <c r="AA21" s="189">
        <f t="shared" si="7"/>
        <v>32.318172413793107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72.290000000000006</v>
      </c>
      <c r="C29" s="100"/>
      <c r="D29" s="66"/>
      <c r="E29" s="67"/>
      <c r="F29" s="66"/>
      <c r="G29" s="66"/>
      <c r="H29" s="102"/>
      <c r="I29" s="79"/>
      <c r="J29" s="81">
        <f t="shared" si="0"/>
        <v>72.290000000000006</v>
      </c>
      <c r="K29" s="80"/>
      <c r="L29" s="186">
        <f>K29-B29</f>
        <v>-72.290000000000006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432.29420000000005</v>
      </c>
      <c r="C30" s="100"/>
      <c r="D30" s="66"/>
      <c r="E30" s="67"/>
      <c r="F30" s="66"/>
      <c r="G30" s="66"/>
      <c r="H30" s="102"/>
      <c r="I30" s="79"/>
      <c r="J30" s="81">
        <f t="shared" si="0"/>
        <v>432.29420000000005</v>
      </c>
      <c r="K30" s="80"/>
      <c r="L30" s="186">
        <f>K30-B30</f>
        <v>-432.29420000000005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8"/>
      <c r="Q31" s="158"/>
      <c r="R31" s="162"/>
      <c r="S31" s="160"/>
      <c r="T31" s="160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72.290000000000006</v>
      </c>
      <c r="C35" s="95"/>
      <c r="D35" s="94"/>
      <c r="E35" s="96"/>
      <c r="F35" s="94"/>
      <c r="G35" s="94"/>
      <c r="H35" s="98"/>
      <c r="I35" s="99">
        <v>72.290000000000006</v>
      </c>
      <c r="J35" s="185">
        <f t="shared" si="0"/>
        <v>0</v>
      </c>
      <c r="K35" s="99"/>
      <c r="L35" s="187">
        <f t="shared" ref="L35:L40" si="8">K35-B35</f>
        <v>-72.290000000000006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432.29420000000005</v>
      </c>
      <c r="C36" s="95"/>
      <c r="D36" s="94"/>
      <c r="E36" s="96"/>
      <c r="F36" s="94"/>
      <c r="G36" s="94"/>
      <c r="H36" s="98"/>
      <c r="I36" s="99"/>
      <c r="J36" s="185">
        <f t="shared" si="0"/>
        <v>432.29420000000005</v>
      </c>
      <c r="K36" s="99"/>
      <c r="L36" s="187">
        <f t="shared" si="8"/>
        <v>-432.29420000000005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42.44</v>
      </c>
      <c r="C37" s="100"/>
      <c r="D37" s="66"/>
      <c r="E37" s="67"/>
      <c r="F37" s="66"/>
      <c r="G37" s="66"/>
      <c r="H37" s="102"/>
      <c r="I37" s="79"/>
      <c r="J37" s="81">
        <f t="shared" si="0"/>
        <v>42.44</v>
      </c>
      <c r="K37" s="80"/>
      <c r="L37" s="186">
        <f t="shared" si="8"/>
        <v>-42.44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253.7912</v>
      </c>
      <c r="C38" s="100"/>
      <c r="D38" s="66"/>
      <c r="E38" s="67"/>
      <c r="F38" s="66"/>
      <c r="G38" s="66"/>
      <c r="H38" s="102"/>
      <c r="I38" s="79"/>
      <c r="J38" s="81">
        <f t="shared" si="0"/>
        <v>253.7912</v>
      </c>
      <c r="K38" s="80"/>
      <c r="L38" s="186">
        <f t="shared" si="8"/>
        <v>-253.7912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10968.630000000001</v>
      </c>
      <c r="S42" s="190">
        <f t="shared" si="9"/>
        <v>0</v>
      </c>
      <c r="T42" s="190">
        <f t="shared" si="9"/>
        <v>358.64</v>
      </c>
      <c r="U42" s="190">
        <f t="shared" si="9"/>
        <v>15.458620689655174</v>
      </c>
      <c r="V42" s="190">
        <f t="shared" si="9"/>
        <v>82.264724999999984</v>
      </c>
      <c r="W42" s="190">
        <f t="shared" si="9"/>
        <v>0</v>
      </c>
      <c r="X42" s="190">
        <f t="shared" si="9"/>
        <v>8.9660000000000011</v>
      </c>
      <c r="Y42" s="190">
        <f t="shared" si="9"/>
        <v>10886.365275</v>
      </c>
      <c r="Z42" s="190">
        <f t="shared" si="9"/>
        <v>0</v>
      </c>
      <c r="AA42" s="190">
        <f t="shared" si="9"/>
        <v>334.21537931034482</v>
      </c>
      <c r="AB42" s="166"/>
    </row>
    <row r="43" spans="1:28" ht="15.75" x14ac:dyDescent="0.25">
      <c r="A43" s="93" t="s">
        <v>101</v>
      </c>
      <c r="B43" s="97">
        <f>+B37+B39+B41</f>
        <v>42.44</v>
      </c>
      <c r="C43" s="95"/>
      <c r="D43" s="94"/>
      <c r="E43" s="96"/>
      <c r="F43" s="94"/>
      <c r="G43" s="94"/>
      <c r="H43" s="98"/>
      <c r="I43" s="99">
        <v>42.44</v>
      </c>
      <c r="J43" s="185">
        <f t="shared" si="0"/>
        <v>0</v>
      </c>
      <c r="K43" s="99"/>
      <c r="L43" s="187">
        <f>K43-B43</f>
        <v>-42.44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253.7912</v>
      </c>
      <c r="C44" s="95"/>
      <c r="D44" s="94"/>
      <c r="E44" s="96"/>
      <c r="F44" s="94"/>
      <c r="G44" s="94"/>
      <c r="H44" s="98"/>
      <c r="I44" s="99"/>
      <c r="J44" s="185">
        <f t="shared" si="0"/>
        <v>253.7912</v>
      </c>
      <c r="K44" s="99"/>
      <c r="L44" s="187">
        <f>K44-B44</f>
        <v>-253.7912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10968.630000000001</v>
      </c>
      <c r="C46" s="116">
        <v>7.4999999999999997E-3</v>
      </c>
      <c r="D46" s="117">
        <f>B46*C46</f>
        <v>82.264724999999999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10886.365275</v>
      </c>
      <c r="H46" s="173">
        <f>B$6+1</f>
        <v>44790</v>
      </c>
      <c r="I46" s="174">
        <v>10968.63</v>
      </c>
      <c r="J46" s="81">
        <f t="shared" si="0"/>
        <v>0</v>
      </c>
      <c r="K46" s="80"/>
      <c r="L46" s="186">
        <f>K46-G46</f>
        <v>-10886.365275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44790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286.55000000000007</v>
      </c>
      <c r="C48" s="116">
        <v>1.4999999999999999E-2</v>
      </c>
      <c r="D48" s="117">
        <f t="shared" si="18"/>
        <v>4.2982500000000012</v>
      </c>
      <c r="E48" s="172">
        <v>0</v>
      </c>
      <c r="F48" s="117">
        <f t="shared" si="16"/>
        <v>0</v>
      </c>
      <c r="G48" s="117">
        <f t="shared" si="17"/>
        <v>282.25175000000007</v>
      </c>
      <c r="H48" s="173">
        <f t="shared" ref="H48:H61" si="20">B$6+1</f>
        <v>44790</v>
      </c>
      <c r="I48" s="176">
        <v>286.55</v>
      </c>
      <c r="J48" s="81">
        <f t="shared" si="0"/>
        <v>0</v>
      </c>
      <c r="K48" s="80">
        <v>282.25</v>
      </c>
      <c r="L48" s="186">
        <f t="shared" si="19"/>
        <v>1.7500000000723048E-3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198</v>
      </c>
      <c r="B49" s="117">
        <f>R75</f>
        <v>2607.67</v>
      </c>
      <c r="C49" s="116">
        <v>7.4999999999999997E-3</v>
      </c>
      <c r="D49" s="117">
        <f t="shared" si="18"/>
        <v>19.557524999999998</v>
      </c>
      <c r="E49" s="172">
        <v>0</v>
      </c>
      <c r="F49" s="117">
        <f t="shared" si="16"/>
        <v>0</v>
      </c>
      <c r="G49" s="117">
        <f t="shared" si="17"/>
        <v>2588.1124749999999</v>
      </c>
      <c r="H49" s="173">
        <f t="shared" si="20"/>
        <v>44790</v>
      </c>
      <c r="I49" s="176">
        <v>2607.67</v>
      </c>
      <c r="J49" s="81">
        <f t="shared" si="0"/>
        <v>0</v>
      </c>
      <c r="K49" s="80">
        <v>2588.11</v>
      </c>
      <c r="L49" s="186">
        <f t="shared" si="19"/>
        <v>2.4749999997766281E-3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1679.11</v>
      </c>
      <c r="C50" s="116">
        <v>7.4999999999999997E-3</v>
      </c>
      <c r="D50" s="117">
        <f t="shared" si="18"/>
        <v>12.593324999999998</v>
      </c>
      <c r="E50" s="172">
        <v>0</v>
      </c>
      <c r="F50" s="117">
        <f t="shared" si="16"/>
        <v>0</v>
      </c>
      <c r="G50" s="117">
        <f t="shared" si="17"/>
        <v>1666.5166749999999</v>
      </c>
      <c r="H50" s="173">
        <f t="shared" si="20"/>
        <v>44790</v>
      </c>
      <c r="I50" s="175">
        <v>2145.6</v>
      </c>
      <c r="J50" s="81">
        <f t="shared" si="0"/>
        <v>-466.49</v>
      </c>
      <c r="K50" s="80"/>
      <c r="L50" s="186">
        <f t="shared" si="19"/>
        <v>1666.5166749999999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466.49</v>
      </c>
      <c r="C51" s="116">
        <v>1.4999999999999999E-2</v>
      </c>
      <c r="D51" s="117">
        <f>+B51*C51</f>
        <v>6.99735</v>
      </c>
      <c r="E51" s="172">
        <v>0</v>
      </c>
      <c r="F51" s="117">
        <f>D51*E51</f>
        <v>0</v>
      </c>
      <c r="G51" s="117">
        <f t="shared" si="17"/>
        <v>459.49265000000003</v>
      </c>
      <c r="H51" s="173">
        <f t="shared" si="20"/>
        <v>44790</v>
      </c>
      <c r="I51" s="175"/>
      <c r="J51" s="81">
        <f t="shared" si="0"/>
        <v>466.49</v>
      </c>
      <c r="K51" s="80"/>
      <c r="L51" s="186">
        <f t="shared" si="19"/>
        <v>459.49265000000003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358.64</v>
      </c>
      <c r="C52" s="116">
        <v>2.5000000000000001E-2</v>
      </c>
      <c r="D52" s="117">
        <f>B52*C52</f>
        <v>8.9659999999999993</v>
      </c>
      <c r="E52" s="172">
        <v>0.05</v>
      </c>
      <c r="F52" s="117">
        <f>(B52/E$10)*E52</f>
        <v>15.458620689655172</v>
      </c>
      <c r="G52" s="117">
        <f>B52-D52-F52</f>
        <v>334.21537931034482</v>
      </c>
      <c r="H52" s="188">
        <f t="shared" si="20"/>
        <v>44790</v>
      </c>
      <c r="I52" s="176">
        <v>358.64</v>
      </c>
      <c r="J52" s="81">
        <f t="shared" si="0"/>
        <v>0</v>
      </c>
      <c r="K52" s="80"/>
      <c r="L52" s="186">
        <f>K52-G52</f>
        <v>-334.21537931034482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44790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44790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44790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207</v>
      </c>
      <c r="B56" s="117">
        <f>T75</f>
        <v>83.22</v>
      </c>
      <c r="C56" s="116">
        <v>2.5000000000000001E-2</v>
      </c>
      <c r="D56" s="117">
        <f t="shared" si="21"/>
        <v>2.0805000000000002</v>
      </c>
      <c r="E56" s="172">
        <v>0.05</v>
      </c>
      <c r="F56" s="117">
        <f t="shared" si="22"/>
        <v>3.5870689655172416</v>
      </c>
      <c r="G56" s="117">
        <f t="shared" si="23"/>
        <v>77.552431034482751</v>
      </c>
      <c r="H56" s="173">
        <f t="shared" si="20"/>
        <v>44790</v>
      </c>
      <c r="I56" s="176">
        <v>83.22</v>
      </c>
      <c r="J56" s="81">
        <f t="shared" si="0"/>
        <v>0</v>
      </c>
      <c r="K56" s="80">
        <v>77.55</v>
      </c>
      <c r="L56" s="186">
        <f t="shared" si="19"/>
        <v>2.4310344827540575E-3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44792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44794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44819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136.75767499999998</v>
      </c>
      <c r="E61" s="177"/>
      <c r="F61" s="57">
        <f>SUM(F46:F58)</f>
        <v>19.045689655172414</v>
      </c>
      <c r="G61" s="57">
        <f>SUM(G46:G58)</f>
        <v>16294.506635344827</v>
      </c>
      <c r="H61" s="173">
        <f t="shared" si="20"/>
        <v>44790</v>
      </c>
      <c r="I61" s="175"/>
      <c r="J61" s="81">
        <f t="shared" si="0"/>
        <v>0</v>
      </c>
      <c r="K61" s="80"/>
      <c r="L61" s="186">
        <f t="shared" si="19"/>
        <v>16294.506635344827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44790</v>
      </c>
      <c r="I62" s="176"/>
      <c r="J62" s="81">
        <f t="shared" si="0"/>
        <v>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32589.013270689655</v>
      </c>
      <c r="H64" s="184"/>
      <c r="I64" s="175"/>
      <c r="J64" s="81">
        <f t="shared" si="0"/>
        <v>0</v>
      </c>
      <c r="K64" s="80"/>
      <c r="L64" s="186">
        <f t="shared" si="19"/>
        <v>32589.013270689655</v>
      </c>
      <c r="M64" s="130"/>
      <c r="N64" s="87">
        <v>1</v>
      </c>
      <c r="O64" s="122" t="s">
        <v>218</v>
      </c>
      <c r="P64" s="87"/>
      <c r="Q64" s="87">
        <v>7302</v>
      </c>
      <c r="R64" s="87">
        <f>19.71+43.16+16.5+25</f>
        <v>104.37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0.782775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103.587225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29200.595400000002</v>
      </c>
      <c r="G65" s="22"/>
      <c r="L65" s="132"/>
      <c r="M65" s="131"/>
      <c r="N65" s="87">
        <v>2</v>
      </c>
      <c r="O65" s="122" t="s">
        <v>218</v>
      </c>
      <c r="P65" s="87"/>
      <c r="Q65" s="87">
        <v>5165</v>
      </c>
      <c r="R65" s="137">
        <f>27.8+43.99</f>
        <v>71.790000000000006</v>
      </c>
      <c r="S65" s="87"/>
      <c r="T65" s="87"/>
      <c r="U65" s="189">
        <f t="shared" si="28"/>
        <v>0</v>
      </c>
      <c r="V65" s="189">
        <f t="shared" si="29"/>
        <v>0.53842500000000004</v>
      </c>
      <c r="W65" s="189">
        <f t="shared" si="30"/>
        <v>0</v>
      </c>
      <c r="X65" s="189">
        <f t="shared" si="31"/>
        <v>0</v>
      </c>
      <c r="Y65" s="189">
        <f t="shared" si="32"/>
        <v>71.251575000000003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87"/>
      <c r="Q66" s="87">
        <v>2069</v>
      </c>
      <c r="R66" s="87">
        <f>8.79+64.05</f>
        <v>72.84</v>
      </c>
      <c r="S66" s="87"/>
      <c r="T66" s="87"/>
      <c r="U66" s="189">
        <f t="shared" si="28"/>
        <v>0</v>
      </c>
      <c r="V66" s="189">
        <f t="shared" si="29"/>
        <v>0.54630000000000001</v>
      </c>
      <c r="W66" s="189">
        <f t="shared" si="30"/>
        <v>0</v>
      </c>
      <c r="X66" s="189">
        <f t="shared" si="31"/>
        <v>0</v>
      </c>
      <c r="Y66" s="189">
        <f t="shared" si="32"/>
        <v>72.293700000000001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218</v>
      </c>
      <c r="P67" s="87"/>
      <c r="Q67" s="87">
        <v>4651</v>
      </c>
      <c r="R67" s="87">
        <v>10.130000000000001</v>
      </c>
      <c r="S67" s="87"/>
      <c r="T67" s="87"/>
      <c r="U67" s="189">
        <f t="shared" si="28"/>
        <v>0</v>
      </c>
      <c r="V67" s="189">
        <f t="shared" si="29"/>
        <v>7.5975000000000001E-2</v>
      </c>
      <c r="W67" s="189">
        <f t="shared" si="30"/>
        <v>0</v>
      </c>
      <c r="X67" s="189">
        <f t="shared" si="31"/>
        <v>0</v>
      </c>
      <c r="Y67" s="189">
        <f t="shared" si="32"/>
        <v>10.054025000000001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29077.88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>
        <v>5432</v>
      </c>
      <c r="R68" s="87">
        <f>21.83+5.59</f>
        <v>27.419999999999998</v>
      </c>
      <c r="S68" s="87"/>
      <c r="T68" s="87"/>
      <c r="U68" s="189">
        <f t="shared" si="28"/>
        <v>0</v>
      </c>
      <c r="V68" s="189">
        <f t="shared" si="29"/>
        <v>0.20564999999999997</v>
      </c>
      <c r="W68" s="189">
        <f t="shared" si="30"/>
        <v>0</v>
      </c>
      <c r="X68" s="189">
        <f t="shared" si="31"/>
        <v>0</v>
      </c>
      <c r="Y68" s="189">
        <f t="shared" si="32"/>
        <v>27.21435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28775.95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286.55000000000007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2.1491250000000002</v>
      </c>
      <c r="W69" s="192">
        <f t="shared" si="34"/>
        <v>0</v>
      </c>
      <c r="X69" s="192">
        <f t="shared" si="34"/>
        <v>0</v>
      </c>
      <c r="Y69" s="192">
        <f t="shared" si="34"/>
        <v>284.40087500000004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301.93000000000029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225">
        <v>219</v>
      </c>
      <c r="Q70" s="225">
        <v>2001</v>
      </c>
      <c r="R70" s="221">
        <v>22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0.16499999999999998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21.835000000000001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122.71540000000095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215</v>
      </c>
      <c r="P71" s="225">
        <v>220</v>
      </c>
      <c r="Q71" s="225">
        <v>2001</v>
      </c>
      <c r="R71" s="221">
        <v>113.65</v>
      </c>
      <c r="S71" s="225"/>
      <c r="T71" s="225"/>
      <c r="U71" s="189">
        <f t="shared" si="35"/>
        <v>0</v>
      </c>
      <c r="V71" s="189">
        <f t="shared" si="36"/>
        <v>0.85237499999999999</v>
      </c>
      <c r="W71" s="189">
        <f t="shared" si="37"/>
        <v>0</v>
      </c>
      <c r="X71" s="189">
        <f t="shared" si="38"/>
        <v>0</v>
      </c>
      <c r="Y71" s="189">
        <f t="shared" si="39"/>
        <v>112.79762500000001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225">
        <v>17</v>
      </c>
      <c r="Q72" s="225">
        <v>1001</v>
      </c>
      <c r="R72" s="221"/>
      <c r="S72" s="225"/>
      <c r="T72" s="225">
        <v>21.44</v>
      </c>
      <c r="U72" s="189">
        <f t="shared" si="35"/>
        <v>0.92413793103448294</v>
      </c>
      <c r="V72" s="189">
        <f t="shared" si="36"/>
        <v>0</v>
      </c>
      <c r="W72" s="189">
        <f t="shared" si="37"/>
        <v>0</v>
      </c>
      <c r="X72" s="189">
        <f t="shared" si="38"/>
        <v>0.53600000000000003</v>
      </c>
      <c r="Y72" s="189">
        <f t="shared" si="39"/>
        <v>0</v>
      </c>
      <c r="Z72" s="189">
        <f t="shared" si="39"/>
        <v>0</v>
      </c>
      <c r="AA72" s="189">
        <f t="shared" si="40"/>
        <v>19.979862068965517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215</v>
      </c>
      <c r="P73" s="225">
        <v>213</v>
      </c>
      <c r="Q73" s="225">
        <v>2001</v>
      </c>
      <c r="R73" s="221">
        <v>2472.02</v>
      </c>
      <c r="S73" s="225"/>
      <c r="T73" s="225">
        <v>61.78</v>
      </c>
      <c r="U73" s="189">
        <f t="shared" si="35"/>
        <v>2.6629310344827588</v>
      </c>
      <c r="V73" s="189">
        <f t="shared" si="36"/>
        <v>18.540150000000001</v>
      </c>
      <c r="W73" s="189">
        <f t="shared" si="37"/>
        <v>0</v>
      </c>
      <c r="X73" s="189">
        <f t="shared" si="38"/>
        <v>1.5445000000000002</v>
      </c>
      <c r="Y73" s="189">
        <f t="shared" si="39"/>
        <v>2453.4798500000002</v>
      </c>
      <c r="Z73" s="189">
        <f t="shared" si="39"/>
        <v>0</v>
      </c>
      <c r="AA73" s="189">
        <f t="shared" si="40"/>
        <v>57.572568965517242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215</v>
      </c>
      <c r="P74" s="225"/>
      <c r="Q74" s="225"/>
      <c r="R74" s="225"/>
      <c r="S74" s="225"/>
      <c r="T74" s="225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2607.67</v>
      </c>
      <c r="S75" s="192"/>
      <c r="T75" s="192">
        <f>SUM(T70:T74)</f>
        <v>83.22</v>
      </c>
      <c r="U75" s="192">
        <f>SUM(U70:U74)</f>
        <v>3.5870689655172416</v>
      </c>
      <c r="V75" s="192">
        <f t="shared" ref="V75:AA75" si="42">SUM(V70:V74)</f>
        <v>19.557525000000002</v>
      </c>
      <c r="W75" s="192">
        <f t="shared" si="42"/>
        <v>0</v>
      </c>
      <c r="X75" s="192">
        <f t="shared" si="42"/>
        <v>2.0805000000000002</v>
      </c>
      <c r="Y75" s="192">
        <f t="shared" si="42"/>
        <v>2588.1124750000004</v>
      </c>
      <c r="Z75" s="192">
        <f t="shared" si="42"/>
        <v>0</v>
      </c>
      <c r="AA75" s="193">
        <f t="shared" si="42"/>
        <v>77.552431034482765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498.39+7.97</f>
        <v>506.36</v>
      </c>
      <c r="R78" s="82">
        <v>7.4999999999999997E-3</v>
      </c>
      <c r="S78" s="220">
        <f>+(P78+Q78)*R78</f>
        <v>3.7976999999999999</v>
      </c>
      <c r="T78" s="219">
        <f>+(P78+Q78)-S78</f>
        <v>502.56229999999999</v>
      </c>
      <c r="U78" s="211">
        <f>176.91</f>
        <v>176.91</v>
      </c>
      <c r="V78" s="112"/>
      <c r="W78" s="113">
        <v>1.4999999999999999E-2</v>
      </c>
      <c r="X78" s="196">
        <f>+(U78+V78)*W78</f>
        <v>2.6536499999999998</v>
      </c>
      <c r="Y78" s="217">
        <f>+(U78+V78)-X78</f>
        <v>174.25635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232.46+44.95</f>
        <v>277.41000000000003</v>
      </c>
      <c r="R79" s="82">
        <v>7.4999999999999997E-3</v>
      </c>
      <c r="S79" s="220">
        <f t="shared" ref="S79:S97" si="44">+(P79+Q79)*R79</f>
        <v>2.0805750000000001</v>
      </c>
      <c r="T79" s="219">
        <f t="shared" ref="T79:T97" si="45">+(P79+Q79)-S79</f>
        <v>275.32942500000001</v>
      </c>
      <c r="U79" s="211">
        <v>58.64</v>
      </c>
      <c r="V79" s="112"/>
      <c r="W79" s="113">
        <v>1.4999999999999999E-2</v>
      </c>
      <c r="X79" s="196">
        <f t="shared" ref="X79:X97" si="46">+(U79+V79)*W79</f>
        <v>0.87959999999999994</v>
      </c>
      <c r="Y79" s="217">
        <f t="shared" ref="Y79:Y97" si="47">+(U79+V79)-X79</f>
        <v>57.760400000000004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v>475.98</v>
      </c>
      <c r="R80" s="82">
        <v>7.4999999999999997E-3</v>
      </c>
      <c r="S80" s="220">
        <f t="shared" si="44"/>
        <v>3.5698500000000002</v>
      </c>
      <c r="T80" s="219">
        <f t="shared" si="45"/>
        <v>472.41015000000004</v>
      </c>
      <c r="U80" s="211">
        <f>82.16</f>
        <v>82.16</v>
      </c>
      <c r="V80" s="112"/>
      <c r="W80" s="113">
        <v>1.4999999999999999E-2</v>
      </c>
      <c r="X80" s="196">
        <f t="shared" si="46"/>
        <v>1.2323999999999999</v>
      </c>
      <c r="Y80" s="217">
        <f t="shared" si="47"/>
        <v>80.927599999999998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141.53+13.34</f>
        <v>154.87</v>
      </c>
      <c r="R81" s="82">
        <v>7.4999999999999997E-3</v>
      </c>
      <c r="S81" s="220">
        <f t="shared" si="44"/>
        <v>1.1615249999999999</v>
      </c>
      <c r="T81" s="219">
        <f t="shared" si="45"/>
        <v>153.70847499999999</v>
      </c>
      <c r="U81" s="211">
        <f>130.78</f>
        <v>130.78</v>
      </c>
      <c r="V81" s="112"/>
      <c r="W81" s="113">
        <v>1.4999999999999999E-2</v>
      </c>
      <c r="X81" s="196">
        <f t="shared" si="46"/>
        <v>1.9617</v>
      </c>
      <c r="Y81" s="217">
        <f t="shared" si="47"/>
        <v>128.81829999999999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137">
        <f>109.08+155.41</f>
        <v>264.49</v>
      </c>
      <c r="R82" s="82">
        <v>7.4999999999999997E-3</v>
      </c>
      <c r="S82" s="220">
        <f t="shared" si="44"/>
        <v>1.9836750000000001</v>
      </c>
      <c r="T82" s="219">
        <f t="shared" si="45"/>
        <v>262.506325</v>
      </c>
      <c r="U82" s="211">
        <f>18</f>
        <v>18</v>
      </c>
      <c r="V82" s="112"/>
      <c r="W82" s="113">
        <v>1.4999999999999999E-2</v>
      </c>
      <c r="X82" s="196">
        <f t="shared" si="46"/>
        <v>0.27</v>
      </c>
      <c r="Y82" s="254">
        <f t="shared" si="47"/>
        <v>17.73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220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54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20">
        <f t="shared" si="44"/>
        <v>0</v>
      </c>
      <c r="T84" s="219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217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220">
        <f t="shared" si="44"/>
        <v>0</v>
      </c>
      <c r="T85" s="219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17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220">
        <f t="shared" si="44"/>
        <v>0</v>
      </c>
      <c r="T86" s="219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220">
        <f t="shared" si="44"/>
        <v>0</v>
      </c>
      <c r="T87" s="220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217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217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1679.11</v>
      </c>
      <c r="R98" s="111"/>
      <c r="S98" s="195">
        <f>SUM(S78:S97)</f>
        <v>12.593325</v>
      </c>
      <c r="T98" s="195">
        <f>SUM(T78:T97)</f>
        <v>1666.5166750000001</v>
      </c>
      <c r="U98" s="114">
        <f>SUM(U78:U97)</f>
        <v>466.49</v>
      </c>
      <c r="V98" s="114">
        <f>SUM(V78:V97)</f>
        <v>0</v>
      </c>
      <c r="W98" s="112"/>
      <c r="X98" s="197">
        <f>SUM(X78:X97)</f>
        <v>6.9973499999999991</v>
      </c>
      <c r="Y98" s="197">
        <f>SUM(Y78:Y97)</f>
        <v>459.49265000000003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 t="shared" ref="Q101:Q102" si="51">P78+Q78+U78</f>
        <v>683.27</v>
      </c>
      <c r="R101" s="84"/>
    </row>
    <row r="102" spans="14:30" x14ac:dyDescent="0.25">
      <c r="N102" s="85"/>
      <c r="P102" s="84"/>
      <c r="Q102" s="233">
        <f t="shared" si="51"/>
        <v>336.05</v>
      </c>
      <c r="R102" s="84"/>
    </row>
    <row r="103" spans="14:30" x14ac:dyDescent="0.25">
      <c r="N103" s="85"/>
      <c r="P103" s="84"/>
      <c r="Q103" s="215">
        <f>P80+Q80+U80</f>
        <v>558.14</v>
      </c>
      <c r="R103" s="84"/>
    </row>
    <row r="104" spans="14:30" x14ac:dyDescent="0.25">
      <c r="N104" s="85"/>
      <c r="P104" s="84"/>
      <c r="Q104" s="215">
        <f>P81+Q81+U81</f>
        <v>285.64999999999998</v>
      </c>
      <c r="R104" s="84"/>
    </row>
    <row r="105" spans="14:30" x14ac:dyDescent="0.25">
      <c r="N105" s="85"/>
      <c r="P105" s="84"/>
      <c r="Q105" s="215">
        <f t="shared" ref="Q105:Q107" si="52">P82+Q82+U82</f>
        <v>282.49</v>
      </c>
      <c r="R105" s="84"/>
    </row>
    <row r="106" spans="14:30" x14ac:dyDescent="0.25">
      <c r="N106" s="85"/>
      <c r="P106" s="84"/>
      <c r="Q106" s="215">
        <f t="shared" si="52"/>
        <v>0</v>
      </c>
      <c r="R106" s="84"/>
    </row>
    <row r="107" spans="14:30" x14ac:dyDescent="0.25">
      <c r="N107" s="85"/>
      <c r="P107" s="84"/>
      <c r="Q107" s="246">
        <f t="shared" si="52"/>
        <v>0</v>
      </c>
      <c r="R107" s="84"/>
    </row>
    <row r="108" spans="14:30" x14ac:dyDescent="0.25">
      <c r="N108" s="85"/>
      <c r="Q108" s="246">
        <f>P85+Q85+U85</f>
        <v>0</v>
      </c>
    </row>
    <row r="109" spans="14:30" x14ac:dyDescent="0.25">
      <c r="N109" s="85"/>
      <c r="Q109" s="246">
        <f>P86+Q86+U86</f>
        <v>0</v>
      </c>
    </row>
    <row r="110" spans="14:30" x14ac:dyDescent="0.25">
      <c r="N110" s="85"/>
      <c r="Q110" s="246">
        <f>P87+Q87+U87</f>
        <v>0</v>
      </c>
    </row>
    <row r="111" spans="14:30" x14ac:dyDescent="0.25">
      <c r="N111" s="85"/>
      <c r="Q111" s="246">
        <f>P88+Q88+U88</f>
        <v>0</v>
      </c>
    </row>
    <row r="112" spans="14:30" x14ac:dyDescent="0.25">
      <c r="N112" s="85"/>
      <c r="Q112" s="246">
        <f>P89+Q89+U89</f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8" zoomScale="90" zoomScaleNormal="90" workbookViewId="0">
      <selection activeCell="J46" sqref="J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190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44790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5.98</v>
      </c>
      <c r="C8" s="85" t="s">
        <v>92</v>
      </c>
      <c r="D8" s="108"/>
    </row>
    <row r="9" spans="1:28" x14ac:dyDescent="0.25">
      <c r="A9" s="7" t="s">
        <v>76</v>
      </c>
      <c r="B9" s="108">
        <v>5.97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932.5</v>
      </c>
      <c r="C12" s="15"/>
      <c r="D12" s="56"/>
      <c r="E12" s="16"/>
      <c r="F12" s="56"/>
      <c r="G12" s="56"/>
      <c r="H12" s="17"/>
      <c r="I12" s="83">
        <v>932.5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220</v>
      </c>
      <c r="P12" s="158">
        <v>235</v>
      </c>
      <c r="Q12" s="158">
        <v>11</v>
      </c>
      <c r="R12" s="159">
        <v>1561.43</v>
      </c>
      <c r="S12" s="160"/>
      <c r="T12" s="160">
        <v>1</v>
      </c>
      <c r="U12" s="189">
        <f>((T12/U$10)*U$9)</f>
        <v>4.3103448275862072E-2</v>
      </c>
      <c r="V12" s="189">
        <f>R12*V$10</f>
        <v>11.710725</v>
      </c>
      <c r="W12" s="189">
        <f>+S12*V$10</f>
        <v>0</v>
      </c>
      <c r="X12" s="189">
        <f>+T12*X$10</f>
        <v>2.5000000000000001E-2</v>
      </c>
      <c r="Y12" s="189">
        <f>R12-V12</f>
        <v>1549.7192750000002</v>
      </c>
      <c r="Z12" s="189">
        <f>S12-W12</f>
        <v>0</v>
      </c>
      <c r="AA12" s="189">
        <f>T12-U12-X12</f>
        <v>0.93189655172413788</v>
      </c>
      <c r="AB12" s="156"/>
    </row>
    <row r="13" spans="1:28" ht="15.75" x14ac:dyDescent="0.25">
      <c r="A13" s="86" t="s">
        <v>74</v>
      </c>
      <c r="B13" s="89">
        <v>603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603</v>
      </c>
      <c r="K13" s="75"/>
      <c r="L13" s="186">
        <f t="shared" ref="L13:L42" si="1">+G13-K13</f>
        <v>0</v>
      </c>
      <c r="M13" s="106"/>
      <c r="N13" s="104">
        <v>2</v>
      </c>
      <c r="O13" s="152" t="s">
        <v>220</v>
      </c>
      <c r="P13" s="158">
        <v>620</v>
      </c>
      <c r="Q13" s="158">
        <v>2</v>
      </c>
      <c r="R13" s="159">
        <v>612.67999999999995</v>
      </c>
      <c r="S13" s="160"/>
      <c r="T13" s="161">
        <v>172.29</v>
      </c>
      <c r="U13" s="189">
        <f t="shared" ref="U13:U41" si="2">((T13/U$10)*U$9)</f>
        <v>7.4262931034482769</v>
      </c>
      <c r="V13" s="189">
        <f t="shared" ref="V13:V41" si="3">R13*V$10</f>
        <v>4.5950999999999995</v>
      </c>
      <c r="W13" s="189">
        <f t="shared" ref="W13:W41" si="4">+S13*V$10</f>
        <v>0</v>
      </c>
      <c r="X13" s="189">
        <f t="shared" ref="X13:X41" si="5">+T13*X$10</f>
        <v>4.3072499999999998</v>
      </c>
      <c r="Y13" s="189">
        <f t="shared" ref="Y13:Z41" si="6">R13-V13</f>
        <v>608.08489999999995</v>
      </c>
      <c r="Z13" s="189">
        <f t="shared" si="6"/>
        <v>0</v>
      </c>
      <c r="AA13" s="189">
        <f t="shared" ref="AA13:AA41" si="7">T13-U13-X13</f>
        <v>160.55645689655171</v>
      </c>
      <c r="AB13" s="156"/>
    </row>
    <row r="14" spans="1:28" ht="15.75" x14ac:dyDescent="0.25">
      <c r="A14" s="86" t="s">
        <v>81</v>
      </c>
      <c r="B14" s="57">
        <f>B13*B8</f>
        <v>3605.94</v>
      </c>
      <c r="C14" s="15"/>
      <c r="D14" s="56"/>
      <c r="E14" s="16"/>
      <c r="F14" s="56"/>
      <c r="G14" s="56"/>
      <c r="H14" s="17"/>
      <c r="I14" s="83"/>
      <c r="J14" s="81">
        <f t="shared" si="0"/>
        <v>3605.94</v>
      </c>
      <c r="K14" s="80"/>
      <c r="L14" s="186">
        <f t="shared" si="1"/>
        <v>0</v>
      </c>
      <c r="M14" s="107"/>
      <c r="N14" s="104">
        <v>3</v>
      </c>
      <c r="O14" s="152" t="s">
        <v>220</v>
      </c>
      <c r="P14" s="158">
        <v>621</v>
      </c>
      <c r="Q14" s="158">
        <v>2</v>
      </c>
      <c r="R14" s="159">
        <v>2915.41</v>
      </c>
      <c r="S14" s="160"/>
      <c r="T14" s="161">
        <v>62.3</v>
      </c>
      <c r="U14" s="189">
        <f t="shared" si="2"/>
        <v>2.6853448275862073</v>
      </c>
      <c r="V14" s="189">
        <f t="shared" si="3"/>
        <v>21.865575</v>
      </c>
      <c r="W14" s="189">
        <f t="shared" si="4"/>
        <v>0</v>
      </c>
      <c r="X14" s="189">
        <f t="shared" si="5"/>
        <v>1.5575000000000001</v>
      </c>
      <c r="Y14" s="189">
        <f t="shared" si="6"/>
        <v>2893.544425</v>
      </c>
      <c r="Z14" s="189">
        <f t="shared" si="6"/>
        <v>0</v>
      </c>
      <c r="AA14" s="189">
        <f t="shared" si="7"/>
        <v>58.057155172413793</v>
      </c>
      <c r="AB14" s="156"/>
    </row>
    <row r="15" spans="1:28" ht="15.75" x14ac:dyDescent="0.25">
      <c r="A15" s="86" t="s">
        <v>77</v>
      </c>
      <c r="B15" s="56">
        <v>1058</v>
      </c>
      <c r="C15" s="15"/>
      <c r="D15" s="56"/>
      <c r="E15" s="16"/>
      <c r="F15" s="56"/>
      <c r="G15" s="56"/>
      <c r="H15" s="17"/>
      <c r="I15" s="83"/>
      <c r="J15" s="81">
        <f t="shared" si="0"/>
        <v>1058</v>
      </c>
      <c r="K15" s="80"/>
      <c r="L15" s="186">
        <f t="shared" si="1"/>
        <v>0</v>
      </c>
      <c r="M15" s="107"/>
      <c r="N15" s="104">
        <v>4</v>
      </c>
      <c r="O15" s="152" t="s">
        <v>220</v>
      </c>
      <c r="P15" s="158">
        <v>600</v>
      </c>
      <c r="Q15" s="158">
        <v>4</v>
      </c>
      <c r="R15" s="159">
        <v>2989.24</v>
      </c>
      <c r="S15" s="160"/>
      <c r="T15" s="161"/>
      <c r="U15" s="189">
        <f t="shared" si="2"/>
        <v>0</v>
      </c>
      <c r="V15" s="189">
        <f t="shared" si="3"/>
        <v>22.419299999999996</v>
      </c>
      <c r="W15" s="189">
        <f t="shared" si="4"/>
        <v>0</v>
      </c>
      <c r="X15" s="189">
        <f t="shared" si="5"/>
        <v>0</v>
      </c>
      <c r="Y15" s="189">
        <f t="shared" si="6"/>
        <v>2966.8206999999998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6316.2599999999993</v>
      </c>
      <c r="C16" s="15"/>
      <c r="D16" s="56"/>
      <c r="E16" s="16"/>
      <c r="F16" s="56"/>
      <c r="G16" s="56"/>
      <c r="H16" s="17"/>
      <c r="I16" s="83"/>
      <c r="J16" s="81">
        <f t="shared" si="0"/>
        <v>6316.2599999999993</v>
      </c>
      <c r="K16" s="80"/>
      <c r="L16" s="186">
        <f t="shared" si="1"/>
        <v>0</v>
      </c>
      <c r="M16" s="107"/>
      <c r="N16" s="104">
        <v>5</v>
      </c>
      <c r="O16" s="152" t="s">
        <v>220</v>
      </c>
      <c r="P16" s="158">
        <v>599</v>
      </c>
      <c r="Q16" s="158">
        <v>4</v>
      </c>
      <c r="R16" s="159">
        <v>439.85</v>
      </c>
      <c r="S16" s="160"/>
      <c r="T16" s="161"/>
      <c r="U16" s="189">
        <f t="shared" si="2"/>
        <v>0</v>
      </c>
      <c r="V16" s="189">
        <f t="shared" si="3"/>
        <v>3.2988750000000002</v>
      </c>
      <c r="W16" s="189">
        <f t="shared" si="4"/>
        <v>0</v>
      </c>
      <c r="X16" s="189">
        <f t="shared" si="5"/>
        <v>0</v>
      </c>
      <c r="Y16" s="189">
        <f t="shared" si="6"/>
        <v>436.55112500000001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220</v>
      </c>
      <c r="P17" s="158">
        <v>238</v>
      </c>
      <c r="Q17" s="158">
        <v>10</v>
      </c>
      <c r="R17" s="159">
        <v>1911.35</v>
      </c>
      <c r="S17" s="160"/>
      <c r="T17" s="161"/>
      <c r="U17" s="189">
        <f t="shared" si="2"/>
        <v>0</v>
      </c>
      <c r="V17" s="189">
        <f t="shared" si="3"/>
        <v>14.335125</v>
      </c>
      <c r="W17" s="189">
        <f t="shared" si="4"/>
        <v>0</v>
      </c>
      <c r="X17" s="189">
        <f t="shared" si="5"/>
        <v>0</v>
      </c>
      <c r="Y17" s="189">
        <f t="shared" si="6"/>
        <v>1897.0148749999998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220</v>
      </c>
      <c r="P18" s="158">
        <v>237</v>
      </c>
      <c r="Q18" s="158">
        <v>10</v>
      </c>
      <c r="R18" s="159">
        <v>841.92</v>
      </c>
      <c r="S18" s="160"/>
      <c r="T18" s="161"/>
      <c r="U18" s="189">
        <f t="shared" si="2"/>
        <v>0</v>
      </c>
      <c r="V18" s="189">
        <f t="shared" si="3"/>
        <v>6.3143999999999991</v>
      </c>
      <c r="W18" s="189">
        <f t="shared" si="4"/>
        <v>0</v>
      </c>
      <c r="X18" s="189">
        <f t="shared" si="5"/>
        <v>0</v>
      </c>
      <c r="Y18" s="189">
        <f t="shared" si="6"/>
        <v>835.60559999999998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1661</v>
      </c>
      <c r="C19" s="95"/>
      <c r="D19" s="94"/>
      <c r="E19" s="96"/>
      <c r="F19" s="94"/>
      <c r="G19" s="94"/>
      <c r="H19" s="98"/>
      <c r="I19" s="99">
        <v>1661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220</v>
      </c>
      <c r="P19" s="158">
        <v>690</v>
      </c>
      <c r="Q19" s="158">
        <v>18</v>
      </c>
      <c r="R19" s="159">
        <v>606.78</v>
      </c>
      <c r="S19" s="160"/>
      <c r="T19" s="161"/>
      <c r="U19" s="189">
        <f t="shared" si="2"/>
        <v>0</v>
      </c>
      <c r="V19" s="189">
        <f t="shared" si="3"/>
        <v>4.5508499999999996</v>
      </c>
      <c r="W19" s="189">
        <f t="shared" si="4"/>
        <v>0</v>
      </c>
      <c r="X19" s="189">
        <f t="shared" si="5"/>
        <v>0</v>
      </c>
      <c r="Y19" s="189">
        <f t="shared" si="6"/>
        <v>602.22915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9922.1999999999989</v>
      </c>
      <c r="C20" s="95"/>
      <c r="D20" s="94"/>
      <c r="E20" s="96"/>
      <c r="F20" s="94"/>
      <c r="G20" s="94"/>
      <c r="H20" s="98"/>
      <c r="I20" s="99"/>
      <c r="J20" s="185">
        <f t="shared" si="0"/>
        <v>9922.1999999999989</v>
      </c>
      <c r="K20" s="99"/>
      <c r="L20" s="187">
        <f t="shared" si="1"/>
        <v>0</v>
      </c>
      <c r="M20" s="107"/>
      <c r="N20" s="104">
        <v>9</v>
      </c>
      <c r="O20" s="152" t="s">
        <v>220</v>
      </c>
      <c r="P20" s="158">
        <v>691</v>
      </c>
      <c r="Q20" s="158">
        <v>18</v>
      </c>
      <c r="R20" s="159">
        <v>809.94</v>
      </c>
      <c r="S20" s="160"/>
      <c r="T20" s="161">
        <v>86.54</v>
      </c>
      <c r="U20" s="189">
        <f t="shared" si="2"/>
        <v>3.7301724137931043</v>
      </c>
      <c r="V20" s="189">
        <f t="shared" si="3"/>
        <v>6.0745500000000003</v>
      </c>
      <c r="W20" s="189">
        <f t="shared" si="4"/>
        <v>0</v>
      </c>
      <c r="X20" s="189">
        <f t="shared" si="5"/>
        <v>2.1635000000000004</v>
      </c>
      <c r="Y20" s="189">
        <f t="shared" si="6"/>
        <v>803.86545000000001</v>
      </c>
      <c r="Z20" s="189">
        <f t="shared" si="6"/>
        <v>0</v>
      </c>
      <c r="AA20" s="189">
        <f t="shared" si="7"/>
        <v>80.646327586206908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220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220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220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220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24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 t="s">
        <v>164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4.26</v>
      </c>
      <c r="C37" s="100"/>
      <c r="D37" s="66"/>
      <c r="E37" s="67"/>
      <c r="F37" s="66"/>
      <c r="G37" s="66"/>
      <c r="H37" s="102"/>
      <c r="I37" s="79"/>
      <c r="J37" s="81">
        <f t="shared" si="0"/>
        <v>4.26</v>
      </c>
      <c r="K37" s="80"/>
      <c r="L37" s="186">
        <f t="shared" si="8"/>
        <v>-4.26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25.474800000000002</v>
      </c>
      <c r="C38" s="100"/>
      <c r="D38" s="66"/>
      <c r="E38" s="67"/>
      <c r="F38" s="66"/>
      <c r="G38" s="66"/>
      <c r="H38" s="102"/>
      <c r="I38" s="79"/>
      <c r="J38" s="81">
        <f t="shared" si="0"/>
        <v>25.474800000000002</v>
      </c>
      <c r="K38" s="80"/>
      <c r="L38" s="186">
        <f t="shared" si="8"/>
        <v>-25.474800000000002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34.93</v>
      </c>
      <c r="C39" s="100"/>
      <c r="D39" s="66"/>
      <c r="E39" s="67"/>
      <c r="F39" s="66"/>
      <c r="G39" s="66"/>
      <c r="H39" s="102"/>
      <c r="I39" s="79"/>
      <c r="J39" s="81">
        <f t="shared" si="0"/>
        <v>34.93</v>
      </c>
      <c r="K39" s="80"/>
      <c r="L39" s="186">
        <f t="shared" si="8"/>
        <v>-34.93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208.53209999999999</v>
      </c>
      <c r="C40" s="100"/>
      <c r="D40" s="66"/>
      <c r="E40" s="67"/>
      <c r="F40" s="66"/>
      <c r="G40" s="66"/>
      <c r="H40" s="102"/>
      <c r="I40" s="79"/>
      <c r="J40" s="81">
        <f t="shared" si="0"/>
        <v>208.53209999999999</v>
      </c>
      <c r="K40" s="80"/>
      <c r="L40" s="186">
        <f t="shared" si="8"/>
        <v>-208.53209999999999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12688.600000000002</v>
      </c>
      <c r="S42" s="190">
        <f t="shared" si="9"/>
        <v>0</v>
      </c>
      <c r="T42" s="190">
        <f t="shared" si="9"/>
        <v>322.13</v>
      </c>
      <c r="U42" s="190">
        <f t="shared" si="9"/>
        <v>13.884913793103451</v>
      </c>
      <c r="V42" s="190">
        <f t="shared" si="9"/>
        <v>95.16449999999999</v>
      </c>
      <c r="W42" s="190">
        <f t="shared" si="9"/>
        <v>0</v>
      </c>
      <c r="X42" s="190">
        <f t="shared" si="9"/>
        <v>8.0532500000000002</v>
      </c>
      <c r="Y42" s="190">
        <f t="shared" si="9"/>
        <v>12593.4355</v>
      </c>
      <c r="Z42" s="190">
        <f t="shared" si="9"/>
        <v>0</v>
      </c>
      <c r="AA42" s="190">
        <f t="shared" si="9"/>
        <v>300.19183620689654</v>
      </c>
      <c r="AB42" s="166"/>
    </row>
    <row r="43" spans="1:28" ht="15.75" x14ac:dyDescent="0.25">
      <c r="A43" s="93" t="s">
        <v>101</v>
      </c>
      <c r="B43" s="97">
        <f>+B37+B39+B41</f>
        <v>39.19</v>
      </c>
      <c r="C43" s="95"/>
      <c r="D43" s="94"/>
      <c r="E43" s="96"/>
      <c r="F43" s="94"/>
      <c r="G43" s="94"/>
      <c r="H43" s="98"/>
      <c r="I43" s="99">
        <v>39.19</v>
      </c>
      <c r="J43" s="185">
        <f t="shared" si="0"/>
        <v>0</v>
      </c>
      <c r="K43" s="99"/>
      <c r="L43" s="187">
        <f>K43-B43</f>
        <v>-39.19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234.00689999999997</v>
      </c>
      <c r="C44" s="95"/>
      <c r="D44" s="94"/>
      <c r="E44" s="96"/>
      <c r="F44" s="94"/>
      <c r="G44" s="94"/>
      <c r="H44" s="98"/>
      <c r="I44" s="99"/>
      <c r="J44" s="185">
        <f t="shared" si="0"/>
        <v>234.00689999999997</v>
      </c>
      <c r="K44" s="99"/>
      <c r="L44" s="187">
        <f>K44-B44</f>
        <v>-234.00689999999997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12688.600000000002</v>
      </c>
      <c r="C46" s="116">
        <v>7.4999999999999997E-3</v>
      </c>
      <c r="D46" s="117">
        <f>B46*C46</f>
        <v>95.164500000000018</v>
      </c>
      <c r="E46" s="172">
        <v>0</v>
      </c>
      <c r="F46" s="117">
        <f t="shared" ref="F46:F50" si="16">D46*E46</f>
        <v>0</v>
      </c>
      <c r="G46" s="117">
        <f t="shared" ref="G46:G51" si="17">B46-D46-F46</f>
        <v>12593.435500000001</v>
      </c>
      <c r="H46" s="173">
        <f>B$6+1</f>
        <v>44791</v>
      </c>
      <c r="I46" s="174">
        <v>12687.6</v>
      </c>
      <c r="J46" s="81">
        <f t="shared" si="0"/>
        <v>1.000000000001819</v>
      </c>
      <c r="K46" s="80"/>
      <c r="L46" s="186">
        <f>K46-G46</f>
        <v>-12593.435500000001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44791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167.63</v>
      </c>
      <c r="C48" s="116">
        <v>7.4999999999999997E-3</v>
      </c>
      <c r="D48" s="117">
        <f t="shared" si="18"/>
        <v>1.2572249999999998</v>
      </c>
      <c r="E48" s="172">
        <v>0</v>
      </c>
      <c r="F48" s="117">
        <f t="shared" si="16"/>
        <v>0</v>
      </c>
      <c r="G48" s="117">
        <f t="shared" si="17"/>
        <v>166.37277499999999</v>
      </c>
      <c r="H48" s="173">
        <f t="shared" ref="H48:H61" si="20">B$6+1</f>
        <v>44791</v>
      </c>
      <c r="I48" s="176">
        <v>182.18</v>
      </c>
      <c r="J48" s="81">
        <f t="shared" si="0"/>
        <v>-14.550000000000011</v>
      </c>
      <c r="K48" s="80"/>
      <c r="L48" s="186">
        <f t="shared" si="19"/>
        <v>166.37277499999999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211</v>
      </c>
      <c r="B49" s="117">
        <f>R75</f>
        <v>3022.2300000000005</v>
      </c>
      <c r="C49" s="116">
        <v>7.4999999999999997E-3</v>
      </c>
      <c r="D49" s="117">
        <f t="shared" si="18"/>
        <v>22.666725000000003</v>
      </c>
      <c r="E49" s="172">
        <v>0</v>
      </c>
      <c r="F49" s="117">
        <f t="shared" si="16"/>
        <v>0</v>
      </c>
      <c r="G49" s="117">
        <f t="shared" si="17"/>
        <v>2999.5632750000004</v>
      </c>
      <c r="H49" s="173">
        <f t="shared" si="20"/>
        <v>44791</v>
      </c>
      <c r="I49" s="176">
        <v>3007.68</v>
      </c>
      <c r="J49" s="81">
        <f t="shared" si="0"/>
        <v>14.550000000000637</v>
      </c>
      <c r="K49" s="80"/>
      <c r="L49" s="186">
        <f t="shared" si="19"/>
        <v>2999.5632750000004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987.81999999999994</v>
      </c>
      <c r="C50" s="116">
        <v>7.4999999999999997E-3</v>
      </c>
      <c r="D50" s="117">
        <f t="shared" si="18"/>
        <v>7.4086499999999988</v>
      </c>
      <c r="E50" s="172">
        <v>0</v>
      </c>
      <c r="F50" s="117">
        <f t="shared" si="16"/>
        <v>0</v>
      </c>
      <c r="G50" s="117">
        <f t="shared" si="17"/>
        <v>980.41134999999997</v>
      </c>
      <c r="H50" s="173">
        <f t="shared" si="20"/>
        <v>44791</v>
      </c>
      <c r="I50" s="175">
        <v>1450.67</v>
      </c>
      <c r="J50" s="81">
        <f t="shared" si="0"/>
        <v>-462.85000000000014</v>
      </c>
      <c r="K50" s="80"/>
      <c r="L50" s="186">
        <f>K50-G50</f>
        <v>-980.41134999999997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462.84000000000003</v>
      </c>
      <c r="C51" s="116">
        <v>1.4999999999999999E-2</v>
      </c>
      <c r="D51" s="117">
        <f>+B51*C51</f>
        <v>6.9426000000000005</v>
      </c>
      <c r="E51" s="172">
        <v>0</v>
      </c>
      <c r="F51" s="117">
        <f>D51*E51</f>
        <v>0</v>
      </c>
      <c r="G51" s="117">
        <f t="shared" si="17"/>
        <v>455.8974</v>
      </c>
      <c r="H51" s="173">
        <f t="shared" si="20"/>
        <v>44791</v>
      </c>
      <c r="I51" s="175"/>
      <c r="J51" s="81">
        <f t="shared" si="0"/>
        <v>462.84000000000003</v>
      </c>
      <c r="K51" s="80"/>
      <c r="L51" s="186">
        <f>K51-G51</f>
        <v>-455.8974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322.13</v>
      </c>
      <c r="C52" s="116">
        <v>2.5000000000000001E-2</v>
      </c>
      <c r="D52" s="117">
        <f>B52*C52</f>
        <v>8.0532500000000002</v>
      </c>
      <c r="E52" s="172">
        <v>0.05</v>
      </c>
      <c r="F52" s="117">
        <f>(B52/E$10)*E52</f>
        <v>13.884913793103449</v>
      </c>
      <c r="G52" s="117">
        <f>B52-D52-F52</f>
        <v>300.19183620689654</v>
      </c>
      <c r="H52" s="188">
        <f t="shared" si="20"/>
        <v>44791</v>
      </c>
      <c r="I52" s="176">
        <v>235.59</v>
      </c>
      <c r="J52" s="81">
        <f t="shared" si="0"/>
        <v>86.539999999999992</v>
      </c>
      <c r="K52" s="80"/>
      <c r="L52" s="186">
        <f>K52-G52</f>
        <v>-300.19183620689654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44791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44791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44791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207</v>
      </c>
      <c r="B56" s="117">
        <f>T75</f>
        <v>195.56</v>
      </c>
      <c r="C56" s="116">
        <v>2.5000000000000001E-2</v>
      </c>
      <c r="D56" s="117">
        <f t="shared" si="21"/>
        <v>4.8890000000000002</v>
      </c>
      <c r="E56" s="172">
        <v>0.05</v>
      </c>
      <c r="F56" s="117">
        <f t="shared" si="22"/>
        <v>8.4293103448275879</v>
      </c>
      <c r="G56" s="117">
        <f t="shared" si="23"/>
        <v>182.24168965517239</v>
      </c>
      <c r="H56" s="173">
        <f t="shared" si="20"/>
        <v>44791</v>
      </c>
      <c r="I56" s="176">
        <v>282.10000000000002</v>
      </c>
      <c r="J56" s="81">
        <f t="shared" si="0"/>
        <v>-86.54000000000002</v>
      </c>
      <c r="K56" s="80"/>
      <c r="L56" s="186">
        <f t="shared" si="19"/>
        <v>182.24168965517239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44793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44795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44820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146.38195000000002</v>
      </c>
      <c r="E61" s="177"/>
      <c r="F61" s="57">
        <f>SUM(F46:F58)</f>
        <v>22.314224137931035</v>
      </c>
      <c r="G61" s="57">
        <f>SUM(G46:G58)</f>
        <v>17678.113825862074</v>
      </c>
      <c r="H61" s="173">
        <f t="shared" si="20"/>
        <v>44791</v>
      </c>
      <c r="I61" s="175"/>
      <c r="J61" s="81">
        <f t="shared" si="0"/>
        <v>0</v>
      </c>
      <c r="K61" s="80"/>
      <c r="L61" s="186">
        <f t="shared" si="19"/>
        <v>17678.113825862074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</v>
      </c>
      <c r="C62" s="18"/>
      <c r="D62" s="101"/>
      <c r="E62" s="178"/>
      <c r="F62" s="101"/>
      <c r="G62" s="57"/>
      <c r="H62" s="173">
        <f>B$6+1</f>
        <v>44791</v>
      </c>
      <c r="I62" s="176"/>
      <c r="J62" s="81">
        <f t="shared" si="0"/>
        <v>2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239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35356.227651724148</v>
      </c>
      <c r="H64" s="184"/>
      <c r="I64" s="175"/>
      <c r="J64" s="81">
        <f t="shared" si="0"/>
        <v>0</v>
      </c>
      <c r="K64" s="80"/>
      <c r="L64" s="186">
        <f t="shared" si="19"/>
        <v>35356.227651724148</v>
      </c>
      <c r="M64" s="130"/>
      <c r="N64" s="87">
        <v>1</v>
      </c>
      <c r="O64" s="122" t="s">
        <v>219</v>
      </c>
      <c r="P64" s="87"/>
      <c r="Q64" s="87">
        <v>8214</v>
      </c>
      <c r="R64" s="87">
        <v>4.1500000000000004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3.1125E-2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4.1188750000000001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28933.516900000006</v>
      </c>
      <c r="G65" s="22"/>
      <c r="L65" s="132"/>
      <c r="M65" s="131"/>
      <c r="N65" s="87">
        <v>2</v>
      </c>
      <c r="O65" s="122" t="s">
        <v>219</v>
      </c>
      <c r="P65" s="87"/>
      <c r="Q65" s="87">
        <v>5713</v>
      </c>
      <c r="R65" s="137">
        <v>30.01</v>
      </c>
      <c r="S65" s="87"/>
      <c r="T65" s="87"/>
      <c r="U65" s="189">
        <f t="shared" si="28"/>
        <v>0</v>
      </c>
      <c r="V65" s="189">
        <f t="shared" si="29"/>
        <v>0.225075</v>
      </c>
      <c r="W65" s="189">
        <f t="shared" si="30"/>
        <v>0</v>
      </c>
      <c r="X65" s="189">
        <f t="shared" si="31"/>
        <v>0</v>
      </c>
      <c r="Y65" s="189">
        <f t="shared" si="32"/>
        <v>29.784925000000001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219</v>
      </c>
      <c r="P66" s="87"/>
      <c r="Q66" s="87">
        <v>489</v>
      </c>
      <c r="R66" s="137">
        <v>23.68</v>
      </c>
      <c r="S66" s="87"/>
      <c r="T66" s="87"/>
      <c r="U66" s="189">
        <f t="shared" si="28"/>
        <v>0</v>
      </c>
      <c r="V66" s="189">
        <f t="shared" si="29"/>
        <v>0.17759999999999998</v>
      </c>
      <c r="W66" s="189">
        <f t="shared" si="30"/>
        <v>0</v>
      </c>
      <c r="X66" s="189">
        <f t="shared" si="31"/>
        <v>0</v>
      </c>
      <c r="Y66" s="189">
        <f t="shared" si="32"/>
        <v>23.502400000000002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219</v>
      </c>
      <c r="P67" s="87"/>
      <c r="Q67" s="87">
        <v>8080</v>
      </c>
      <c r="R67" s="87">
        <v>109.79</v>
      </c>
      <c r="S67" s="87"/>
      <c r="T67" s="87"/>
      <c r="U67" s="189">
        <f t="shared" si="28"/>
        <v>0</v>
      </c>
      <c r="V67" s="189">
        <f t="shared" si="29"/>
        <v>0.82342499999999996</v>
      </c>
      <c r="W67" s="189">
        <f t="shared" si="30"/>
        <v>0</v>
      </c>
      <c r="X67" s="189">
        <f t="shared" si="31"/>
        <v>0</v>
      </c>
      <c r="Y67" s="189">
        <f t="shared" si="32"/>
        <v>108.96657500000001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28832.39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219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28566.81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167.63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1.257225</v>
      </c>
      <c r="W69" s="192">
        <f t="shared" si="34"/>
        <v>0</v>
      </c>
      <c r="X69" s="192">
        <f t="shared" si="34"/>
        <v>0</v>
      </c>
      <c r="Y69" s="192">
        <f t="shared" si="34"/>
        <v>166.37277500000002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265.57999999999811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87">
        <v>222</v>
      </c>
      <c r="Q70" s="87">
        <v>2001</v>
      </c>
      <c r="R70" s="137">
        <v>2057.3000000000002</v>
      </c>
      <c r="S70" s="87"/>
      <c r="T70" s="87">
        <v>97.72</v>
      </c>
      <c r="U70" s="189">
        <f t="shared" ref="U70:U74" si="35">((T70/U$10)*U$9)</f>
        <v>4.2120689655172416</v>
      </c>
      <c r="V70" s="189">
        <f t="shared" ref="V70:V74" si="36">R70*V$10</f>
        <v>15.42975</v>
      </c>
      <c r="W70" s="189">
        <f t="shared" ref="W70:W74" si="37">+S70*V$10</f>
        <v>0</v>
      </c>
      <c r="X70" s="189">
        <f t="shared" ref="X70:X74" si="38">+T70*X$10</f>
        <v>2.4430000000000001</v>
      </c>
      <c r="Y70" s="189">
        <f t="shared" ref="Y70:Z74" si="39">R70-V70</f>
        <v>2041.8702500000002</v>
      </c>
      <c r="Z70" s="189">
        <f t="shared" si="39"/>
        <v>0</v>
      </c>
      <c r="AA70" s="189">
        <f t="shared" ref="AA70:AA74" si="40">T70-U70-X70</f>
        <v>91.064931034482754</v>
      </c>
      <c r="AB70" s="87"/>
    </row>
    <row r="71" spans="1:30" ht="28.5" customHeight="1" thickBot="1" x14ac:dyDescent="0.3">
      <c r="A71" s="25" t="s">
        <v>56</v>
      </c>
      <c r="B71" s="70">
        <f>B65-B68</f>
        <v>101.12690000000657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215</v>
      </c>
      <c r="P71" s="87">
        <v>71</v>
      </c>
      <c r="Q71" s="87">
        <v>2001</v>
      </c>
      <c r="R71" s="137">
        <v>800.58</v>
      </c>
      <c r="S71" s="87"/>
      <c r="T71" s="137">
        <v>97.84</v>
      </c>
      <c r="U71" s="189">
        <f t="shared" si="35"/>
        <v>4.2172413793103454</v>
      </c>
      <c r="V71" s="189">
        <f t="shared" si="36"/>
        <v>6.0043500000000005</v>
      </c>
      <c r="W71" s="189">
        <f t="shared" si="37"/>
        <v>0</v>
      </c>
      <c r="X71" s="189">
        <f t="shared" si="38"/>
        <v>2.4460000000000002</v>
      </c>
      <c r="Y71" s="189">
        <f t="shared" si="39"/>
        <v>794.57565</v>
      </c>
      <c r="Z71" s="189">
        <f t="shared" si="39"/>
        <v>0</v>
      </c>
      <c r="AA71" s="189">
        <f t="shared" si="40"/>
        <v>91.176758620689654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87">
        <v>214</v>
      </c>
      <c r="Q72" s="87">
        <v>2001</v>
      </c>
      <c r="R72" s="87">
        <v>149.80000000000001</v>
      </c>
      <c r="S72" s="87"/>
      <c r="T72" s="87"/>
      <c r="U72" s="189">
        <f t="shared" si="35"/>
        <v>0</v>
      </c>
      <c r="V72" s="189">
        <f t="shared" si="36"/>
        <v>1.1234999999999999</v>
      </c>
      <c r="W72" s="189">
        <f t="shared" si="37"/>
        <v>0</v>
      </c>
      <c r="X72" s="189">
        <f t="shared" si="38"/>
        <v>0</v>
      </c>
      <c r="Y72" s="189">
        <f t="shared" si="39"/>
        <v>148.6765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241</v>
      </c>
      <c r="P73" s="87">
        <v>1283</v>
      </c>
      <c r="Q73" s="87">
        <v>2001</v>
      </c>
      <c r="R73" s="137">
        <v>14.55</v>
      </c>
      <c r="S73" s="87"/>
      <c r="T73" s="137"/>
      <c r="U73" s="189">
        <f t="shared" si="35"/>
        <v>0</v>
      </c>
      <c r="V73" s="189">
        <f t="shared" si="36"/>
        <v>0.109125</v>
      </c>
      <c r="W73" s="189">
        <f t="shared" si="37"/>
        <v>0</v>
      </c>
      <c r="X73" s="189">
        <f t="shared" si="38"/>
        <v>0</v>
      </c>
      <c r="Y73" s="189">
        <f t="shared" si="39"/>
        <v>14.440875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248</v>
      </c>
      <c r="P74" s="87"/>
      <c r="Q74" s="87"/>
      <c r="R74" s="13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3022.2300000000005</v>
      </c>
      <c r="S75" s="192"/>
      <c r="T75" s="192">
        <f>SUM(T70:T74)</f>
        <v>195.56</v>
      </c>
      <c r="U75" s="192">
        <f>SUM(U70:U74)</f>
        <v>8.4293103448275879</v>
      </c>
      <c r="V75" s="192">
        <f t="shared" ref="V75:AA75" si="42">SUM(V70:V74)</f>
        <v>22.666725</v>
      </c>
      <c r="W75" s="192">
        <f t="shared" si="42"/>
        <v>0</v>
      </c>
      <c r="X75" s="192">
        <f t="shared" si="42"/>
        <v>4.8890000000000002</v>
      </c>
      <c r="Y75" s="192">
        <f t="shared" si="42"/>
        <v>2999.563275</v>
      </c>
      <c r="Z75" s="192">
        <f t="shared" si="42"/>
        <v>0</v>
      </c>
      <c r="AA75" s="193">
        <f t="shared" si="42"/>
        <v>182.24168965517242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>
        <f>203.43+126.1</f>
        <v>329.53</v>
      </c>
      <c r="R78" s="82">
        <v>7.4999999999999997E-3</v>
      </c>
      <c r="S78" s="194">
        <f>+(P78+Q78)*R78</f>
        <v>2.4714749999999999</v>
      </c>
      <c r="T78" s="254">
        <f>+(P78+Q78)-S78</f>
        <v>327.05852499999997</v>
      </c>
      <c r="U78" s="211">
        <f>69.43+16.68</f>
        <v>86.110000000000014</v>
      </c>
      <c r="V78" s="112"/>
      <c r="W78" s="113">
        <v>1.4999999999999999E-2</v>
      </c>
      <c r="X78" s="196">
        <f>+(U78+V78)*W78</f>
        <v>1.2916500000000002</v>
      </c>
      <c r="Y78" s="254">
        <f>+(U78+V78)-X78</f>
        <v>84.818350000000009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>
        <f>194.49+165.47</f>
        <v>359.96000000000004</v>
      </c>
      <c r="R79" s="82">
        <v>7.4999999999999997E-3</v>
      </c>
      <c r="S79" s="194">
        <f t="shared" ref="S79:S97" si="44">+(P79+Q79)*R79</f>
        <v>2.6997</v>
      </c>
      <c r="T79" s="254">
        <f t="shared" ref="T79:T97" si="45">+(P79+Q79)-S79</f>
        <v>357.26030000000003</v>
      </c>
      <c r="U79" s="211">
        <f>41.1</f>
        <v>41.1</v>
      </c>
      <c r="V79" s="112"/>
      <c r="W79" s="113">
        <v>1.4999999999999999E-2</v>
      </c>
      <c r="X79" s="196">
        <f t="shared" ref="X79:X97" si="46">+(U79+V79)*W79</f>
        <v>0.61650000000000005</v>
      </c>
      <c r="Y79" s="254">
        <f t="shared" ref="Y79:Y97" si="47">+(U79+V79)-X79</f>
        <v>40.483499999999999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>
        <f>57.64+21.95+20.42</f>
        <v>100.01</v>
      </c>
      <c r="R80" s="82">
        <v>7.4999999999999997E-3</v>
      </c>
      <c r="S80" s="194">
        <f t="shared" si="44"/>
        <v>0.75007500000000005</v>
      </c>
      <c r="T80" s="219">
        <f t="shared" si="45"/>
        <v>99.25992500000001</v>
      </c>
      <c r="U80" s="211">
        <f>103.41</f>
        <v>103.41</v>
      </c>
      <c r="V80" s="112"/>
      <c r="W80" s="113">
        <v>1.4999999999999999E-2</v>
      </c>
      <c r="X80" s="196">
        <f t="shared" si="46"/>
        <v>1.5511499999999998</v>
      </c>
      <c r="Y80" s="254">
        <f t="shared" si="47"/>
        <v>101.85884999999999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9</v>
      </c>
      <c r="O81" s="87" t="s">
        <v>110</v>
      </c>
      <c r="P81" s="87"/>
      <c r="Q81" s="87">
        <f>113.77+84.55</f>
        <v>198.32</v>
      </c>
      <c r="R81" s="82">
        <v>7.4999999999999997E-3</v>
      </c>
      <c r="S81" s="194">
        <f t="shared" si="44"/>
        <v>1.4873999999999998</v>
      </c>
      <c r="T81" s="219">
        <f t="shared" si="45"/>
        <v>196.83259999999999</v>
      </c>
      <c r="U81" s="211">
        <v>232.22</v>
      </c>
      <c r="V81" s="112"/>
      <c r="W81" s="113">
        <v>1.4999999999999999E-2</v>
      </c>
      <c r="X81" s="196">
        <f t="shared" si="46"/>
        <v>3.4832999999999998</v>
      </c>
      <c r="Y81" s="254">
        <f t="shared" si="47"/>
        <v>228.73669999999998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5"/>
        <v>0</v>
      </c>
      <c r="U82" s="112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>+(P84+Q84)-S84</f>
        <v>0</v>
      </c>
      <c r="U84" s="112"/>
      <c r="V84" s="112"/>
      <c r="W84" s="113">
        <v>1.4999999999999999E-2</v>
      </c>
      <c r="X84" s="196">
        <f t="shared" si="46"/>
        <v>0</v>
      </c>
      <c r="Y84" s="217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17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9">
        <f t="shared" si="45"/>
        <v>0</v>
      </c>
      <c r="U86" s="211"/>
      <c r="V86" s="112"/>
      <c r="W86" s="113">
        <v>1.4999999999999999E-2</v>
      </c>
      <c r="X86" s="196">
        <f t="shared" si="46"/>
        <v>0</v>
      </c>
      <c r="Y86" s="217">
        <f>+(U86+V86)-X86</f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987.81999999999994</v>
      </c>
      <c r="R98" s="111"/>
      <c r="S98" s="195">
        <f>SUM(S78:S97)</f>
        <v>7.4086499999999997</v>
      </c>
      <c r="T98" s="195">
        <f>SUM(T78:T97)</f>
        <v>980.41135000000008</v>
      </c>
      <c r="U98" s="114">
        <f>SUM(U78:U97)</f>
        <v>462.84000000000003</v>
      </c>
      <c r="V98" s="114">
        <f>SUM(V78:V97)</f>
        <v>0</v>
      </c>
      <c r="W98" s="112"/>
      <c r="X98" s="197">
        <f>SUM(X78:X97)</f>
        <v>6.9425999999999997</v>
      </c>
      <c r="Y98" s="197">
        <f>SUM(Y78:Y97)</f>
        <v>455.89739999999995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415.64</v>
      </c>
    </row>
    <row r="101" spans="14:30" x14ac:dyDescent="0.25">
      <c r="N101" s="85"/>
      <c r="R101" s="215">
        <f t="shared" ref="R101:R105" si="51">P79+Q79+U79</f>
        <v>401.06000000000006</v>
      </c>
    </row>
    <row r="102" spans="14:30" x14ac:dyDescent="0.25">
      <c r="N102" s="85"/>
      <c r="R102" s="215">
        <f>P80+Q80+U80</f>
        <v>203.42000000000002</v>
      </c>
    </row>
    <row r="103" spans="14:30" x14ac:dyDescent="0.25">
      <c r="N103" s="85"/>
      <c r="R103" s="215">
        <f>P81+Q81+U81</f>
        <v>430.53999999999996</v>
      </c>
    </row>
    <row r="104" spans="14:30" x14ac:dyDescent="0.25">
      <c r="N104" s="85"/>
      <c r="R104" s="215">
        <f t="shared" si="51"/>
        <v>0</v>
      </c>
    </row>
    <row r="105" spans="14:30" x14ac:dyDescent="0.25">
      <c r="N105" s="85"/>
      <c r="R105" s="218">
        <f t="shared" si="51"/>
        <v>0</v>
      </c>
    </row>
    <row r="106" spans="14:30" x14ac:dyDescent="0.25">
      <c r="N106" s="85"/>
      <c r="R106" s="246">
        <f>P84+Q84+U84</f>
        <v>0</v>
      </c>
    </row>
    <row r="107" spans="14:30" x14ac:dyDescent="0.25">
      <c r="N107" s="85"/>
      <c r="R107" s="241">
        <f>P85+Q85+U85</f>
        <v>0</v>
      </c>
    </row>
    <row r="108" spans="14:30" x14ac:dyDescent="0.25">
      <c r="N108" s="85"/>
      <c r="R108" s="233">
        <f>P86+Q86+U86</f>
        <v>0</v>
      </c>
    </row>
    <row r="109" spans="14:30" x14ac:dyDescent="0.25">
      <c r="N109" s="85"/>
      <c r="R109" s="84">
        <f>P87+Q87+U87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3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5.78</v>
      </c>
    </row>
    <row r="9" spans="1:28" x14ac:dyDescent="0.25">
      <c r="A9" s="7" t="s">
        <v>76</v>
      </c>
      <c r="B9" s="108">
        <v>5.75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1715.5</v>
      </c>
      <c r="C12" s="15"/>
      <c r="D12" s="56"/>
      <c r="E12" s="16"/>
      <c r="F12" s="56"/>
      <c r="G12" s="56"/>
      <c r="H12" s="17"/>
      <c r="I12" s="83">
        <v>1715.5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182</v>
      </c>
      <c r="Q12" s="158">
        <v>11</v>
      </c>
      <c r="R12" s="159">
        <v>1315.91</v>
      </c>
      <c r="S12" s="160"/>
      <c r="T12" s="160"/>
      <c r="U12" s="189">
        <f>((T12/U$10)*U$9)</f>
        <v>0</v>
      </c>
      <c r="V12" s="189">
        <f>R12*V$10</f>
        <v>9.8693249999999999</v>
      </c>
      <c r="W12" s="189">
        <f>+S12*V$10</f>
        <v>0</v>
      </c>
      <c r="X12" s="189">
        <f>+T12*X$10</f>
        <v>0</v>
      </c>
      <c r="Y12" s="189">
        <f>R12-V12</f>
        <v>1306.0406750000002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1244</v>
      </c>
      <c r="C13" s="15"/>
      <c r="D13" s="56"/>
      <c r="E13" s="16"/>
      <c r="F13" s="56"/>
      <c r="G13" s="56"/>
      <c r="H13" s="17"/>
      <c r="I13" s="83">
        <v>1244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563</v>
      </c>
      <c r="Q13" s="158">
        <v>2</v>
      </c>
      <c r="R13" s="159">
        <v>647.58000000000004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4.8568500000000006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642.72315000000003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7090.8</v>
      </c>
      <c r="C14" s="15"/>
      <c r="D14" s="56"/>
      <c r="E14" s="16"/>
      <c r="F14" s="56"/>
      <c r="G14" s="56"/>
      <c r="H14" s="17"/>
      <c r="I14" s="83">
        <v>7090.8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564</v>
      </c>
      <c r="Q14" s="158">
        <v>2</v>
      </c>
      <c r="R14" s="159">
        <v>1853.22</v>
      </c>
      <c r="S14" s="160"/>
      <c r="T14" s="161"/>
      <c r="U14" s="189">
        <f t="shared" si="2"/>
        <v>0</v>
      </c>
      <c r="V14" s="189">
        <f t="shared" si="3"/>
        <v>13.899150000000001</v>
      </c>
      <c r="W14" s="189">
        <f t="shared" si="4"/>
        <v>0</v>
      </c>
      <c r="X14" s="189">
        <f t="shared" si="5"/>
        <v>0</v>
      </c>
      <c r="Y14" s="189">
        <f t="shared" si="6"/>
        <v>1839.3208500000001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545</v>
      </c>
      <c r="Q15" s="158">
        <v>4</v>
      </c>
      <c r="R15" s="159">
        <v>1792.1</v>
      </c>
      <c r="S15" s="160"/>
      <c r="T15" s="161">
        <v>14.54</v>
      </c>
      <c r="U15" s="189">
        <f t="shared" si="2"/>
        <v>0.62672413793103454</v>
      </c>
      <c r="V15" s="189">
        <f t="shared" si="3"/>
        <v>13.44075</v>
      </c>
      <c r="W15" s="189">
        <f t="shared" si="4"/>
        <v>0</v>
      </c>
      <c r="X15" s="189">
        <f t="shared" si="5"/>
        <v>0.36349999999999999</v>
      </c>
      <c r="Y15" s="189">
        <f t="shared" si="6"/>
        <v>1778.6592499999999</v>
      </c>
      <c r="Z15" s="189">
        <f t="shared" si="6"/>
        <v>0</v>
      </c>
      <c r="AA15" s="189">
        <f t="shared" si="7"/>
        <v>13.549775862068964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195</v>
      </c>
      <c r="Q16" s="158">
        <v>10</v>
      </c>
      <c r="R16" s="159">
        <v>292.87</v>
      </c>
      <c r="S16" s="160"/>
      <c r="T16" s="161">
        <v>11.13</v>
      </c>
      <c r="U16" s="189">
        <f t="shared" si="2"/>
        <v>0.47974137931034494</v>
      </c>
      <c r="V16" s="189">
        <f t="shared" si="3"/>
        <v>2.1965249999999998</v>
      </c>
      <c r="W16" s="189">
        <f t="shared" si="4"/>
        <v>0</v>
      </c>
      <c r="X16" s="189">
        <f t="shared" si="5"/>
        <v>0.27825000000000005</v>
      </c>
      <c r="Y16" s="189">
        <f t="shared" si="6"/>
        <v>290.673475</v>
      </c>
      <c r="Z16" s="189">
        <f t="shared" si="6"/>
        <v>0</v>
      </c>
      <c r="AA16" s="189">
        <f t="shared" si="7"/>
        <v>10.372008620689655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196</v>
      </c>
      <c r="Q17" s="158">
        <v>10</v>
      </c>
      <c r="R17" s="159">
        <v>812.66</v>
      </c>
      <c r="S17" s="160"/>
      <c r="T17" s="161">
        <v>10.85</v>
      </c>
      <c r="U17" s="189">
        <f t="shared" si="2"/>
        <v>0.46767241379310348</v>
      </c>
      <c r="V17" s="189">
        <f t="shared" si="3"/>
        <v>6.0949499999999999</v>
      </c>
      <c r="W17" s="189">
        <f t="shared" si="4"/>
        <v>0</v>
      </c>
      <c r="X17" s="189">
        <f t="shared" si="5"/>
        <v>0.27124999999999999</v>
      </c>
      <c r="Y17" s="189">
        <f t="shared" si="6"/>
        <v>806.56504999999993</v>
      </c>
      <c r="Z17" s="189">
        <f t="shared" si="6"/>
        <v>0</v>
      </c>
      <c r="AA17" s="189">
        <f t="shared" si="7"/>
        <v>10.111077586206896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629</v>
      </c>
      <c r="Q18" s="158">
        <v>18</v>
      </c>
      <c r="R18" s="159">
        <v>226.88</v>
      </c>
      <c r="S18" s="160"/>
      <c r="T18" s="161"/>
      <c r="U18" s="189">
        <f t="shared" si="2"/>
        <v>0</v>
      </c>
      <c r="V18" s="189">
        <f t="shared" si="3"/>
        <v>1.7016</v>
      </c>
      <c r="W18" s="189">
        <f t="shared" si="4"/>
        <v>0</v>
      </c>
      <c r="X18" s="189">
        <f t="shared" si="5"/>
        <v>0</v>
      </c>
      <c r="Y18" s="189">
        <f t="shared" si="6"/>
        <v>225.17839999999998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1244</v>
      </c>
      <c r="C19" s="95"/>
      <c r="D19" s="94"/>
      <c r="E19" s="96"/>
      <c r="F19" s="94"/>
      <c r="G19" s="94"/>
      <c r="H19" s="98"/>
      <c r="I19" s="99">
        <v>1244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630</v>
      </c>
      <c r="Q19" s="158">
        <v>18</v>
      </c>
      <c r="R19" s="159">
        <v>586.86</v>
      </c>
      <c r="S19" s="160"/>
      <c r="T19" s="161">
        <v>46.59</v>
      </c>
      <c r="U19" s="189">
        <f t="shared" si="2"/>
        <v>2.0081896551724143</v>
      </c>
      <c r="V19" s="189">
        <f t="shared" si="3"/>
        <v>4.4014499999999996</v>
      </c>
      <c r="W19" s="189">
        <f t="shared" si="4"/>
        <v>0</v>
      </c>
      <c r="X19" s="189">
        <f t="shared" si="5"/>
        <v>1.1647500000000002</v>
      </c>
      <c r="Y19" s="189">
        <f t="shared" si="6"/>
        <v>582.45855000000006</v>
      </c>
      <c r="Z19" s="189">
        <f t="shared" si="6"/>
        <v>0</v>
      </c>
      <c r="AA19" s="189">
        <f t="shared" si="7"/>
        <v>43.41706034482759</v>
      </c>
      <c r="AB19" s="156"/>
    </row>
    <row r="20" spans="1:28" ht="15.75" x14ac:dyDescent="0.25">
      <c r="A20" s="93" t="s">
        <v>80</v>
      </c>
      <c r="B20" s="97">
        <f>+B14+B16+B18</f>
        <v>7090.8</v>
      </c>
      <c r="C20" s="95"/>
      <c r="D20" s="94"/>
      <c r="E20" s="96"/>
      <c r="F20" s="94"/>
      <c r="G20" s="94"/>
      <c r="H20" s="98"/>
      <c r="I20" s="99">
        <v>7090.8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100</v>
      </c>
      <c r="C21" s="100"/>
      <c r="D21" s="66"/>
      <c r="E21" s="67"/>
      <c r="F21" s="66"/>
      <c r="G21" s="66"/>
      <c r="H21" s="102"/>
      <c r="I21" s="79">
        <v>100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578</v>
      </c>
      <c r="C22" s="100"/>
      <c r="D22" s="66"/>
      <c r="E22" s="67"/>
      <c r="F22" s="66"/>
      <c r="G22" s="66"/>
      <c r="H22" s="102"/>
      <c r="I22" s="79">
        <v>578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100</v>
      </c>
      <c r="C27" s="95"/>
      <c r="D27" s="94"/>
      <c r="E27" s="96"/>
      <c r="F27" s="94"/>
      <c r="G27" s="94"/>
      <c r="H27" s="98"/>
      <c r="I27" s="99">
        <v>100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578</v>
      </c>
      <c r="C28" s="95"/>
      <c r="D28" s="94"/>
      <c r="E28" s="96"/>
      <c r="F28" s="94"/>
      <c r="G28" s="94"/>
      <c r="H28" s="98"/>
      <c r="I28" s="99">
        <v>578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26.04</v>
      </c>
      <c r="C29" s="100"/>
      <c r="D29" s="66"/>
      <c r="E29" s="67"/>
      <c r="F29" s="66"/>
      <c r="G29" s="66"/>
      <c r="H29" s="102"/>
      <c r="I29" s="79">
        <v>26.04</v>
      </c>
      <c r="J29" s="81">
        <f t="shared" si="0"/>
        <v>0</v>
      </c>
      <c r="K29" s="80">
        <f>7.2+18.84</f>
        <v>26.04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148.428</v>
      </c>
      <c r="C30" s="100"/>
      <c r="D30" s="66"/>
      <c r="E30" s="67"/>
      <c r="F30" s="66"/>
      <c r="G30" s="66"/>
      <c r="H30" s="102"/>
      <c r="I30" s="79">
        <v>148.43</v>
      </c>
      <c r="J30" s="81">
        <f t="shared" si="0"/>
        <v>-2.0000000000095497E-3</v>
      </c>
      <c r="K30" s="80">
        <v>148.43</v>
      </c>
      <c r="L30" s="186">
        <f>K30-B30</f>
        <v>2.0000000000095497E-3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26.04</v>
      </c>
      <c r="C35" s="95"/>
      <c r="D35" s="94"/>
      <c r="E35" s="96"/>
      <c r="F35" s="94"/>
      <c r="G35" s="94"/>
      <c r="H35" s="98"/>
      <c r="I35" s="99">
        <v>26.04</v>
      </c>
      <c r="J35" s="185">
        <f t="shared" si="0"/>
        <v>0</v>
      </c>
      <c r="K35" s="99">
        <f>18.84+7.2</f>
        <v>26.04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148.428</v>
      </c>
      <c r="C36" s="95"/>
      <c r="D36" s="94"/>
      <c r="E36" s="96"/>
      <c r="F36" s="94"/>
      <c r="G36" s="94"/>
      <c r="H36" s="98"/>
      <c r="I36" s="99">
        <v>148.43</v>
      </c>
      <c r="J36" s="185">
        <f t="shared" si="0"/>
        <v>-2.0000000000095497E-3</v>
      </c>
      <c r="K36" s="99">
        <v>148.43</v>
      </c>
      <c r="L36" s="187">
        <f t="shared" si="8"/>
        <v>2.0000000000095497E-3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35.340000000000003</v>
      </c>
      <c r="C37" s="100"/>
      <c r="D37" s="66"/>
      <c r="E37" s="67"/>
      <c r="F37" s="66"/>
      <c r="G37" s="66"/>
      <c r="H37" s="102"/>
      <c r="I37" s="79">
        <v>35.340000000000003</v>
      </c>
      <c r="J37" s="81">
        <f t="shared" si="0"/>
        <v>0</v>
      </c>
      <c r="K37" s="80">
        <v>35.340000000000003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201.43800000000002</v>
      </c>
      <c r="C38" s="100"/>
      <c r="D38" s="66"/>
      <c r="E38" s="67"/>
      <c r="F38" s="66"/>
      <c r="G38" s="66"/>
      <c r="H38" s="102"/>
      <c r="I38" s="79">
        <v>201.44</v>
      </c>
      <c r="J38" s="81">
        <f t="shared" si="0"/>
        <v>-1.999999999981128E-3</v>
      </c>
      <c r="K38" s="80">
        <v>201.44</v>
      </c>
      <c r="L38" s="186">
        <f t="shared" si="8"/>
        <v>1.999999999981128E-3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7528.079999999999</v>
      </c>
      <c r="S42" s="190">
        <f t="shared" si="9"/>
        <v>0</v>
      </c>
      <c r="T42" s="190">
        <f t="shared" si="9"/>
        <v>83.110000000000014</v>
      </c>
      <c r="U42" s="190">
        <f t="shared" si="9"/>
        <v>3.5823275862068975</v>
      </c>
      <c r="V42" s="190">
        <f t="shared" si="9"/>
        <v>56.460599999999999</v>
      </c>
      <c r="W42" s="190">
        <f t="shared" si="9"/>
        <v>0</v>
      </c>
      <c r="X42" s="190">
        <f t="shared" si="9"/>
        <v>2.07775</v>
      </c>
      <c r="Y42" s="190">
        <f t="shared" si="9"/>
        <v>7471.6193999999996</v>
      </c>
      <c r="Z42" s="190">
        <f t="shared" si="9"/>
        <v>0</v>
      </c>
      <c r="AA42" s="190">
        <f t="shared" si="9"/>
        <v>77.449922413793104</v>
      </c>
      <c r="AB42" s="166"/>
    </row>
    <row r="43" spans="1:28" ht="15.75" x14ac:dyDescent="0.25">
      <c r="A43" s="93" t="s">
        <v>101</v>
      </c>
      <c r="B43" s="97">
        <f>+B37+B39+B41</f>
        <v>35.340000000000003</v>
      </c>
      <c r="C43" s="95"/>
      <c r="D43" s="94"/>
      <c r="E43" s="96"/>
      <c r="F43" s="94"/>
      <c r="G43" s="94"/>
      <c r="H43" s="98"/>
      <c r="I43" s="99">
        <v>35.340000000000003</v>
      </c>
      <c r="J43" s="185">
        <f t="shared" si="0"/>
        <v>0</v>
      </c>
      <c r="K43" s="99">
        <v>35.340000000000003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201.43800000000002</v>
      </c>
      <c r="C44" s="95"/>
      <c r="D44" s="94"/>
      <c r="E44" s="96"/>
      <c r="F44" s="94"/>
      <c r="G44" s="94"/>
      <c r="H44" s="98"/>
      <c r="I44" s="99">
        <v>201.44</v>
      </c>
      <c r="J44" s="185">
        <f t="shared" si="0"/>
        <v>-1.999999999981128E-3</v>
      </c>
      <c r="K44" s="99">
        <v>201.44</v>
      </c>
      <c r="L44" s="187">
        <f>K44-B44</f>
        <v>1.999999999981128E-3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7528.079999999999</v>
      </c>
      <c r="C46" s="116">
        <v>7.4999999999999997E-3</v>
      </c>
      <c r="D46" s="117">
        <f>B46*C46</f>
        <v>56.460599999999992</v>
      </c>
      <c r="E46" s="172">
        <v>0</v>
      </c>
      <c r="F46" s="117">
        <f t="shared" ref="F46:F50" si="16">D46*E46</f>
        <v>0</v>
      </c>
      <c r="G46" s="117">
        <f t="shared" ref="G46:G51" si="17">B46-D46-F46</f>
        <v>7471.6193999999987</v>
      </c>
      <c r="H46" s="173">
        <f>B$6+1</f>
        <v>44761</v>
      </c>
      <c r="I46" s="174">
        <v>7528.08</v>
      </c>
      <c r="J46" s="81">
        <f t="shared" si="0"/>
        <v>0</v>
      </c>
      <c r="K46" s="80">
        <v>7528.45</v>
      </c>
      <c r="L46" s="186">
        <f>K46-G46</f>
        <v>56.830600000001141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228.55</v>
      </c>
      <c r="C48" s="116">
        <v>7.4999999999999997E-3</v>
      </c>
      <c r="D48" s="117">
        <f t="shared" si="18"/>
        <v>1.7141250000000001</v>
      </c>
      <c r="E48" s="172">
        <v>0</v>
      </c>
      <c r="F48" s="117">
        <f t="shared" si="16"/>
        <v>0</v>
      </c>
      <c r="G48" s="117">
        <f t="shared" si="17"/>
        <v>226.83587500000002</v>
      </c>
      <c r="H48" s="173">
        <f t="shared" ref="H48:H61" si="20">B$6+1</f>
        <v>44761</v>
      </c>
      <c r="I48" s="176">
        <v>228.55</v>
      </c>
      <c r="J48" s="81">
        <f t="shared" si="0"/>
        <v>0</v>
      </c>
      <c r="K48" s="80"/>
      <c r="L48" s="186">
        <f t="shared" si="19"/>
        <v>226.83587500000002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211</v>
      </c>
      <c r="B49" s="117">
        <f>R75</f>
        <v>3181.6</v>
      </c>
      <c r="C49" s="116">
        <v>7.4999999999999997E-3</v>
      </c>
      <c r="D49" s="117">
        <f t="shared" si="18"/>
        <v>23.861999999999998</v>
      </c>
      <c r="E49" s="172">
        <v>0</v>
      </c>
      <c r="F49" s="117">
        <f t="shared" si="16"/>
        <v>0</v>
      </c>
      <c r="G49" s="117">
        <f t="shared" si="17"/>
        <v>3157.7379999999998</v>
      </c>
      <c r="H49" s="173">
        <f t="shared" si="20"/>
        <v>44761</v>
      </c>
      <c r="I49" s="176">
        <v>2874.32</v>
      </c>
      <c r="J49" s="81">
        <f t="shared" si="0"/>
        <v>307.27999999999975</v>
      </c>
      <c r="K49" s="80"/>
      <c r="L49" s="186">
        <f t="shared" si="19"/>
        <v>3157.7379999999998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1146.95</v>
      </c>
      <c r="C50" s="116">
        <v>7.4999999999999997E-3</v>
      </c>
      <c r="D50" s="117">
        <f t="shared" si="18"/>
        <v>8.6021250000000009</v>
      </c>
      <c r="E50" s="172">
        <v>0</v>
      </c>
      <c r="F50" s="117">
        <f t="shared" si="16"/>
        <v>0</v>
      </c>
      <c r="G50" s="117">
        <f t="shared" si="17"/>
        <v>1138.3478749999999</v>
      </c>
      <c r="H50" s="173">
        <f t="shared" si="20"/>
        <v>44761</v>
      </c>
      <c r="I50" s="175">
        <f>1410.64</f>
        <v>1410.64</v>
      </c>
      <c r="J50" s="81">
        <f t="shared" si="0"/>
        <v>-263.69000000000005</v>
      </c>
      <c r="K50" s="80">
        <v>1138.3499999999999</v>
      </c>
      <c r="L50" s="186">
        <f t="shared" si="19"/>
        <v>-2.1249999999781721E-3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206.07999999999998</v>
      </c>
      <c r="C51" s="116">
        <v>1.4999999999999999E-2</v>
      </c>
      <c r="D51" s="117">
        <f>+B51*C51</f>
        <v>3.0911999999999997</v>
      </c>
      <c r="E51" s="172">
        <v>0</v>
      </c>
      <c r="F51" s="117">
        <f>D51*E51</f>
        <v>0</v>
      </c>
      <c r="G51" s="117">
        <f t="shared" si="17"/>
        <v>202.9888</v>
      </c>
      <c r="H51" s="173">
        <f t="shared" si="20"/>
        <v>44761</v>
      </c>
      <c r="I51" s="175"/>
      <c r="J51" s="81">
        <f t="shared" si="0"/>
        <v>206.07999999999998</v>
      </c>
      <c r="K51" s="80">
        <v>202.99</v>
      </c>
      <c r="L51" s="186">
        <f t="shared" si="19"/>
        <v>-1.2000000000114142E-3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83.110000000000014</v>
      </c>
      <c r="C52" s="116">
        <v>2.5000000000000001E-2</v>
      </c>
      <c r="D52" s="117">
        <f>B52*C52</f>
        <v>2.0777500000000004</v>
      </c>
      <c r="E52" s="172">
        <v>0.05</v>
      </c>
      <c r="F52" s="117">
        <f>(B52/E$10)*E52</f>
        <v>3.5823275862068975</v>
      </c>
      <c r="G52" s="117">
        <f>B52-D52-F52</f>
        <v>77.449922413793118</v>
      </c>
      <c r="H52" s="188">
        <f t="shared" si="20"/>
        <v>44761</v>
      </c>
      <c r="I52" s="176">
        <v>83.11</v>
      </c>
      <c r="J52" s="81">
        <f t="shared" si="0"/>
        <v>0</v>
      </c>
      <c r="K52" s="80">
        <v>23.92</v>
      </c>
      <c r="L52" s="186">
        <f>K52-G52</f>
        <v>-53.529922413793116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44761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44761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44761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74.599999999999994</v>
      </c>
      <c r="C56" s="116">
        <v>2.5000000000000001E-2</v>
      </c>
      <c r="D56" s="117">
        <f t="shared" si="21"/>
        <v>1.865</v>
      </c>
      <c r="E56" s="172">
        <v>0.05</v>
      </c>
      <c r="F56" s="117">
        <f t="shared" si="22"/>
        <v>3.2155172413793105</v>
      </c>
      <c r="G56" s="117">
        <f t="shared" si="23"/>
        <v>69.519482758620683</v>
      </c>
      <c r="H56" s="173">
        <f t="shared" si="20"/>
        <v>44761</v>
      </c>
      <c r="I56" s="176">
        <v>74.599999999999994</v>
      </c>
      <c r="J56" s="81">
        <f t="shared" si="0"/>
        <v>0</v>
      </c>
      <c r="K56" s="80"/>
      <c r="L56" s="186">
        <f t="shared" si="19"/>
        <v>69.519482758620683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97.672799999999981</v>
      </c>
      <c r="E61" s="177"/>
      <c r="F61" s="57">
        <f>SUM(F46:F58)</f>
        <v>6.797844827586208</v>
      </c>
      <c r="G61" s="57">
        <f>SUM(G46:G58)</f>
        <v>12344.499355172409</v>
      </c>
      <c r="H61" s="173">
        <f t="shared" si="20"/>
        <v>44761</v>
      </c>
      <c r="I61" s="175"/>
      <c r="J61" s="81">
        <f t="shared" si="0"/>
        <v>0</v>
      </c>
      <c r="K61" s="80"/>
      <c r="L61" s="186">
        <f t="shared" si="19"/>
        <v>12344.499355172409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305</v>
      </c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305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253</v>
      </c>
      <c r="B63" s="144">
        <v>18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24688.998710344818</v>
      </c>
      <c r="H64" s="184"/>
      <c r="I64" s="175"/>
      <c r="J64" s="81">
        <f t="shared" si="0"/>
        <v>0</v>
      </c>
      <c r="K64" s="80"/>
      <c r="L64" s="186">
        <f t="shared" si="19"/>
        <v>24688.998710344818</v>
      </c>
      <c r="M64" s="130"/>
      <c r="N64" s="87">
        <v>1</v>
      </c>
      <c r="O64" s="122" t="s">
        <v>254</v>
      </c>
      <c r="P64" s="225"/>
      <c r="Q64" s="225"/>
      <c r="R64" s="225">
        <v>11.24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8.43E-2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11.1557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21860.135999999999</v>
      </c>
      <c r="G65" s="22"/>
      <c r="L65" s="132"/>
      <c r="M65" s="131"/>
      <c r="N65" s="87">
        <v>2</v>
      </c>
      <c r="O65" s="122" t="s">
        <v>221</v>
      </c>
      <c r="P65" s="225"/>
      <c r="Q65" s="225"/>
      <c r="R65" s="225">
        <v>30</v>
      </c>
      <c r="S65" s="225"/>
      <c r="T65" s="87"/>
      <c r="U65" s="189">
        <f t="shared" si="28"/>
        <v>0</v>
      </c>
      <c r="V65" s="189">
        <f t="shared" si="29"/>
        <v>0.22499999999999998</v>
      </c>
      <c r="W65" s="189">
        <f t="shared" si="30"/>
        <v>0</v>
      </c>
      <c r="X65" s="189">
        <f t="shared" si="31"/>
        <v>0</v>
      </c>
      <c r="Y65" s="189">
        <f t="shared" si="32"/>
        <v>29.774999999999999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221</v>
      </c>
      <c r="P66" s="225"/>
      <c r="Q66" s="225"/>
      <c r="R66" s="225">
        <v>58.13</v>
      </c>
      <c r="S66" s="225"/>
      <c r="T66" s="87"/>
      <c r="U66" s="189">
        <f t="shared" si="28"/>
        <v>0</v>
      </c>
      <c r="V66" s="189">
        <f t="shared" si="29"/>
        <v>0.435975</v>
      </c>
      <c r="W66" s="189">
        <f t="shared" si="30"/>
        <v>0</v>
      </c>
      <c r="X66" s="189">
        <f t="shared" si="31"/>
        <v>0</v>
      </c>
      <c r="Y66" s="189">
        <f t="shared" si="32"/>
        <v>57.694025000000003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221</v>
      </c>
      <c r="P67" s="87"/>
      <c r="Q67" s="225"/>
      <c r="R67" s="225">
        <v>42.85</v>
      </c>
      <c r="S67" s="225"/>
      <c r="T67" s="87"/>
      <c r="U67" s="189">
        <f t="shared" si="28"/>
        <v>0</v>
      </c>
      <c r="V67" s="189">
        <f t="shared" si="29"/>
        <v>0.32137500000000002</v>
      </c>
      <c r="W67" s="189">
        <f t="shared" si="30"/>
        <v>0</v>
      </c>
      <c r="X67" s="189">
        <f t="shared" si="31"/>
        <v>0</v>
      </c>
      <c r="Y67" s="189">
        <f t="shared" si="32"/>
        <v>42.528624999999998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21858.13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221</v>
      </c>
      <c r="P68" s="87"/>
      <c r="Q68" s="225"/>
      <c r="R68" s="225">
        <v>86.33</v>
      </c>
      <c r="S68" s="225"/>
      <c r="T68" s="87"/>
      <c r="U68" s="189">
        <f t="shared" si="28"/>
        <v>0</v>
      </c>
      <c r="V68" s="189">
        <f t="shared" si="29"/>
        <v>0.64747499999999991</v>
      </c>
      <c r="W68" s="189">
        <f t="shared" si="30"/>
        <v>0</v>
      </c>
      <c r="X68" s="189">
        <f t="shared" si="31"/>
        <v>0</v>
      </c>
      <c r="Y68" s="189">
        <f t="shared" si="32"/>
        <v>85.682524999999998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22070.98</v>
      </c>
      <c r="C69" s="59"/>
      <c r="F69" s="87" t="s">
        <v>127</v>
      </c>
      <c r="G69" s="22"/>
      <c r="H69" s="89"/>
      <c r="I69" s="136"/>
      <c r="J69" s="136">
        <f>K52</f>
        <v>23.92</v>
      </c>
      <c r="N69" s="312" t="s">
        <v>108</v>
      </c>
      <c r="O69" s="312"/>
      <c r="P69" s="313"/>
      <c r="Q69" s="313"/>
      <c r="R69" s="192">
        <f>SUM(R64:R68)</f>
        <v>228.55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1.7141249999999997</v>
      </c>
      <c r="W69" s="192">
        <f t="shared" si="34"/>
        <v>0</v>
      </c>
      <c r="X69" s="192">
        <f t="shared" si="34"/>
        <v>0</v>
      </c>
      <c r="Y69" s="192">
        <f t="shared" si="34"/>
        <v>226.83587500000002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-212.84999999999854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87" t="s">
        <v>257</v>
      </c>
      <c r="Q70" s="87">
        <v>2001</v>
      </c>
      <c r="R70" s="236">
        <v>1584.11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11.880824999999998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1572.2291749999999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-210.84400000000096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23.92</v>
      </c>
      <c r="N71" s="87">
        <v>2</v>
      </c>
      <c r="O71" s="122" t="s">
        <v>215</v>
      </c>
      <c r="P71" s="87">
        <v>162</v>
      </c>
      <c r="Q71" s="87">
        <v>2001</v>
      </c>
      <c r="R71" s="236">
        <v>969.7</v>
      </c>
      <c r="S71" s="87"/>
      <c r="T71" s="87"/>
      <c r="U71" s="189">
        <f t="shared" si="35"/>
        <v>0</v>
      </c>
      <c r="V71" s="189">
        <f t="shared" si="36"/>
        <v>7.2727500000000003</v>
      </c>
      <c r="W71" s="189">
        <f t="shared" si="37"/>
        <v>0</v>
      </c>
      <c r="X71" s="189">
        <f t="shared" si="38"/>
        <v>0</v>
      </c>
      <c r="Y71" s="189">
        <f t="shared" si="39"/>
        <v>962.42725000000007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87">
        <v>2</v>
      </c>
      <c r="Q72" s="87">
        <v>1001</v>
      </c>
      <c r="R72" s="137">
        <v>15.47</v>
      </c>
      <c r="S72" s="87"/>
      <c r="T72" s="240">
        <v>28.88</v>
      </c>
      <c r="U72" s="189">
        <f t="shared" si="35"/>
        <v>1.2448275862068967</v>
      </c>
      <c r="V72" s="189">
        <f t="shared" si="36"/>
        <v>0.116025</v>
      </c>
      <c r="W72" s="189">
        <f t="shared" si="37"/>
        <v>0</v>
      </c>
      <c r="X72" s="189">
        <f t="shared" si="38"/>
        <v>0.72199999999999998</v>
      </c>
      <c r="Y72" s="189">
        <f t="shared" si="39"/>
        <v>15.353975</v>
      </c>
      <c r="Z72" s="189">
        <f t="shared" si="39"/>
        <v>0</v>
      </c>
      <c r="AA72" s="189">
        <f t="shared" si="40"/>
        <v>26.913172413793102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215</v>
      </c>
      <c r="P73" s="87">
        <v>168</v>
      </c>
      <c r="Q73" s="87">
        <v>2001</v>
      </c>
      <c r="R73" s="236">
        <v>307.32</v>
      </c>
      <c r="S73" s="87"/>
      <c r="T73" s="87">
        <v>45.72</v>
      </c>
      <c r="U73" s="189">
        <f t="shared" si="35"/>
        <v>1.970689655172414</v>
      </c>
      <c r="V73" s="189">
        <f t="shared" si="36"/>
        <v>2.3048999999999999</v>
      </c>
      <c r="W73" s="189">
        <f t="shared" si="37"/>
        <v>0</v>
      </c>
      <c r="X73" s="189">
        <f t="shared" si="38"/>
        <v>1.143</v>
      </c>
      <c r="Y73" s="189">
        <f t="shared" si="39"/>
        <v>305.01510000000002</v>
      </c>
      <c r="Z73" s="189">
        <f t="shared" si="39"/>
        <v>0</v>
      </c>
      <c r="AA73" s="189">
        <f t="shared" si="40"/>
        <v>42.606310344827584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90+60+80+50+25</f>
        <v>305</v>
      </c>
      <c r="S74" s="87"/>
      <c r="T74" s="137"/>
      <c r="U74" s="189">
        <f t="shared" si="35"/>
        <v>0</v>
      </c>
      <c r="V74" s="189">
        <f t="shared" si="36"/>
        <v>2.2875000000000001</v>
      </c>
      <c r="W74" s="189">
        <f t="shared" si="37"/>
        <v>0</v>
      </c>
      <c r="X74" s="189">
        <f t="shared" si="38"/>
        <v>0</v>
      </c>
      <c r="Y74" s="189">
        <f t="shared" si="39"/>
        <v>302.71249999999998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3181.6</v>
      </c>
      <c r="S75" s="192"/>
      <c r="T75" s="192">
        <f>SUM(T70:T74)</f>
        <v>74.599999999999994</v>
      </c>
      <c r="U75" s="192">
        <f>SUM(U70:U74)</f>
        <v>3.2155172413793105</v>
      </c>
      <c r="V75" s="192">
        <f t="shared" ref="V75:AA75" si="42">SUM(V70:V74)</f>
        <v>23.861999999999998</v>
      </c>
      <c r="W75" s="192">
        <f t="shared" si="42"/>
        <v>0</v>
      </c>
      <c r="X75" s="192">
        <f t="shared" si="42"/>
        <v>1.865</v>
      </c>
      <c r="Y75" s="192">
        <f t="shared" si="42"/>
        <v>3157.7380000000003</v>
      </c>
      <c r="Z75" s="192">
        <f t="shared" si="42"/>
        <v>0</v>
      </c>
      <c r="AA75" s="193">
        <f t="shared" si="42"/>
        <v>69.519482758620683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78.25</v>
      </c>
      <c r="Q78" s="137">
        <v>39.36</v>
      </c>
      <c r="R78" s="82">
        <v>7.4999999999999997E-3</v>
      </c>
      <c r="S78" s="216">
        <f>+(P78+Q78)*R78</f>
        <v>0.88207499999999994</v>
      </c>
      <c r="T78" s="254">
        <f>+(P78+Q78)-S78</f>
        <v>116.727925</v>
      </c>
      <c r="U78" s="112">
        <v>43.74</v>
      </c>
      <c r="V78" s="112"/>
      <c r="W78" s="113">
        <v>1.4999999999999999E-2</v>
      </c>
      <c r="X78" s="217">
        <f>+(U78+V78)*W78</f>
        <v>0.65610000000000002</v>
      </c>
      <c r="Y78" s="262">
        <f>+(U78+V78)-X78</f>
        <v>43.0839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1138.3499999999999</v>
      </c>
      <c r="N79" s="87">
        <v>2</v>
      </c>
      <c r="O79" s="87" t="s">
        <v>110</v>
      </c>
      <c r="P79" s="137">
        <v>190.27</v>
      </c>
      <c r="Q79" s="137"/>
      <c r="R79" s="82">
        <v>7.4999999999999997E-3</v>
      </c>
      <c r="S79" s="216">
        <f t="shared" ref="S79:S97" si="44">+(P79+Q79)*R79</f>
        <v>1.427025</v>
      </c>
      <c r="T79" s="254">
        <f t="shared" ref="T79:T97" si="45">+(P79+Q79)-S79</f>
        <v>188.84297500000002</v>
      </c>
      <c r="U79" s="211">
        <v>36.18</v>
      </c>
      <c r="V79" s="112"/>
      <c r="W79" s="113">
        <v>1.4999999999999999E-2</v>
      </c>
      <c r="X79" s="217">
        <f t="shared" ref="X79:X97" si="46">+(U79+V79)*W79</f>
        <v>0.54269999999999996</v>
      </c>
      <c r="Y79" s="262">
        <f t="shared" ref="Y79:Y97" si="47">+(U79+V79)-X79</f>
        <v>35.637299999999996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72.14</v>
      </c>
      <c r="Q80" s="137">
        <v>3.43</v>
      </c>
      <c r="R80" s="82">
        <v>7.4999999999999997E-3</v>
      </c>
      <c r="S80" s="216">
        <f t="shared" si="44"/>
        <v>0.56677500000000003</v>
      </c>
      <c r="T80" s="254">
        <f t="shared" si="45"/>
        <v>75.003225</v>
      </c>
      <c r="U80" s="211">
        <v>1.59</v>
      </c>
      <c r="V80" s="112"/>
      <c r="W80" s="113">
        <v>1.4999999999999999E-2</v>
      </c>
      <c r="X80" s="217">
        <f t="shared" si="46"/>
        <v>2.385E-2</v>
      </c>
      <c r="Y80" s="262">
        <f t="shared" si="47"/>
        <v>1.5661500000000002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1138.3499999999999</v>
      </c>
      <c r="N81" s="87">
        <v>4</v>
      </c>
      <c r="O81" s="87" t="s">
        <v>110</v>
      </c>
      <c r="P81" s="137">
        <v>103.86</v>
      </c>
      <c r="Q81" s="137"/>
      <c r="R81" s="82">
        <v>7.4999999999999997E-3</v>
      </c>
      <c r="S81" s="216">
        <f t="shared" si="44"/>
        <v>0.77894999999999992</v>
      </c>
      <c r="T81" s="254">
        <f t="shared" si="45"/>
        <v>103.08105</v>
      </c>
      <c r="U81" s="112">
        <v>59.64</v>
      </c>
      <c r="V81" s="112"/>
      <c r="W81" s="113">
        <v>1.4999999999999999E-2</v>
      </c>
      <c r="X81" s="217">
        <f t="shared" si="46"/>
        <v>0.89459999999999995</v>
      </c>
      <c r="Y81" s="262">
        <f t="shared" si="47"/>
        <v>58.745400000000004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170.04</v>
      </c>
      <c r="Q82" s="137"/>
      <c r="R82" s="82">
        <v>7.4999999999999997E-3</v>
      </c>
      <c r="S82" s="216">
        <f t="shared" si="44"/>
        <v>1.2752999999999999</v>
      </c>
      <c r="T82" s="254">
        <f t="shared" si="45"/>
        <v>168.7647</v>
      </c>
      <c r="U82" s="211">
        <v>6.3</v>
      </c>
      <c r="V82" s="112"/>
      <c r="W82" s="113">
        <v>1.4999999999999999E-2</v>
      </c>
      <c r="X82" s="217">
        <f t="shared" si="46"/>
        <v>9.4500000000000001E-2</v>
      </c>
      <c r="Y82" s="262">
        <f t="shared" si="47"/>
        <v>6.2054999999999998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12</v>
      </c>
      <c r="R83" s="82">
        <v>7.4999999999999997E-3</v>
      </c>
      <c r="S83" s="216">
        <f t="shared" si="44"/>
        <v>0.09</v>
      </c>
      <c r="T83" s="254">
        <f t="shared" si="45"/>
        <v>11.91</v>
      </c>
      <c r="U83" s="211"/>
      <c r="V83" s="112"/>
      <c r="W83" s="113">
        <v>1.4999999999999999E-2</v>
      </c>
      <c r="X83" s="217">
        <f t="shared" si="46"/>
        <v>0</v>
      </c>
      <c r="Y83" s="232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212.08</v>
      </c>
      <c r="Q84" s="87">
        <v>20.54</v>
      </c>
      <c r="R84" s="82">
        <v>7.4999999999999997E-3</v>
      </c>
      <c r="S84" s="216">
        <f t="shared" si="44"/>
        <v>1.74465</v>
      </c>
      <c r="T84" s="254">
        <f t="shared" si="45"/>
        <v>230.87535</v>
      </c>
      <c r="U84" s="112">
        <v>7.73</v>
      </c>
      <c r="V84" s="112"/>
      <c r="W84" s="113">
        <v>1.4999999999999999E-2</v>
      </c>
      <c r="X84" s="196">
        <f t="shared" si="46"/>
        <v>0.11595</v>
      </c>
      <c r="Y84" s="254">
        <f t="shared" si="47"/>
        <v>7.6140500000000007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155.47999999999999</v>
      </c>
      <c r="Q85" s="87"/>
      <c r="R85" s="82">
        <v>7.4999999999999997E-3</v>
      </c>
      <c r="S85" s="194">
        <f t="shared" si="44"/>
        <v>1.1660999999999999</v>
      </c>
      <c r="T85" s="254">
        <f t="shared" si="45"/>
        <v>154.31389999999999</v>
      </c>
      <c r="U85" s="112">
        <v>23.2</v>
      </c>
      <c r="V85" s="112"/>
      <c r="W85" s="113">
        <v>1.4999999999999999E-2</v>
      </c>
      <c r="X85" s="196">
        <f t="shared" si="46"/>
        <v>0.34799999999999998</v>
      </c>
      <c r="Y85" s="254">
        <f t="shared" si="47"/>
        <v>22.852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76.88</v>
      </c>
      <c r="Q86" s="87">
        <v>12.62</v>
      </c>
      <c r="R86" s="82">
        <v>7.4999999999999997E-3</v>
      </c>
      <c r="S86" s="194">
        <f t="shared" si="44"/>
        <v>0.67125000000000001</v>
      </c>
      <c r="T86" s="254">
        <f t="shared" si="45"/>
        <v>88.828749999999999</v>
      </c>
      <c r="U86" s="112">
        <v>27.7</v>
      </c>
      <c r="V86" s="112"/>
      <c r="W86" s="113">
        <v>1.4999999999999999E-2</v>
      </c>
      <c r="X86" s="196">
        <f t="shared" si="46"/>
        <v>0.41549999999999998</v>
      </c>
      <c r="Y86" s="254">
        <f t="shared" si="47"/>
        <v>27.284499999999998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20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1059</v>
      </c>
      <c r="Q98" s="195">
        <f>SUM(Q78:Q97)</f>
        <v>87.95</v>
      </c>
      <c r="R98" s="111"/>
      <c r="S98" s="195">
        <f>SUM(S78:S97)</f>
        <v>8.6021249999999991</v>
      </c>
      <c r="T98" s="195">
        <f>SUM(T78:T97)</f>
        <v>1138.3478749999999</v>
      </c>
      <c r="U98" s="114">
        <f>SUM(U78:U97)</f>
        <v>206.07999999999998</v>
      </c>
      <c r="V98" s="114">
        <f>SUM(V78:V97)</f>
        <v>0</v>
      </c>
      <c r="W98" s="112"/>
      <c r="X98" s="197">
        <f>SUM(X78:X97)</f>
        <v>3.0911999999999997</v>
      </c>
      <c r="Y98" s="197">
        <f>SUM(Y78:Y97)</f>
        <v>202.9888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 t="shared" ref="P101:P102" si="51">P78+Q78+U78</f>
        <v>161.35</v>
      </c>
      <c r="Q101" s="84"/>
    </row>
    <row r="102" spans="14:30" x14ac:dyDescent="0.25">
      <c r="N102" s="85"/>
      <c r="O102" s="84"/>
      <c r="P102" s="215">
        <f t="shared" si="51"/>
        <v>226.45000000000002</v>
      </c>
      <c r="Q102" s="84"/>
    </row>
    <row r="103" spans="14:30" x14ac:dyDescent="0.25">
      <c r="N103" s="85"/>
      <c r="O103" s="84"/>
      <c r="P103" s="215">
        <f>P80+Q80+U80</f>
        <v>77.160000000000011</v>
      </c>
      <c r="Q103" s="84"/>
    </row>
    <row r="104" spans="14:30" x14ac:dyDescent="0.25">
      <c r="N104" s="85"/>
      <c r="O104" s="84"/>
      <c r="P104" s="215">
        <f>P81+Q81+U81</f>
        <v>163.5</v>
      </c>
      <c r="Q104" s="84"/>
    </row>
    <row r="105" spans="14:30" x14ac:dyDescent="0.25">
      <c r="N105" s="85"/>
      <c r="O105" s="84"/>
      <c r="P105" s="215">
        <f t="shared" ref="P105:P110" si="52">P82+Q82+U82</f>
        <v>176.34</v>
      </c>
      <c r="Q105" s="84"/>
    </row>
    <row r="106" spans="14:30" x14ac:dyDescent="0.25">
      <c r="N106" s="85"/>
      <c r="O106" s="84"/>
      <c r="P106" s="215">
        <f t="shared" si="52"/>
        <v>12</v>
      </c>
      <c r="Q106" s="84"/>
    </row>
    <row r="107" spans="14:30" x14ac:dyDescent="0.25">
      <c r="N107" s="85"/>
      <c r="O107" s="84"/>
      <c r="P107" s="246">
        <f t="shared" si="52"/>
        <v>240.35</v>
      </c>
      <c r="Q107" s="84"/>
    </row>
    <row r="108" spans="14:30" x14ac:dyDescent="0.25">
      <c r="N108" s="85"/>
      <c r="O108" s="84"/>
      <c r="P108" s="246">
        <f>P85+Q85+U85</f>
        <v>178.67999999999998</v>
      </c>
      <c r="Q108" s="84"/>
    </row>
    <row r="109" spans="14:30" x14ac:dyDescent="0.25">
      <c r="N109" s="85"/>
      <c r="O109" s="84"/>
      <c r="P109" s="84">
        <f>P86+Q86+U86</f>
        <v>117.2</v>
      </c>
      <c r="Q109" s="84"/>
    </row>
    <row r="110" spans="14:30" x14ac:dyDescent="0.25">
      <c r="N110" s="85"/>
      <c r="O110" s="84"/>
      <c r="P110" s="84">
        <f t="shared" si="52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  <c r="P112" s="84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3" zoomScale="90" zoomScaleNormal="90" workbookViewId="0">
      <selection activeCell="I67" sqref="I67:J6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1138</v>
      </c>
      <c r="C12" s="15"/>
      <c r="D12" s="56"/>
      <c r="E12" s="16"/>
      <c r="F12" s="56"/>
      <c r="G12" s="56"/>
      <c r="H12" s="17"/>
      <c r="I12" s="83">
        <v>1138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249</v>
      </c>
      <c r="P12" s="158">
        <v>183</v>
      </c>
      <c r="Q12" s="158">
        <v>11</v>
      </c>
      <c r="R12" s="244">
        <v>614.85</v>
      </c>
      <c r="S12" s="160"/>
      <c r="T12" s="160">
        <v>108.99</v>
      </c>
      <c r="U12" s="189">
        <f>((T12/U$10)*U$9)</f>
        <v>4.6978448275862075</v>
      </c>
      <c r="V12" s="189">
        <f>R12*V$10</f>
        <v>4.6113749999999998</v>
      </c>
      <c r="W12" s="189">
        <f>+S12*V$10</f>
        <v>0</v>
      </c>
      <c r="X12" s="189">
        <f>+T12*X$10</f>
        <v>2.7247500000000002</v>
      </c>
      <c r="Y12" s="189">
        <f>R12-V12</f>
        <v>610.23862500000007</v>
      </c>
      <c r="Z12" s="189">
        <f>S12-W12</f>
        <v>0</v>
      </c>
      <c r="AA12" s="189">
        <f>T12-U12-X12</f>
        <v>101.56740517241379</v>
      </c>
      <c r="AB12" s="156"/>
    </row>
    <row r="13" spans="1:28" ht="15.75" x14ac:dyDescent="0.25">
      <c r="A13" s="86" t="s">
        <v>74</v>
      </c>
      <c r="B13" s="89">
        <v>1892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1892</v>
      </c>
      <c r="K13" s="75"/>
      <c r="L13" s="186">
        <f t="shared" ref="L13:L40" si="1">+G13-K13</f>
        <v>0</v>
      </c>
      <c r="M13" s="106"/>
      <c r="N13" s="104">
        <v>2</v>
      </c>
      <c r="O13" s="152" t="s">
        <v>249</v>
      </c>
      <c r="P13" s="158">
        <v>184</v>
      </c>
      <c r="Q13" s="158">
        <v>11</v>
      </c>
      <c r="R13" s="244">
        <v>1254.6600000000001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9.4099500000000003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1245.2500500000001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10784.4</v>
      </c>
      <c r="C14" s="15"/>
      <c r="D14" s="56"/>
      <c r="E14" s="16"/>
      <c r="F14" s="56"/>
      <c r="G14" s="56"/>
      <c r="H14" s="17"/>
      <c r="I14" s="83"/>
      <c r="J14" s="81">
        <f t="shared" si="0"/>
        <v>10784.4</v>
      </c>
      <c r="K14" s="80"/>
      <c r="L14" s="186">
        <f t="shared" si="1"/>
        <v>0</v>
      </c>
      <c r="M14" s="107"/>
      <c r="N14" s="104">
        <v>3</v>
      </c>
      <c r="O14" s="152" t="s">
        <v>249</v>
      </c>
      <c r="P14" s="158">
        <v>565</v>
      </c>
      <c r="Q14" s="158">
        <v>2</v>
      </c>
      <c r="R14" s="244">
        <v>988.61</v>
      </c>
      <c r="S14" s="160"/>
      <c r="T14" s="161">
        <v>55.71</v>
      </c>
      <c r="U14" s="189">
        <f t="shared" si="2"/>
        <v>2.4012931034482765</v>
      </c>
      <c r="V14" s="189">
        <f t="shared" si="3"/>
        <v>7.4145750000000001</v>
      </c>
      <c r="W14" s="189">
        <f t="shared" si="4"/>
        <v>0</v>
      </c>
      <c r="X14" s="189">
        <f t="shared" si="5"/>
        <v>1.3927500000000002</v>
      </c>
      <c r="Y14" s="189">
        <f t="shared" si="6"/>
        <v>981.195425</v>
      </c>
      <c r="Z14" s="189">
        <f t="shared" si="6"/>
        <v>0</v>
      </c>
      <c r="AA14" s="189">
        <f t="shared" si="7"/>
        <v>51.915956896551727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249</v>
      </c>
      <c r="P15" s="158">
        <v>566</v>
      </c>
      <c r="Q15" s="158">
        <v>2</v>
      </c>
      <c r="R15" s="244">
        <v>1537.19</v>
      </c>
      <c r="S15" s="160"/>
      <c r="T15" s="161">
        <v>64.75</v>
      </c>
      <c r="U15" s="189">
        <f t="shared" si="2"/>
        <v>2.7909482758620694</v>
      </c>
      <c r="V15" s="189">
        <f t="shared" si="3"/>
        <v>11.528924999999999</v>
      </c>
      <c r="W15" s="189">
        <f t="shared" si="4"/>
        <v>0</v>
      </c>
      <c r="X15" s="189">
        <f t="shared" si="5"/>
        <v>1.6187500000000001</v>
      </c>
      <c r="Y15" s="189">
        <f t="shared" si="6"/>
        <v>1525.661075</v>
      </c>
      <c r="Z15" s="189">
        <f t="shared" si="6"/>
        <v>0</v>
      </c>
      <c r="AA15" s="189">
        <f t="shared" si="7"/>
        <v>60.34030172413793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249</v>
      </c>
      <c r="P16" s="158">
        <v>546</v>
      </c>
      <c r="Q16" s="158">
        <v>4</v>
      </c>
      <c r="R16" s="244">
        <v>454.12</v>
      </c>
      <c r="S16" s="160"/>
      <c r="T16" s="161"/>
      <c r="U16" s="189">
        <f t="shared" si="2"/>
        <v>0</v>
      </c>
      <c r="V16" s="189">
        <f t="shared" si="3"/>
        <v>3.4058999999999999</v>
      </c>
      <c r="W16" s="189">
        <f t="shared" si="4"/>
        <v>0</v>
      </c>
      <c r="X16" s="189">
        <f t="shared" si="5"/>
        <v>0</v>
      </c>
      <c r="Y16" s="189">
        <f t="shared" si="6"/>
        <v>450.71410000000003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249</v>
      </c>
      <c r="P17" s="158">
        <v>547</v>
      </c>
      <c r="Q17" s="158">
        <v>4</v>
      </c>
      <c r="R17" s="244">
        <v>4721.6499999999996</v>
      </c>
      <c r="S17" s="160"/>
      <c r="T17" s="161">
        <v>383.54</v>
      </c>
      <c r="U17" s="189">
        <f t="shared" si="2"/>
        <v>16.531896551724142</v>
      </c>
      <c r="V17" s="189">
        <f t="shared" si="3"/>
        <v>35.412374999999997</v>
      </c>
      <c r="W17" s="189">
        <f t="shared" si="4"/>
        <v>0</v>
      </c>
      <c r="X17" s="189">
        <f t="shared" si="5"/>
        <v>9.5885000000000016</v>
      </c>
      <c r="Y17" s="189">
        <f t="shared" si="6"/>
        <v>4686.2376249999998</v>
      </c>
      <c r="Z17" s="189">
        <f t="shared" si="6"/>
        <v>0</v>
      </c>
      <c r="AA17" s="189">
        <f t="shared" si="7"/>
        <v>357.41960344827589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249</v>
      </c>
      <c r="P18" s="158">
        <v>197</v>
      </c>
      <c r="Q18" s="158">
        <v>10</v>
      </c>
      <c r="R18" s="244">
        <v>637.55999999999995</v>
      </c>
      <c r="S18" s="160"/>
      <c r="T18" s="161"/>
      <c r="U18" s="189">
        <f t="shared" si="2"/>
        <v>0</v>
      </c>
      <c r="V18" s="189">
        <f t="shared" si="3"/>
        <v>4.7816999999999998</v>
      </c>
      <c r="W18" s="189">
        <f t="shared" si="4"/>
        <v>0</v>
      </c>
      <c r="X18" s="189">
        <f t="shared" si="5"/>
        <v>0</v>
      </c>
      <c r="Y18" s="189">
        <f t="shared" si="6"/>
        <v>632.77829999999994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1892</v>
      </c>
      <c r="C19" s="95"/>
      <c r="D19" s="94"/>
      <c r="E19" s="96"/>
      <c r="F19" s="94"/>
      <c r="G19" s="94"/>
      <c r="H19" s="98"/>
      <c r="I19" s="99"/>
      <c r="J19" s="185">
        <f>B19-I19</f>
        <v>1892</v>
      </c>
      <c r="K19" s="99"/>
      <c r="L19" s="187">
        <f t="shared" si="1"/>
        <v>0</v>
      </c>
      <c r="M19" s="107"/>
      <c r="N19" s="104">
        <v>8</v>
      </c>
      <c r="O19" s="152" t="s">
        <v>249</v>
      </c>
      <c r="P19" s="158">
        <v>198</v>
      </c>
      <c r="Q19" s="158">
        <v>10</v>
      </c>
      <c r="R19" s="244">
        <v>905.96</v>
      </c>
      <c r="S19" s="160"/>
      <c r="T19" s="161">
        <v>117.85</v>
      </c>
      <c r="U19" s="189">
        <f t="shared" si="2"/>
        <v>5.0797413793103452</v>
      </c>
      <c r="V19" s="189">
        <f t="shared" si="3"/>
        <v>6.7946999999999997</v>
      </c>
      <c r="W19" s="189">
        <f t="shared" si="4"/>
        <v>0</v>
      </c>
      <c r="X19" s="189">
        <f t="shared" si="5"/>
        <v>2.94625</v>
      </c>
      <c r="Y19" s="189">
        <f t="shared" si="6"/>
        <v>899.1653</v>
      </c>
      <c r="Z19" s="189">
        <f t="shared" si="6"/>
        <v>0</v>
      </c>
      <c r="AA19" s="189">
        <f t="shared" si="7"/>
        <v>109.82400862068964</v>
      </c>
      <c r="AB19" s="156"/>
    </row>
    <row r="20" spans="1:28" ht="15.75" x14ac:dyDescent="0.25">
      <c r="A20" s="93" t="s">
        <v>80</v>
      </c>
      <c r="B20" s="97">
        <f>+B14+B16+B18</f>
        <v>10784.4</v>
      </c>
      <c r="C20" s="95"/>
      <c r="D20" s="94"/>
      <c r="E20" s="96"/>
      <c r="F20" s="94"/>
      <c r="G20" s="94"/>
      <c r="H20" s="98"/>
      <c r="I20" s="99">
        <v>10784.4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249</v>
      </c>
      <c r="P20" s="158">
        <v>631</v>
      </c>
      <c r="Q20" s="158">
        <v>18</v>
      </c>
      <c r="R20" s="244">
        <v>564.61</v>
      </c>
      <c r="S20" s="160"/>
      <c r="T20" s="161">
        <v>7</v>
      </c>
      <c r="U20" s="189">
        <f t="shared" si="2"/>
        <v>0.30172413793103453</v>
      </c>
      <c r="V20" s="189">
        <f t="shared" si="3"/>
        <v>4.2345749999999995</v>
      </c>
      <c r="W20" s="189">
        <f t="shared" si="4"/>
        <v>0</v>
      </c>
      <c r="X20" s="189">
        <f t="shared" si="5"/>
        <v>0.17500000000000002</v>
      </c>
      <c r="Y20" s="189">
        <f t="shared" si="6"/>
        <v>560.37542500000006</v>
      </c>
      <c r="Z20" s="189">
        <f t="shared" si="6"/>
        <v>0</v>
      </c>
      <c r="AA20" s="189">
        <f t="shared" si="7"/>
        <v>6.5232758620689655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249</v>
      </c>
      <c r="P21" s="158">
        <v>632</v>
      </c>
      <c r="Q21" s="158">
        <v>18</v>
      </c>
      <c r="R21" s="244">
        <v>1212.96</v>
      </c>
      <c r="S21" s="160"/>
      <c r="T21" s="161"/>
      <c r="U21" s="189">
        <f t="shared" si="2"/>
        <v>0</v>
      </c>
      <c r="V21" s="189">
        <f t="shared" si="3"/>
        <v>9.0971999999999991</v>
      </c>
      <c r="W21" s="189">
        <f t="shared" si="4"/>
        <v>0</v>
      </c>
      <c r="X21" s="189">
        <f t="shared" si="5"/>
        <v>0</v>
      </c>
      <c r="Y21" s="189">
        <f t="shared" si="6"/>
        <v>1203.8628000000001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10.99</v>
      </c>
      <c r="C29" s="100"/>
      <c r="D29" s="66"/>
      <c r="E29" s="67"/>
      <c r="F29" s="66"/>
      <c r="G29" s="66"/>
      <c r="H29" s="102"/>
      <c r="I29" s="79">
        <v>10.99</v>
      </c>
      <c r="J29" s="81">
        <f t="shared" si="0"/>
        <v>0</v>
      </c>
      <c r="K29" s="80">
        <v>10.99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62.643000000000001</v>
      </c>
      <c r="C30" s="100"/>
      <c r="D30" s="66"/>
      <c r="E30" s="67"/>
      <c r="F30" s="66"/>
      <c r="G30" s="66"/>
      <c r="H30" s="102"/>
      <c r="I30" s="79">
        <v>62.64</v>
      </c>
      <c r="J30" s="81">
        <f t="shared" si="0"/>
        <v>3.0000000000001137E-3</v>
      </c>
      <c r="K30" s="80">
        <v>62.64</v>
      </c>
      <c r="L30" s="186">
        <f>K30-B30</f>
        <v>-3.0000000000001137E-3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38" si="8">K33-B33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8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10.99</v>
      </c>
      <c r="C35" s="95"/>
      <c r="D35" s="94"/>
      <c r="E35" s="96"/>
      <c r="F35" s="94"/>
      <c r="G35" s="94"/>
      <c r="H35" s="98"/>
      <c r="I35" s="99"/>
      <c r="J35" s="185">
        <f t="shared" si="0"/>
        <v>10.99</v>
      </c>
      <c r="K35" s="99">
        <v>10.99</v>
      </c>
      <c r="L35" s="187">
        <f t="shared" si="8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62.643000000000001</v>
      </c>
      <c r="C36" s="95"/>
      <c r="D36" s="94"/>
      <c r="E36" s="96"/>
      <c r="F36" s="94"/>
      <c r="G36" s="94"/>
      <c r="H36" s="98"/>
      <c r="I36" s="99"/>
      <c r="J36" s="185">
        <f t="shared" si="0"/>
        <v>62.643000000000001</v>
      </c>
      <c r="K36" s="99">
        <v>62.64</v>
      </c>
      <c r="L36" s="187">
        <f t="shared" si="8"/>
        <v>-3.0000000000001137E-3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30.11</v>
      </c>
      <c r="C37" s="100"/>
      <c r="D37" s="66"/>
      <c r="E37" s="67"/>
      <c r="F37" s="66"/>
      <c r="G37" s="66"/>
      <c r="H37" s="102"/>
      <c r="I37" s="79">
        <v>30.11</v>
      </c>
      <c r="J37" s="81">
        <f t="shared" si="0"/>
        <v>0</v>
      </c>
      <c r="K37" s="80">
        <f>10+20.11</f>
        <v>30.11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171.62700000000001</v>
      </c>
      <c r="C38" s="100"/>
      <c r="D38" s="66"/>
      <c r="E38" s="67"/>
      <c r="F38" s="66"/>
      <c r="G38" s="66"/>
      <c r="H38" s="102"/>
      <c r="I38" s="79"/>
      <c r="J38" s="81">
        <f t="shared" si="0"/>
        <v>171.62700000000001</v>
      </c>
      <c r="K38" s="80">
        <v>171.63</v>
      </c>
      <c r="L38" s="186">
        <f t="shared" si="8"/>
        <v>2.9999999999859028E-3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>K41-B41</f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>K42-B42</f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12892.169999999998</v>
      </c>
      <c r="S42" s="190">
        <f t="shared" si="9"/>
        <v>0</v>
      </c>
      <c r="T42" s="190">
        <f t="shared" si="9"/>
        <v>737.84</v>
      </c>
      <c r="U42" s="190">
        <f t="shared" si="9"/>
        <v>31.803448275862074</v>
      </c>
      <c r="V42" s="190">
        <f t="shared" si="9"/>
        <v>96.691275000000005</v>
      </c>
      <c r="W42" s="190">
        <f t="shared" si="9"/>
        <v>0</v>
      </c>
      <c r="X42" s="190">
        <f t="shared" si="9"/>
        <v>18.446000000000002</v>
      </c>
      <c r="Y42" s="190">
        <f t="shared" si="9"/>
        <v>12795.478725000003</v>
      </c>
      <c r="Z42" s="190">
        <f t="shared" si="9"/>
        <v>0</v>
      </c>
      <c r="AA42" s="190">
        <f t="shared" si="9"/>
        <v>687.59055172413787</v>
      </c>
      <c r="AB42" s="166"/>
    </row>
    <row r="43" spans="1:28" ht="15.75" x14ac:dyDescent="0.25">
      <c r="A43" s="93" t="s">
        <v>101</v>
      </c>
      <c r="B43" s="97">
        <f>+B37+B39+B41</f>
        <v>30.11</v>
      </c>
      <c r="C43" s="95"/>
      <c r="D43" s="94"/>
      <c r="E43" s="96"/>
      <c r="F43" s="94"/>
      <c r="G43" s="94"/>
      <c r="H43" s="98"/>
      <c r="I43" s="99"/>
      <c r="J43" s="185">
        <f t="shared" si="0"/>
        <v>30.11</v>
      </c>
      <c r="K43" s="99">
        <v>30.11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23.51</v>
      </c>
      <c r="U43" s="189">
        <f t="shared" ref="U43:U62" si="10">((T43/U$10)*U$9)</f>
        <v>1.0133620689655174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0.58775000000000011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21.908887931034485</v>
      </c>
      <c r="AB43" s="156"/>
    </row>
    <row r="44" spans="1:28" ht="15.75" x14ac:dyDescent="0.25">
      <c r="A44" s="93" t="s">
        <v>102</v>
      </c>
      <c r="B44" s="97">
        <f>+B38+B40+B42</f>
        <v>171.62700000000001</v>
      </c>
      <c r="C44" s="95"/>
      <c r="D44" s="94"/>
      <c r="E44" s="96"/>
      <c r="F44" s="94"/>
      <c r="G44" s="94"/>
      <c r="H44" s="98"/>
      <c r="I44" s="99"/>
      <c r="J44" s="185">
        <f t="shared" si="0"/>
        <v>171.62700000000001</v>
      </c>
      <c r="K44" s="99">
        <v>171.63</v>
      </c>
      <c r="L44" s="187">
        <f>K44-B44</f>
        <v>2.9999999999859028E-3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32.49</v>
      </c>
      <c r="U44" s="189">
        <f t="shared" si="10"/>
        <v>1.4004310344827589</v>
      </c>
      <c r="V44" s="189">
        <f t="shared" si="11"/>
        <v>0</v>
      </c>
      <c r="W44" s="189">
        <f t="shared" si="12"/>
        <v>0</v>
      </c>
      <c r="X44" s="189">
        <f t="shared" si="13"/>
        <v>0.81225000000000014</v>
      </c>
      <c r="Y44" s="189">
        <f t="shared" si="14"/>
        <v>0</v>
      </c>
      <c r="Z44" s="189">
        <f t="shared" si="14"/>
        <v>0</v>
      </c>
      <c r="AA44" s="189">
        <f t="shared" si="15"/>
        <v>30.277318965517246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12892.169999999998</v>
      </c>
      <c r="C46" s="116">
        <v>7.4999999999999997E-3</v>
      </c>
      <c r="D46" s="117">
        <f>B46*C46</f>
        <v>96.69127499999999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12795.478724999999</v>
      </c>
      <c r="H46" s="173">
        <f>B$6+1</f>
        <v>44762</v>
      </c>
      <c r="I46" s="174">
        <v>9892.17</v>
      </c>
      <c r="J46" s="81">
        <f t="shared" si="0"/>
        <v>2999.9999999999982</v>
      </c>
      <c r="K46" s="80">
        <v>13435.45</v>
      </c>
      <c r="L46" s="186">
        <f>K46-G46</f>
        <v>639.9712750000017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44762</v>
      </c>
      <c r="I47" s="175">
        <v>32.49</v>
      </c>
      <c r="J47" s="81">
        <f t="shared" si="0"/>
        <v>-32.49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173</v>
      </c>
      <c r="B48" s="117">
        <f>R69</f>
        <v>132.66999999999999</v>
      </c>
      <c r="C48" s="116">
        <v>7.4999999999999997E-3</v>
      </c>
      <c r="D48" s="117">
        <f t="shared" si="18"/>
        <v>0.99502499999999983</v>
      </c>
      <c r="E48" s="172">
        <v>0</v>
      </c>
      <c r="F48" s="117">
        <f t="shared" si="16"/>
        <v>0</v>
      </c>
      <c r="G48" s="117">
        <f t="shared" si="17"/>
        <v>131.67497499999999</v>
      </c>
      <c r="H48" s="173">
        <f t="shared" ref="H48:H61" si="20">B$6+1</f>
        <v>44762</v>
      </c>
      <c r="I48" s="176">
        <v>132.66999999999999</v>
      </c>
      <c r="J48" s="81">
        <f t="shared" si="0"/>
        <v>0</v>
      </c>
      <c r="K48" s="80"/>
      <c r="L48" s="186">
        <f t="shared" si="19"/>
        <v>131.67497499999999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203</v>
      </c>
      <c r="B49" s="117">
        <f>R75</f>
        <v>1080.9099999999999</v>
      </c>
      <c r="C49" s="116">
        <v>7.4999999999999997E-3</v>
      </c>
      <c r="D49" s="117">
        <f t="shared" si="18"/>
        <v>8.1068249999999988</v>
      </c>
      <c r="E49" s="172">
        <v>0</v>
      </c>
      <c r="F49" s="117">
        <f t="shared" si="16"/>
        <v>0</v>
      </c>
      <c r="G49" s="117">
        <f t="shared" si="17"/>
        <v>1072.8031749999998</v>
      </c>
      <c r="H49" s="173">
        <f t="shared" si="20"/>
        <v>44762</v>
      </c>
      <c r="I49" s="176">
        <f>578.41</f>
        <v>578.41</v>
      </c>
      <c r="J49" s="81">
        <f t="shared" si="0"/>
        <v>502.49999999999989</v>
      </c>
      <c r="K49" s="80"/>
      <c r="L49" s="186">
        <f t="shared" si="19"/>
        <v>1072.8031749999998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1130.96</v>
      </c>
      <c r="C50" s="116">
        <v>7.4999999999999997E-3</v>
      </c>
      <c r="D50" s="117">
        <f t="shared" si="18"/>
        <v>8.4822000000000006</v>
      </c>
      <c r="E50" s="172">
        <v>0</v>
      </c>
      <c r="F50" s="117">
        <f t="shared" si="16"/>
        <v>0</v>
      </c>
      <c r="G50" s="117">
        <f t="shared" si="17"/>
        <v>1122.4778000000001</v>
      </c>
      <c r="H50" s="173">
        <f t="shared" si="20"/>
        <v>44762</v>
      </c>
      <c r="I50" s="175">
        <v>1784.78</v>
      </c>
      <c r="J50" s="81">
        <f t="shared" si="0"/>
        <v>-653.81999999999994</v>
      </c>
      <c r="K50" s="80">
        <v>1122.48</v>
      </c>
      <c r="L50" s="186">
        <f t="shared" si="19"/>
        <v>-2.1999999999025022E-3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653.81999999999994</v>
      </c>
      <c r="C51" s="116">
        <v>1.4999999999999999E-2</v>
      </c>
      <c r="D51" s="117">
        <f>+B51*C51</f>
        <v>9.8072999999999979</v>
      </c>
      <c r="E51" s="172">
        <v>0</v>
      </c>
      <c r="F51" s="117">
        <f>D51*E51</f>
        <v>0</v>
      </c>
      <c r="G51" s="117">
        <f t="shared" si="17"/>
        <v>644.0127</v>
      </c>
      <c r="H51" s="173">
        <f t="shared" si="20"/>
        <v>44762</v>
      </c>
      <c r="I51" s="175"/>
      <c r="J51" s="81">
        <f t="shared" si="0"/>
        <v>653.81999999999994</v>
      </c>
      <c r="K51" s="80">
        <v>644.01</v>
      </c>
      <c r="L51" s="186">
        <f t="shared" si="19"/>
        <v>2.7000000000043656E-3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737.84</v>
      </c>
      <c r="C52" s="116">
        <v>2.5000000000000001E-2</v>
      </c>
      <c r="D52" s="117">
        <f>B52*C52</f>
        <v>18.446000000000002</v>
      </c>
      <c r="E52" s="172">
        <v>0.05</v>
      </c>
      <c r="F52" s="117">
        <f>(B52/E$10)*E52</f>
        <v>31.80344827586207</v>
      </c>
      <c r="G52" s="117">
        <f>B52-D52-F52</f>
        <v>687.59055172413798</v>
      </c>
      <c r="H52" s="188">
        <f t="shared" si="20"/>
        <v>44762</v>
      </c>
      <c r="I52" s="176">
        <v>737.84</v>
      </c>
      <c r="J52" s="81">
        <f t="shared" si="0"/>
        <v>0</v>
      </c>
      <c r="K52" s="80">
        <v>34.630000000000003</v>
      </c>
      <c r="L52" s="186">
        <f>K52-G52</f>
        <v>-652.96055172413799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56</v>
      </c>
      <c r="C53" s="116">
        <v>2.5000000000000001E-2</v>
      </c>
      <c r="D53" s="117">
        <f t="shared" ref="D53:D56" si="21">B53*C53</f>
        <v>1.4000000000000001</v>
      </c>
      <c r="E53" s="172">
        <v>0.05</v>
      </c>
      <c r="F53" s="117">
        <f t="shared" ref="F53:F56" si="22">(B53/E$10)*E53</f>
        <v>2.4137931034482762</v>
      </c>
      <c r="G53" s="117">
        <f t="shared" ref="G53:G58" si="23">B53-D53-F53</f>
        <v>52.186206896551724</v>
      </c>
      <c r="H53" s="188">
        <f t="shared" si="20"/>
        <v>44762</v>
      </c>
      <c r="I53" s="176">
        <v>23.51</v>
      </c>
      <c r="J53" s="81">
        <f t="shared" si="0"/>
        <v>32.489999999999995</v>
      </c>
      <c r="K53" s="80"/>
      <c r="L53" s="186">
        <f t="shared" si="19"/>
        <v>52.186206896551724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44762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44762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236</v>
      </c>
      <c r="B56" s="117">
        <f>T75</f>
        <v>68.44</v>
      </c>
      <c r="C56" s="116">
        <v>2.5000000000000001E-2</v>
      </c>
      <c r="D56" s="117">
        <f t="shared" si="21"/>
        <v>1.7110000000000001</v>
      </c>
      <c r="E56" s="172">
        <v>0.05</v>
      </c>
      <c r="F56" s="117">
        <f t="shared" si="22"/>
        <v>2.95</v>
      </c>
      <c r="G56" s="117">
        <f t="shared" si="23"/>
        <v>63.778999999999996</v>
      </c>
      <c r="H56" s="173">
        <f t="shared" si="20"/>
        <v>44762</v>
      </c>
      <c r="I56" s="176">
        <v>68.44</v>
      </c>
      <c r="J56" s="81">
        <f>B56-I56</f>
        <v>0</v>
      </c>
      <c r="K56" s="80"/>
      <c r="L56" s="186">
        <f t="shared" si="19"/>
        <v>63.778999999999996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145.63962500000002</v>
      </c>
      <c r="E61" s="177"/>
      <c r="F61" s="57">
        <f>SUM(F46:F58)</f>
        <v>37.167241379310347</v>
      </c>
      <c r="G61" s="57">
        <f>SUM(G46:G58)</f>
        <v>16570.003133620688</v>
      </c>
      <c r="H61" s="173">
        <f t="shared" si="20"/>
        <v>44762</v>
      </c>
      <c r="I61" s="175"/>
      <c r="J61" s="81">
        <f t="shared" si="0"/>
        <v>0</v>
      </c>
      <c r="K61" s="80"/>
      <c r="L61" s="186">
        <f t="shared" si="19"/>
        <v>16570.003133620688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360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>
        <f>5+6</f>
        <v>11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56</v>
      </c>
      <c r="U63" s="191">
        <f t="shared" ref="U63:X63" si="26">SUM(U43:U62)</f>
        <v>2.4137931034482762</v>
      </c>
      <c r="V63" s="191">
        <f t="shared" si="26"/>
        <v>0</v>
      </c>
      <c r="W63" s="191">
        <f t="shared" si="26"/>
        <v>0</v>
      </c>
      <c r="X63" s="191">
        <f t="shared" si="26"/>
        <v>1.4000000000000004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52.186206896551731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SUM(G46:G60)</f>
        <v>16570.003133620688</v>
      </c>
      <c r="H64" s="184"/>
      <c r="I64" s="175"/>
      <c r="J64" s="81">
        <f t="shared" si="0"/>
        <v>0</v>
      </c>
      <c r="K64" s="80"/>
      <c r="L64" s="186">
        <f t="shared" si="19"/>
        <v>16570.003133620688</v>
      </c>
      <c r="M64" s="130"/>
      <c r="N64" s="87">
        <v>1</v>
      </c>
      <c r="O64" s="122" t="s">
        <v>255</v>
      </c>
      <c r="P64" s="87">
        <v>6707</v>
      </c>
      <c r="Q64" s="225"/>
      <c r="R64" s="236">
        <v>7.7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5.7749999999999996E-2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7.6422499999999998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28538.479999999992</v>
      </c>
      <c r="G65" s="22"/>
      <c r="L65" s="132"/>
      <c r="M65" s="131"/>
      <c r="N65" s="87">
        <v>2</v>
      </c>
      <c r="O65" s="122" t="s">
        <v>255</v>
      </c>
      <c r="P65" s="87"/>
      <c r="Q65" s="225"/>
      <c r="R65" s="236">
        <v>100.6</v>
      </c>
      <c r="S65" s="225"/>
      <c r="T65" s="87"/>
      <c r="U65" s="189">
        <f t="shared" si="28"/>
        <v>0</v>
      </c>
      <c r="V65" s="189">
        <f t="shared" si="29"/>
        <v>0.75449999999999995</v>
      </c>
      <c r="W65" s="189">
        <f t="shared" si="30"/>
        <v>0</v>
      </c>
      <c r="X65" s="189">
        <f t="shared" si="31"/>
        <v>0</v>
      </c>
      <c r="Y65" s="189">
        <f t="shared" si="32"/>
        <v>99.845500000000001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222</v>
      </c>
      <c r="P66" s="87"/>
      <c r="Q66" s="225"/>
      <c r="R66" s="225">
        <v>24.37</v>
      </c>
      <c r="S66" s="225"/>
      <c r="T66" s="87"/>
      <c r="U66" s="189">
        <f t="shared" si="28"/>
        <v>0</v>
      </c>
      <c r="V66" s="189">
        <f t="shared" si="29"/>
        <v>0.18277499999999999</v>
      </c>
      <c r="W66" s="189">
        <f t="shared" si="30"/>
        <v>0</v>
      </c>
      <c r="X66" s="189">
        <f t="shared" si="31"/>
        <v>0</v>
      </c>
      <c r="Y66" s="189">
        <f t="shared" si="32"/>
        <v>24.187225000000002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222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24736.87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222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25037.98</v>
      </c>
      <c r="C69" s="59"/>
      <c r="F69" s="87" t="s">
        <v>127</v>
      </c>
      <c r="G69" s="22"/>
      <c r="H69" s="89"/>
      <c r="I69" s="136"/>
      <c r="J69" s="136">
        <f>K52</f>
        <v>34.630000000000003</v>
      </c>
      <c r="N69" s="312" t="s">
        <v>108</v>
      </c>
      <c r="O69" s="312"/>
      <c r="P69" s="313"/>
      <c r="Q69" s="313"/>
      <c r="R69" s="192">
        <f>SUM(R64:R68)</f>
        <v>132.66999999999999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0.99502499999999994</v>
      </c>
      <c r="W69" s="192">
        <f t="shared" si="34"/>
        <v>0</v>
      </c>
      <c r="X69" s="192">
        <f t="shared" si="34"/>
        <v>0</v>
      </c>
      <c r="Y69" s="192">
        <f t="shared" si="34"/>
        <v>131.67497500000002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-301.11000000000058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164</v>
      </c>
      <c r="Q70" s="225">
        <v>2001</v>
      </c>
      <c r="R70" s="236">
        <v>537.79999999999995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4.0334999999999992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533.76649999999995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3500.4999999999927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34.630000000000003</v>
      </c>
      <c r="N71" s="87">
        <v>2</v>
      </c>
      <c r="O71" s="122" t="s">
        <v>208</v>
      </c>
      <c r="P71" s="225"/>
      <c r="Q71" s="225"/>
      <c r="R71" s="221"/>
      <c r="S71" s="225"/>
      <c r="T71" s="221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250</v>
      </c>
      <c r="P72" s="225"/>
      <c r="Q72" s="225"/>
      <c r="R72" s="221"/>
      <c r="S72" s="225"/>
      <c r="T72" s="221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250</v>
      </c>
      <c r="P73" s="225" t="s">
        <v>258</v>
      </c>
      <c r="Q73" s="225">
        <v>2001</v>
      </c>
      <c r="R73" s="236">
        <f>173.56+9.55</f>
        <v>183.11</v>
      </c>
      <c r="S73" s="225"/>
      <c r="T73" s="225">
        <v>68.44</v>
      </c>
      <c r="U73" s="189">
        <f t="shared" si="35"/>
        <v>2.95</v>
      </c>
      <c r="V73" s="189">
        <f t="shared" si="36"/>
        <v>1.3733250000000001</v>
      </c>
      <c r="W73" s="189">
        <f t="shared" si="37"/>
        <v>0</v>
      </c>
      <c r="X73" s="189">
        <f t="shared" si="38"/>
        <v>1.7110000000000001</v>
      </c>
      <c r="Y73" s="189">
        <f t="shared" si="39"/>
        <v>181.73667500000002</v>
      </c>
      <c r="Z73" s="189">
        <f t="shared" si="39"/>
        <v>0</v>
      </c>
      <c r="AA73" s="189">
        <f t="shared" si="40"/>
        <v>63.778999999999996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80+70+85+105+20</f>
        <v>360</v>
      </c>
      <c r="S74" s="225"/>
      <c r="T74" s="225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1080.9099999999999</v>
      </c>
      <c r="S75" s="192"/>
      <c r="T75" s="192">
        <f>SUM(T70:T74)</f>
        <v>68.44</v>
      </c>
      <c r="U75" s="192">
        <f>SUM(U70:U74)</f>
        <v>2.95</v>
      </c>
      <c r="V75" s="192">
        <f t="shared" ref="V75:AA75" si="42">SUM(V70:V74)</f>
        <v>8.1068249999999988</v>
      </c>
      <c r="W75" s="192">
        <f t="shared" si="42"/>
        <v>0</v>
      </c>
      <c r="X75" s="192">
        <f t="shared" si="42"/>
        <v>1.7110000000000001</v>
      </c>
      <c r="Y75" s="192">
        <f t="shared" si="42"/>
        <v>1072.803175</v>
      </c>
      <c r="Z75" s="192">
        <f t="shared" si="42"/>
        <v>0</v>
      </c>
      <c r="AA75" s="193">
        <f t="shared" si="42"/>
        <v>63.778999999999996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111.02</v>
      </c>
      <c r="Q78" s="137">
        <v>32</v>
      </c>
      <c r="R78" s="82">
        <v>7.4999999999999997E-3</v>
      </c>
      <c r="S78" s="194">
        <f>+(P78+Q78)*R78</f>
        <v>1.0726499999999999</v>
      </c>
      <c r="T78" s="254">
        <f>+(P78+Q78)-S78</f>
        <v>141.94734999999997</v>
      </c>
      <c r="U78" s="211">
        <v>62.56</v>
      </c>
      <c r="V78" s="112"/>
      <c r="W78" s="113">
        <v>1.4999999999999999E-2</v>
      </c>
      <c r="X78" s="196">
        <f>+(U78+V78)*W78</f>
        <v>0.93840000000000001</v>
      </c>
      <c r="Y78" s="254">
        <f>+(U78+V78)-X78</f>
        <v>61.621600000000001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1122.48</v>
      </c>
      <c r="N79" s="87">
        <v>2</v>
      </c>
      <c r="O79" s="87" t="s">
        <v>110</v>
      </c>
      <c r="P79" s="137">
        <v>122.76</v>
      </c>
      <c r="Q79" s="87">
        <v>18.8</v>
      </c>
      <c r="R79" s="82">
        <v>7.4999999999999997E-3</v>
      </c>
      <c r="S79" s="194">
        <f t="shared" ref="S79:S97" si="44">+(P79+Q79)*R79</f>
        <v>1.0617000000000001</v>
      </c>
      <c r="T79" s="254">
        <f t="shared" ref="T79:T97" si="45">+(P79+Q79)-S79</f>
        <v>140.4983</v>
      </c>
      <c r="U79" s="211">
        <v>147.91</v>
      </c>
      <c r="V79" s="112"/>
      <c r="W79" s="113">
        <v>1.4999999999999999E-2</v>
      </c>
      <c r="X79" s="196">
        <f t="shared" ref="X79:X97" si="46">+(U79+V79)*W79</f>
        <v>2.2186499999999998</v>
      </c>
      <c r="Y79" s="254">
        <f t="shared" ref="Y79:Y97" si="47">+(U79+V79)-X79</f>
        <v>145.69135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83.46</v>
      </c>
      <c r="Q80" s="137">
        <v>2.71</v>
      </c>
      <c r="R80" s="82">
        <v>7.4999999999999997E-3</v>
      </c>
      <c r="S80" s="194">
        <f t="shared" si="44"/>
        <v>0.64627499999999993</v>
      </c>
      <c r="T80" s="213">
        <f t="shared" si="45"/>
        <v>85.523724999999985</v>
      </c>
      <c r="U80" s="211">
        <v>49.78</v>
      </c>
      <c r="V80" s="112"/>
      <c r="W80" s="113">
        <v>1.4999999999999999E-2</v>
      </c>
      <c r="X80" s="196">
        <f t="shared" si="46"/>
        <v>0.74670000000000003</v>
      </c>
      <c r="Y80" s="213">
        <f t="shared" si="47"/>
        <v>49.033300000000004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1122.48</v>
      </c>
      <c r="N81" s="87">
        <v>4</v>
      </c>
      <c r="O81" s="87" t="s">
        <v>110</v>
      </c>
      <c r="P81" s="137">
        <v>38.909999999999997</v>
      </c>
      <c r="Q81" s="137">
        <v>57.91</v>
      </c>
      <c r="R81" s="82">
        <v>7.4999999999999997E-3</v>
      </c>
      <c r="S81" s="194">
        <f t="shared" si="44"/>
        <v>0.72614999999999996</v>
      </c>
      <c r="T81" s="213">
        <f t="shared" si="45"/>
        <v>96.093849999999989</v>
      </c>
      <c r="U81" s="211">
        <v>169.98</v>
      </c>
      <c r="V81" s="112"/>
      <c r="W81" s="113">
        <v>1.4999999999999999E-2</v>
      </c>
      <c r="X81" s="196">
        <f t="shared" si="46"/>
        <v>2.5496999999999996</v>
      </c>
      <c r="Y81" s="213">
        <f t="shared" si="47"/>
        <v>167.43029999999999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35.020000000000003</v>
      </c>
      <c r="Q82" s="137">
        <v>6.6</v>
      </c>
      <c r="R82" s="82">
        <v>7.4999999999999997E-3</v>
      </c>
      <c r="S82" s="194">
        <f t="shared" si="44"/>
        <v>0.31215000000000004</v>
      </c>
      <c r="T82" s="254">
        <f t="shared" si="45"/>
        <v>41.307850000000002</v>
      </c>
      <c r="U82" s="211">
        <v>3.71</v>
      </c>
      <c r="V82" s="112"/>
      <c r="W82" s="113">
        <v>1.4999999999999999E-2</v>
      </c>
      <c r="X82" s="196">
        <f t="shared" si="46"/>
        <v>5.5649999999999998E-2</v>
      </c>
      <c r="Y82" s="254">
        <f t="shared" si="47"/>
        <v>3.65435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354.6</v>
      </c>
      <c r="Q83" s="137">
        <v>105.47</v>
      </c>
      <c r="R83" s="82">
        <v>7.4999999999999997E-3</v>
      </c>
      <c r="S83" s="194">
        <f t="shared" si="44"/>
        <v>3.4505250000000003</v>
      </c>
      <c r="T83" s="254">
        <f t="shared" si="45"/>
        <v>456.61947500000002</v>
      </c>
      <c r="U83" s="211">
        <v>79.650000000000006</v>
      </c>
      <c r="V83" s="112"/>
      <c r="W83" s="113">
        <v>1.4999999999999999E-2</v>
      </c>
      <c r="X83" s="196">
        <f t="shared" si="46"/>
        <v>1.19475</v>
      </c>
      <c r="Y83" s="254">
        <f t="shared" si="47"/>
        <v>78.455250000000007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2.7</v>
      </c>
      <c r="Q84" s="137"/>
      <c r="R84" s="82">
        <v>7.4999999999999997E-3</v>
      </c>
      <c r="S84" s="194">
        <f t="shared" si="44"/>
        <v>2.0250000000000001E-2</v>
      </c>
      <c r="T84" s="254">
        <f t="shared" si="45"/>
        <v>2.6797500000000003</v>
      </c>
      <c r="U84" s="112">
        <v>2.52</v>
      </c>
      <c r="V84" s="112"/>
      <c r="W84" s="113">
        <v>1.4999999999999999E-2</v>
      </c>
      <c r="X84" s="196">
        <f t="shared" si="46"/>
        <v>3.78E-2</v>
      </c>
      <c r="Y84" s="254">
        <f t="shared" si="47"/>
        <v>2.4822000000000002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>
        <v>11</v>
      </c>
      <c r="R85" s="82">
        <v>7.4999999999999997E-3</v>
      </c>
      <c r="S85" s="194">
        <f t="shared" si="44"/>
        <v>8.249999999999999E-2</v>
      </c>
      <c r="T85" s="254">
        <f t="shared" si="45"/>
        <v>10.9175</v>
      </c>
      <c r="U85" s="112">
        <v>20.64</v>
      </c>
      <c r="V85" s="112"/>
      <c r="W85" s="113">
        <v>1.4999999999999999E-2</v>
      </c>
      <c r="X85" s="196">
        <f t="shared" si="46"/>
        <v>0.30959999999999999</v>
      </c>
      <c r="Y85" s="254">
        <f t="shared" si="47"/>
        <v>20.330400000000001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42.72</v>
      </c>
      <c r="Q86" s="87"/>
      <c r="R86" s="82">
        <v>7.4999999999999997E-3</v>
      </c>
      <c r="S86" s="194">
        <f t="shared" si="44"/>
        <v>0.32039999999999996</v>
      </c>
      <c r="T86" s="254">
        <f t="shared" si="45"/>
        <v>42.3996</v>
      </c>
      <c r="U86" s="112">
        <v>17.28</v>
      </c>
      <c r="V86" s="112"/>
      <c r="W86" s="113">
        <v>1.4999999999999999E-2</v>
      </c>
      <c r="X86" s="196">
        <f t="shared" si="46"/>
        <v>0.25919999999999999</v>
      </c>
      <c r="Y86" s="254">
        <f t="shared" si="47"/>
        <v>17.020800000000001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137">
        <v>84.76</v>
      </c>
      <c r="Q87" s="87">
        <v>20.52</v>
      </c>
      <c r="R87" s="82">
        <v>7.4999999999999997E-3</v>
      </c>
      <c r="S87" s="194">
        <f t="shared" si="44"/>
        <v>0.78959999999999997</v>
      </c>
      <c r="T87" s="254">
        <f t="shared" si="45"/>
        <v>104.49040000000001</v>
      </c>
      <c r="U87" s="112">
        <v>99.79</v>
      </c>
      <c r="V87" s="112"/>
      <c r="W87" s="113">
        <v>1.4999999999999999E-2</v>
      </c>
      <c r="X87" s="196">
        <f t="shared" si="46"/>
        <v>1.49685</v>
      </c>
      <c r="Y87" s="254">
        <f t="shared" si="47"/>
        <v>98.293150000000011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875.95</v>
      </c>
      <c r="Q98" s="195">
        <f>SUM(Q78:Q97)</f>
        <v>255.01</v>
      </c>
      <c r="R98" s="111"/>
      <c r="S98" s="195">
        <f>SUM(S78:S97)</f>
        <v>8.4821999999999989</v>
      </c>
      <c r="T98" s="195">
        <f>SUM(T78:T97)</f>
        <v>1122.4777999999999</v>
      </c>
      <c r="U98" s="114">
        <f>SUM(U78:U97)</f>
        <v>653.81999999999994</v>
      </c>
      <c r="V98" s="114">
        <f>SUM(V78:V97)</f>
        <v>0</v>
      </c>
      <c r="W98" s="112"/>
      <c r="X98" s="197">
        <f>SUM(X78:X97)</f>
        <v>9.8072999999999997</v>
      </c>
      <c r="Y98" s="197">
        <f>SUM(Y78:Y97)</f>
        <v>644.0127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205.57999999999998</v>
      </c>
      <c r="Q101" s="84"/>
    </row>
    <row r="102" spans="14:30" x14ac:dyDescent="0.25">
      <c r="N102" s="85"/>
      <c r="O102" s="84"/>
      <c r="P102" s="215">
        <f>P79+U79+Q79</f>
        <v>289.47000000000003</v>
      </c>
      <c r="Q102" s="84"/>
    </row>
    <row r="103" spans="14:30" x14ac:dyDescent="0.25">
      <c r="N103" s="85"/>
      <c r="O103" s="84"/>
      <c r="P103" s="215">
        <f>P80+Q80+U80</f>
        <v>135.94999999999999</v>
      </c>
      <c r="Q103" s="84"/>
    </row>
    <row r="104" spans="14:30" x14ac:dyDescent="0.25">
      <c r="N104" s="85"/>
      <c r="O104" s="84"/>
      <c r="P104" s="215">
        <f>P81+Q81+U81</f>
        <v>266.79999999999995</v>
      </c>
      <c r="Q104" s="84"/>
    </row>
    <row r="105" spans="14:30" x14ac:dyDescent="0.25">
      <c r="N105" s="85"/>
      <c r="O105" s="84"/>
      <c r="P105" s="215">
        <f>P82+U82+Q82</f>
        <v>45.330000000000005</v>
      </c>
      <c r="Q105" s="84"/>
    </row>
    <row r="106" spans="14:30" x14ac:dyDescent="0.25">
      <c r="N106" s="85"/>
      <c r="O106" s="84"/>
      <c r="P106" s="215">
        <f>P83+Q83+U83</f>
        <v>539.72</v>
      </c>
      <c r="Q106" s="84"/>
    </row>
    <row r="107" spans="14:30" x14ac:dyDescent="0.25">
      <c r="N107" s="85"/>
      <c r="O107" s="84"/>
      <c r="P107" s="84">
        <f>P84+Q84+U84</f>
        <v>5.2200000000000006</v>
      </c>
      <c r="Q107" s="84"/>
    </row>
    <row r="108" spans="14:30" x14ac:dyDescent="0.25">
      <c r="N108" s="85"/>
      <c r="O108" s="84"/>
      <c r="P108" s="84">
        <f>P85+Q85+U85</f>
        <v>31.64</v>
      </c>
      <c r="Q108" s="84"/>
    </row>
    <row r="109" spans="14:30" x14ac:dyDescent="0.25">
      <c r="N109" s="85"/>
      <c r="O109" s="84"/>
      <c r="P109" s="84">
        <f>P86+Q86+U86+Z86</f>
        <v>60</v>
      </c>
      <c r="Q109" s="84"/>
    </row>
    <row r="110" spans="14:30" x14ac:dyDescent="0.25">
      <c r="N110" s="85"/>
      <c r="O110" s="84"/>
      <c r="P110" s="233">
        <f>P87+Q87+U87</f>
        <v>205.07</v>
      </c>
      <c r="Q110" s="84"/>
    </row>
    <row r="111" spans="14:30" x14ac:dyDescent="0.25">
      <c r="N111" s="85"/>
      <c r="O111" s="84"/>
      <c r="P111" s="84">
        <f>P88+Q88+U88</f>
        <v>0</v>
      </c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61" zoomScale="90" zoomScaleNormal="90" workbookViewId="0">
      <selection activeCell="T83" sqref="T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1268.5</v>
      </c>
      <c r="C12" s="15"/>
      <c r="D12" s="56"/>
      <c r="E12" s="16"/>
      <c r="F12" s="56"/>
      <c r="G12" s="56"/>
      <c r="H12" s="17"/>
      <c r="I12" s="83">
        <v>1268.5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185</v>
      </c>
      <c r="Q12" s="158">
        <v>11</v>
      </c>
      <c r="R12" s="159">
        <v>414.74</v>
      </c>
      <c r="S12" s="160"/>
      <c r="T12" s="160"/>
      <c r="U12" s="189">
        <f>((T12/U$10)*U$9)</f>
        <v>0</v>
      </c>
      <c r="V12" s="189">
        <f>R12*V$10</f>
        <v>3.1105499999999999</v>
      </c>
      <c r="W12" s="189">
        <f>+S12*V$10</f>
        <v>0</v>
      </c>
      <c r="X12" s="189">
        <f>+T12*X$10</f>
        <v>0</v>
      </c>
      <c r="Y12" s="189">
        <f>R12-V12</f>
        <v>411.62945000000002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1281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1281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567</v>
      </c>
      <c r="Q13" s="158">
        <v>2</v>
      </c>
      <c r="R13" s="159">
        <v>781.95</v>
      </c>
      <c r="S13" s="160"/>
      <c r="T13" s="161">
        <v>47.54</v>
      </c>
      <c r="U13" s="189">
        <f t="shared" ref="U13:U41" si="2">((T13/U$10)*U$9)</f>
        <v>2.0491379310344828</v>
      </c>
      <c r="V13" s="189">
        <f t="shared" ref="V13:V41" si="3">R13*V$10</f>
        <v>5.8646250000000002</v>
      </c>
      <c r="W13" s="189">
        <f t="shared" ref="W13:W41" si="4">+S13*V$10</f>
        <v>0</v>
      </c>
      <c r="X13" s="189">
        <f t="shared" ref="X13:X41" si="5">+T13*X$10</f>
        <v>1.1885000000000001</v>
      </c>
      <c r="Y13" s="189">
        <f t="shared" ref="Y13:Z41" si="6">R13-V13</f>
        <v>776.085375</v>
      </c>
      <c r="Z13" s="189">
        <f t="shared" si="6"/>
        <v>0</v>
      </c>
      <c r="AA13" s="189">
        <f t="shared" ref="AA13:AA41" si="7">T13-U13-X13</f>
        <v>44.302362068965522</v>
      </c>
      <c r="AB13" s="156"/>
    </row>
    <row r="14" spans="1:28" ht="15.75" x14ac:dyDescent="0.25">
      <c r="A14" s="86" t="s">
        <v>81</v>
      </c>
      <c r="B14" s="57">
        <f>B13*B8</f>
        <v>7340.13</v>
      </c>
      <c r="C14" s="15"/>
      <c r="D14" s="56"/>
      <c r="E14" s="16"/>
      <c r="F14" s="56"/>
      <c r="G14" s="56"/>
      <c r="H14" s="17"/>
      <c r="I14" s="83"/>
      <c r="J14" s="81">
        <f t="shared" si="0"/>
        <v>7340.13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568</v>
      </c>
      <c r="Q14" s="158">
        <v>2</v>
      </c>
      <c r="R14" s="159">
        <v>1128.05</v>
      </c>
      <c r="S14" s="160"/>
      <c r="T14" s="161"/>
      <c r="U14" s="189">
        <f t="shared" si="2"/>
        <v>0</v>
      </c>
      <c r="V14" s="189">
        <f t="shared" si="3"/>
        <v>8.4603749999999991</v>
      </c>
      <c r="W14" s="189">
        <f t="shared" si="4"/>
        <v>0</v>
      </c>
      <c r="X14" s="189">
        <f t="shared" si="5"/>
        <v>0</v>
      </c>
      <c r="Y14" s="189">
        <f t="shared" si="6"/>
        <v>1119.5896250000001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852</v>
      </c>
      <c r="C15" s="15"/>
      <c r="D15" s="56"/>
      <c r="E15" s="16"/>
      <c r="F15" s="56"/>
      <c r="G15" s="56"/>
      <c r="H15" s="17"/>
      <c r="I15" s="83"/>
      <c r="J15" s="81">
        <f t="shared" si="0"/>
        <v>852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548</v>
      </c>
      <c r="Q15" s="158">
        <v>4</v>
      </c>
      <c r="R15" s="159">
        <v>765.19</v>
      </c>
      <c r="S15" s="160"/>
      <c r="T15" s="161">
        <v>66.25</v>
      </c>
      <c r="U15" s="189">
        <f t="shared" si="2"/>
        <v>2.8556034482758625</v>
      </c>
      <c r="V15" s="189">
        <f t="shared" si="3"/>
        <v>5.7389250000000001</v>
      </c>
      <c r="W15" s="189">
        <f t="shared" si="4"/>
        <v>0</v>
      </c>
      <c r="X15" s="189">
        <f t="shared" si="5"/>
        <v>1.65625</v>
      </c>
      <c r="Y15" s="189">
        <f t="shared" si="6"/>
        <v>759.45107500000006</v>
      </c>
      <c r="Z15" s="189">
        <f t="shared" si="6"/>
        <v>0</v>
      </c>
      <c r="AA15" s="189">
        <f t="shared" si="7"/>
        <v>61.738146551724135</v>
      </c>
      <c r="AB15" s="156"/>
    </row>
    <row r="16" spans="1:28" ht="15.75" x14ac:dyDescent="0.25">
      <c r="A16" s="86" t="s">
        <v>81</v>
      </c>
      <c r="B16" s="57">
        <f>B15*B9</f>
        <v>4856.4000000000005</v>
      </c>
      <c r="C16" s="15"/>
      <c r="D16" s="56"/>
      <c r="E16" s="16"/>
      <c r="F16" s="56"/>
      <c r="G16" s="56"/>
      <c r="H16" s="17"/>
      <c r="I16" s="83"/>
      <c r="J16" s="81">
        <f t="shared" si="0"/>
        <v>4856.4000000000005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549</v>
      </c>
      <c r="Q16" s="158">
        <v>4</v>
      </c>
      <c r="R16" s="159">
        <v>1368.1</v>
      </c>
      <c r="S16" s="160"/>
      <c r="T16" s="161"/>
      <c r="U16" s="189">
        <f t="shared" si="2"/>
        <v>0</v>
      </c>
      <c r="V16" s="189">
        <f t="shared" si="3"/>
        <v>10.26075</v>
      </c>
      <c r="W16" s="189">
        <f t="shared" si="4"/>
        <v>0</v>
      </c>
      <c r="X16" s="189">
        <f t="shared" si="5"/>
        <v>0</v>
      </c>
      <c r="Y16" s="189">
        <f t="shared" si="6"/>
        <v>1357.83925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550</v>
      </c>
      <c r="Q17" s="158">
        <v>14</v>
      </c>
      <c r="R17" s="159">
        <v>11.7</v>
      </c>
      <c r="S17" s="160"/>
      <c r="T17" s="161"/>
      <c r="U17" s="189">
        <f t="shared" si="2"/>
        <v>0</v>
      </c>
      <c r="V17" s="189">
        <f t="shared" si="3"/>
        <v>8.7749999999999995E-2</v>
      </c>
      <c r="W17" s="189">
        <f t="shared" si="4"/>
        <v>0</v>
      </c>
      <c r="X17" s="189">
        <f t="shared" si="5"/>
        <v>0</v>
      </c>
      <c r="Y17" s="189">
        <f t="shared" si="6"/>
        <v>11.61225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199</v>
      </c>
      <c r="Q18" s="158">
        <v>10</v>
      </c>
      <c r="R18" s="159">
        <v>565.46</v>
      </c>
      <c r="S18" s="160"/>
      <c r="T18" s="161"/>
      <c r="U18" s="189">
        <f t="shared" si="2"/>
        <v>0</v>
      </c>
      <c r="V18" s="189">
        <f t="shared" si="3"/>
        <v>4.2409499999999998</v>
      </c>
      <c r="W18" s="189">
        <f t="shared" si="4"/>
        <v>0</v>
      </c>
      <c r="X18" s="189">
        <f t="shared" si="5"/>
        <v>0</v>
      </c>
      <c r="Y18" s="189">
        <f t="shared" si="6"/>
        <v>561.21905000000004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2133</v>
      </c>
      <c r="C19" s="95"/>
      <c r="D19" s="94"/>
      <c r="E19" s="96"/>
      <c r="F19" s="94"/>
      <c r="G19" s="94"/>
      <c r="H19" s="98"/>
      <c r="I19" s="99"/>
      <c r="J19" s="185">
        <f>B19-I19</f>
        <v>2133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200</v>
      </c>
      <c r="Q19" s="158">
        <v>10</v>
      </c>
      <c r="R19" s="159">
        <v>600.51</v>
      </c>
      <c r="S19" s="160"/>
      <c r="T19" s="161">
        <v>22.69</v>
      </c>
      <c r="U19" s="189">
        <f t="shared" si="2"/>
        <v>0.97801724137931056</v>
      </c>
      <c r="V19" s="189">
        <f t="shared" si="3"/>
        <v>4.503825</v>
      </c>
      <c r="W19" s="189">
        <f t="shared" si="4"/>
        <v>0</v>
      </c>
      <c r="X19" s="189">
        <f t="shared" si="5"/>
        <v>0.56725000000000003</v>
      </c>
      <c r="Y19" s="189">
        <f t="shared" si="6"/>
        <v>596.00617499999998</v>
      </c>
      <c r="Z19" s="189">
        <f t="shared" si="6"/>
        <v>0</v>
      </c>
      <c r="AA19" s="189">
        <f t="shared" si="7"/>
        <v>21.144732758620691</v>
      </c>
      <c r="AB19" s="156"/>
    </row>
    <row r="20" spans="1:28" ht="15.75" x14ac:dyDescent="0.25">
      <c r="A20" s="93" t="s">
        <v>80</v>
      </c>
      <c r="B20" s="97">
        <f>+B14+B16+B18</f>
        <v>12196.53</v>
      </c>
      <c r="C20" s="95"/>
      <c r="D20" s="94"/>
      <c r="E20" s="96"/>
      <c r="F20" s="94"/>
      <c r="G20" s="94"/>
      <c r="H20" s="98"/>
      <c r="I20" s="99">
        <v>12222.09</v>
      </c>
      <c r="J20" s="185">
        <f t="shared" si="0"/>
        <v>-25.559999999999491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633</v>
      </c>
      <c r="Q20" s="158">
        <v>18</v>
      </c>
      <c r="R20" s="159">
        <v>884.91</v>
      </c>
      <c r="S20" s="160"/>
      <c r="T20" s="161"/>
      <c r="U20" s="189">
        <f t="shared" si="2"/>
        <v>0</v>
      </c>
      <c r="V20" s="189">
        <f t="shared" si="3"/>
        <v>6.6368249999999991</v>
      </c>
      <c r="W20" s="189">
        <f t="shared" si="4"/>
        <v>0</v>
      </c>
      <c r="X20" s="189">
        <f t="shared" si="5"/>
        <v>0</v>
      </c>
      <c r="Y20" s="189">
        <f t="shared" si="6"/>
        <v>878.27317499999992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634</v>
      </c>
      <c r="Q21" s="158">
        <v>18</v>
      </c>
      <c r="R21" s="159">
        <v>651.97</v>
      </c>
      <c r="S21" s="160"/>
      <c r="T21" s="161">
        <v>84.84</v>
      </c>
      <c r="U21" s="189">
        <f t="shared" si="2"/>
        <v>3.6568965517241381</v>
      </c>
      <c r="V21" s="189">
        <f t="shared" si="3"/>
        <v>4.8897750000000002</v>
      </c>
      <c r="W21" s="189">
        <f t="shared" si="4"/>
        <v>0</v>
      </c>
      <c r="X21" s="189">
        <f t="shared" si="5"/>
        <v>2.121</v>
      </c>
      <c r="Y21" s="189">
        <f t="shared" si="6"/>
        <v>647.08022500000004</v>
      </c>
      <c r="Z21" s="189">
        <f t="shared" si="6"/>
        <v>0</v>
      </c>
      <c r="AA21" s="189">
        <f t="shared" si="7"/>
        <v>79.062103448275863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19.78</v>
      </c>
      <c r="C37" s="100"/>
      <c r="D37" s="66"/>
      <c r="E37" s="67"/>
      <c r="F37" s="66"/>
      <c r="G37" s="66"/>
      <c r="H37" s="102"/>
      <c r="I37" s="79">
        <v>19.78</v>
      </c>
      <c r="J37" s="81">
        <f t="shared" si="0"/>
        <v>0</v>
      </c>
      <c r="K37" s="80">
        <f>7.99+11.79</f>
        <v>19.78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113.33940000000001</v>
      </c>
      <c r="C38" s="100"/>
      <c r="D38" s="66"/>
      <c r="E38" s="67"/>
      <c r="F38" s="66"/>
      <c r="G38" s="66"/>
      <c r="H38" s="102"/>
      <c r="I38" s="79">
        <v>113.34</v>
      </c>
      <c r="J38" s="81">
        <f t="shared" si="0"/>
        <v>-5.9999999999149622E-4</v>
      </c>
      <c r="K38" s="80">
        <v>113.34</v>
      </c>
      <c r="L38" s="186">
        <f>K38-B38</f>
        <v>5.9999999999149622E-4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7172.58</v>
      </c>
      <c r="S42" s="190">
        <f t="shared" si="8"/>
        <v>0</v>
      </c>
      <c r="T42" s="190">
        <f t="shared" si="8"/>
        <v>221.32</v>
      </c>
      <c r="U42" s="190">
        <f t="shared" si="8"/>
        <v>9.539655172413795</v>
      </c>
      <c r="V42" s="190">
        <f t="shared" si="8"/>
        <v>53.794350000000001</v>
      </c>
      <c r="W42" s="190">
        <f t="shared" si="8"/>
        <v>0</v>
      </c>
      <c r="X42" s="190">
        <f t="shared" si="8"/>
        <v>5.5330000000000004</v>
      </c>
      <c r="Y42" s="190">
        <f t="shared" si="8"/>
        <v>7118.7856499999998</v>
      </c>
      <c r="Z42" s="190">
        <f t="shared" si="8"/>
        <v>0</v>
      </c>
      <c r="AA42" s="190">
        <f t="shared" si="8"/>
        <v>206.2473448275862</v>
      </c>
      <c r="AB42" s="166"/>
    </row>
    <row r="43" spans="1:28" ht="15.75" x14ac:dyDescent="0.25">
      <c r="A43" s="93" t="s">
        <v>101</v>
      </c>
      <c r="B43" s="97">
        <f>+B37+B39+B41</f>
        <v>19.78</v>
      </c>
      <c r="C43" s="95"/>
      <c r="D43" s="94"/>
      <c r="E43" s="96"/>
      <c r="F43" s="94"/>
      <c r="G43" s="94"/>
      <c r="H43" s="98"/>
      <c r="I43" s="99">
        <v>19.78</v>
      </c>
      <c r="J43" s="185">
        <f t="shared" si="0"/>
        <v>0</v>
      </c>
      <c r="K43" s="99">
        <v>19.78</v>
      </c>
      <c r="L43" s="187">
        <f>K43-B43</f>
        <v>0</v>
      </c>
      <c r="M43" s="107"/>
      <c r="N43" s="104">
        <v>1</v>
      </c>
      <c r="O43" s="167" t="s">
        <v>184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113.33940000000001</v>
      </c>
      <c r="C44" s="95"/>
      <c r="D44" s="94"/>
      <c r="E44" s="96"/>
      <c r="F44" s="94"/>
      <c r="G44" s="94"/>
      <c r="H44" s="98"/>
      <c r="I44" s="99">
        <v>113.34</v>
      </c>
      <c r="J44" s="185">
        <f t="shared" si="0"/>
        <v>-5.9999999999149622E-4</v>
      </c>
      <c r="K44" s="99">
        <v>113.34</v>
      </c>
      <c r="L44" s="187">
        <f>K44-B44</f>
        <v>5.9999999999149622E-4</v>
      </c>
      <c r="M44" s="107"/>
      <c r="N44" s="104">
        <v>2</v>
      </c>
      <c r="O44" s="167" t="s">
        <v>184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7172.58</v>
      </c>
      <c r="C46" s="116">
        <v>7.4999999999999997E-3</v>
      </c>
      <c r="D46" s="117">
        <f>B46*C46</f>
        <v>53.794349999999994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7118.7856499999998</v>
      </c>
      <c r="H46" s="173">
        <f>B$6+1</f>
        <v>44763</v>
      </c>
      <c r="I46" s="174">
        <v>7172.58</v>
      </c>
      <c r="J46" s="81">
        <f t="shared" si="0"/>
        <v>0</v>
      </c>
      <c r="K46" s="80">
        <v>7230.52</v>
      </c>
      <c r="L46" s="186">
        <f>K46-G46</f>
        <v>111.73435000000063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154.16</v>
      </c>
      <c r="C48" s="116">
        <v>7.4999999999999997E-3</v>
      </c>
      <c r="D48" s="117">
        <f t="shared" si="17"/>
        <v>1.1561999999999999</v>
      </c>
      <c r="E48" s="172">
        <v>0</v>
      </c>
      <c r="F48" s="117">
        <f t="shared" si="15"/>
        <v>0</v>
      </c>
      <c r="G48" s="117">
        <f t="shared" si="16"/>
        <v>153.00379999999998</v>
      </c>
      <c r="H48" s="173">
        <f t="shared" ref="H48:H61" si="19">B$6+1</f>
        <v>44763</v>
      </c>
      <c r="I48" s="176">
        <v>154.16</v>
      </c>
      <c r="J48" s="81">
        <f t="shared" si="0"/>
        <v>0</v>
      </c>
      <c r="K48" s="80"/>
      <c r="L48" s="186">
        <f t="shared" si="18"/>
        <v>153.00379999999998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3165.26</v>
      </c>
      <c r="C49" s="116">
        <v>7.4999999999999997E-3</v>
      </c>
      <c r="D49" s="117">
        <f t="shared" si="17"/>
        <v>23.739450000000001</v>
      </c>
      <c r="E49" s="172">
        <v>0</v>
      </c>
      <c r="F49" s="117">
        <f t="shared" si="15"/>
        <v>0</v>
      </c>
      <c r="G49" s="117">
        <f t="shared" si="16"/>
        <v>3141.5205500000002</v>
      </c>
      <c r="H49" s="173">
        <f t="shared" si="19"/>
        <v>44763</v>
      </c>
      <c r="I49" s="176">
        <f>2745.26</f>
        <v>2745.26</v>
      </c>
      <c r="J49" s="81">
        <f t="shared" si="0"/>
        <v>420</v>
      </c>
      <c r="K49" s="80"/>
      <c r="L49" s="186">
        <f t="shared" si="18"/>
        <v>3141.5205500000002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1494.6999999999998</v>
      </c>
      <c r="C50" s="116">
        <v>7.4999999999999997E-3</v>
      </c>
      <c r="D50" s="117">
        <f t="shared" si="17"/>
        <v>11.210249999999998</v>
      </c>
      <c r="E50" s="172">
        <v>0</v>
      </c>
      <c r="F50" s="117">
        <f t="shared" si="15"/>
        <v>0</v>
      </c>
      <c r="G50" s="117">
        <f t="shared" si="16"/>
        <v>1483.4897499999997</v>
      </c>
      <c r="H50" s="173">
        <f t="shared" si="19"/>
        <v>44763</v>
      </c>
      <c r="I50" s="175"/>
      <c r="J50" s="81">
        <f t="shared" si="0"/>
        <v>1494.6999999999998</v>
      </c>
      <c r="K50" s="80"/>
      <c r="L50" s="186">
        <f t="shared" si="18"/>
        <v>1483.4897499999997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676.99</v>
      </c>
      <c r="C51" s="116">
        <v>1.4999999999999999E-2</v>
      </c>
      <c r="D51" s="117">
        <f>+B51*C51</f>
        <v>10.15485</v>
      </c>
      <c r="E51" s="172">
        <v>0</v>
      </c>
      <c r="F51" s="117">
        <f>D51*E51</f>
        <v>0</v>
      </c>
      <c r="G51" s="117">
        <f t="shared" si="16"/>
        <v>666.83515</v>
      </c>
      <c r="H51" s="173">
        <f t="shared" si="19"/>
        <v>44763</v>
      </c>
      <c r="I51" s="175">
        <v>2170.5500000000002</v>
      </c>
      <c r="J51" s="81">
        <f t="shared" si="0"/>
        <v>-1493.5600000000002</v>
      </c>
      <c r="K51" s="80"/>
      <c r="L51" s="186">
        <f t="shared" si="18"/>
        <v>666.83515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221.32</v>
      </c>
      <c r="C52" s="116">
        <v>2.5000000000000001E-2</v>
      </c>
      <c r="D52" s="117">
        <f>B52*C52</f>
        <v>5.5330000000000004</v>
      </c>
      <c r="E52" s="172">
        <v>0.05</v>
      </c>
      <c r="F52" s="117">
        <f>(B52/E$10)*E52</f>
        <v>9.5396551724137932</v>
      </c>
      <c r="G52" s="117">
        <f>B52-D52-F52</f>
        <v>206.2473448275862</v>
      </c>
      <c r="H52" s="188">
        <f t="shared" si="19"/>
        <v>44763</v>
      </c>
      <c r="I52" s="176">
        <v>221.32</v>
      </c>
      <c r="J52" s="81">
        <f t="shared" si="0"/>
        <v>0</v>
      </c>
      <c r="K52" s="80">
        <v>101.28</v>
      </c>
      <c r="L52" s="186">
        <f>K52-G52</f>
        <v>-104.9673448275862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217</v>
      </c>
      <c r="B56" s="117">
        <f>T75</f>
        <v>68.599999999999994</v>
      </c>
      <c r="C56" s="116">
        <v>2.5000000000000001E-2</v>
      </c>
      <c r="D56" s="117">
        <f t="shared" si="20"/>
        <v>1.7149999999999999</v>
      </c>
      <c r="E56" s="172">
        <v>0.05</v>
      </c>
      <c r="F56" s="117">
        <f t="shared" si="21"/>
        <v>2.9568965517241379</v>
      </c>
      <c r="G56" s="117">
        <f t="shared" si="22"/>
        <v>63.928103448275856</v>
      </c>
      <c r="H56" s="173">
        <f t="shared" si="19"/>
        <v>44763</v>
      </c>
      <c r="I56" s="176">
        <v>68.599999999999994</v>
      </c>
      <c r="J56" s="81">
        <f t="shared" si="0"/>
        <v>0</v>
      </c>
      <c r="K56" s="80"/>
      <c r="L56" s="186">
        <f t="shared" si="18"/>
        <v>63.928103448275856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1865.13</v>
      </c>
      <c r="C59" s="18"/>
      <c r="D59" s="57"/>
      <c r="E59" s="177"/>
      <c r="F59" s="57"/>
      <c r="G59" s="57">
        <f>B59-D59-F59</f>
        <v>1865.13</v>
      </c>
      <c r="H59" s="173"/>
      <c r="I59" s="175">
        <v>1865.13</v>
      </c>
      <c r="J59" s="81">
        <f>B59-I59</f>
        <v>0</v>
      </c>
      <c r="K59" s="80"/>
      <c r="L59" s="186">
        <f t="shared" si="18"/>
        <v>1865.13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107.3031</v>
      </c>
      <c r="E61" s="177"/>
      <c r="F61" s="57">
        <f>SUM(F46:F58)</f>
        <v>12.49655172413793</v>
      </c>
      <c r="G61" s="57">
        <f>SUM(G46:G58)</f>
        <v>12833.810348275865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12833.810348275865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420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27532.750696551731</v>
      </c>
      <c r="H64" s="184"/>
      <c r="I64" s="175"/>
      <c r="J64" s="81">
        <f t="shared" si="0"/>
        <v>0</v>
      </c>
      <c r="K64" s="80"/>
      <c r="L64" s="186">
        <f t="shared" si="18"/>
        <v>27532.750696551731</v>
      </c>
      <c r="M64" s="130"/>
      <c r="N64" s="87">
        <v>1</v>
      </c>
      <c r="O64" s="122" t="s">
        <v>255</v>
      </c>
      <c r="P64" s="87">
        <v>5382</v>
      </c>
      <c r="Q64" s="87"/>
      <c r="R64" s="87">
        <v>7.7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5.7749999999999996E-2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7.6422499999999998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27977.109400000005</v>
      </c>
      <c r="G65" s="22"/>
      <c r="L65" s="132"/>
      <c r="M65" s="131"/>
      <c r="N65" s="87">
        <v>2</v>
      </c>
      <c r="O65" s="122" t="s">
        <v>255</v>
      </c>
      <c r="P65" s="87"/>
      <c r="Q65" s="87"/>
      <c r="R65" s="87">
        <v>63.83</v>
      </c>
      <c r="S65" s="87"/>
      <c r="T65" s="87"/>
      <c r="U65" s="189">
        <f t="shared" si="27"/>
        <v>0</v>
      </c>
      <c r="V65" s="189">
        <f t="shared" si="28"/>
        <v>0.47872499999999996</v>
      </c>
      <c r="W65" s="189">
        <f t="shared" si="29"/>
        <v>0</v>
      </c>
      <c r="X65" s="189">
        <f t="shared" si="30"/>
        <v>0</v>
      </c>
      <c r="Y65" s="189">
        <f t="shared" si="31"/>
        <v>63.351275000000001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223</v>
      </c>
      <c r="P66" s="87"/>
      <c r="Q66" s="87"/>
      <c r="R66" s="87">
        <v>3.54</v>
      </c>
      <c r="S66" s="87"/>
      <c r="T66" s="87"/>
      <c r="U66" s="189">
        <f t="shared" si="27"/>
        <v>0</v>
      </c>
      <c r="V66" s="189">
        <f t="shared" si="28"/>
        <v>2.6550000000000001E-2</v>
      </c>
      <c r="W66" s="189">
        <f t="shared" si="29"/>
        <v>0</v>
      </c>
      <c r="X66" s="189">
        <f t="shared" si="30"/>
        <v>0</v>
      </c>
      <c r="Y66" s="189">
        <f t="shared" si="31"/>
        <v>3.5134500000000002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223</v>
      </c>
      <c r="P67" s="87"/>
      <c r="Q67" s="87"/>
      <c r="R67" s="87">
        <f>11+16.02</f>
        <v>27.02</v>
      </c>
      <c r="S67" s="87"/>
      <c r="T67" s="87"/>
      <c r="U67" s="189">
        <f t="shared" si="27"/>
        <v>0</v>
      </c>
      <c r="V67" s="189">
        <f t="shared" si="28"/>
        <v>0.20265</v>
      </c>
      <c r="W67" s="189">
        <f t="shared" si="29"/>
        <v>0</v>
      </c>
      <c r="X67" s="189">
        <f t="shared" si="30"/>
        <v>0</v>
      </c>
      <c r="Y67" s="189">
        <f t="shared" si="31"/>
        <v>26.817350000000001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27600.240000000002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223</v>
      </c>
      <c r="P68" s="87"/>
      <c r="Q68" s="87"/>
      <c r="R68" s="87">
        <v>52.07</v>
      </c>
      <c r="S68" s="87"/>
      <c r="T68" s="87"/>
      <c r="U68" s="189">
        <f t="shared" si="27"/>
        <v>0</v>
      </c>
      <c r="V68" s="189">
        <f t="shared" si="28"/>
        <v>0.39052500000000001</v>
      </c>
      <c r="W68" s="189">
        <f t="shared" si="29"/>
        <v>0</v>
      </c>
      <c r="X68" s="189">
        <f t="shared" si="30"/>
        <v>0</v>
      </c>
      <c r="Y68" s="189">
        <f t="shared" si="31"/>
        <v>51.679475000000004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27933.8</v>
      </c>
      <c r="C69" s="59"/>
      <c r="F69" s="87" t="s">
        <v>127</v>
      </c>
      <c r="G69" s="22"/>
      <c r="H69" s="89"/>
      <c r="I69" s="136"/>
      <c r="J69" s="136">
        <f>K52</f>
        <v>101.28</v>
      </c>
      <c r="N69" s="312" t="s">
        <v>108</v>
      </c>
      <c r="O69" s="312"/>
      <c r="P69" s="313"/>
      <c r="Q69" s="313"/>
      <c r="R69" s="192">
        <f>SUM(R64:R68)</f>
        <v>154.16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1.1561999999999999</v>
      </c>
      <c r="W69" s="192">
        <f t="shared" si="33"/>
        <v>0</v>
      </c>
      <c r="X69" s="192">
        <f t="shared" si="33"/>
        <v>0</v>
      </c>
      <c r="Y69" s="192">
        <f t="shared" si="33"/>
        <v>153.00380000000001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-333.55999999999767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87" t="s">
        <v>259</v>
      </c>
      <c r="Q70" s="87">
        <v>1001</v>
      </c>
      <c r="R70" s="87">
        <f>861.84+36.92</f>
        <v>898.76</v>
      </c>
      <c r="S70" s="87"/>
      <c r="T70" s="87">
        <v>50.61</v>
      </c>
      <c r="U70" s="189">
        <f t="shared" ref="U70:U74" si="34">((T70/U$10)*U$9)</f>
        <v>2.1814655172413793</v>
      </c>
      <c r="V70" s="189">
        <f t="shared" ref="V70:V74" si="35">R70*V$10</f>
        <v>6.7406999999999995</v>
      </c>
      <c r="W70" s="189">
        <f t="shared" ref="W70:W74" si="36">+S70*V$10</f>
        <v>0</v>
      </c>
      <c r="X70" s="189">
        <f t="shared" ref="X70:X74" si="37">+T70*X$10</f>
        <v>1.26525</v>
      </c>
      <c r="Y70" s="189">
        <f t="shared" ref="Y70:Z74" si="38">R70-V70</f>
        <v>892.01930000000004</v>
      </c>
      <c r="Z70" s="189">
        <f t="shared" si="38"/>
        <v>0</v>
      </c>
      <c r="AA70" s="189">
        <f t="shared" ref="AA70:AA74" si="39">T70-U70-X70</f>
        <v>47.16328448275862</v>
      </c>
      <c r="AB70" s="87"/>
    </row>
    <row r="71" spans="1:30" ht="28.5" customHeight="1" thickBot="1" x14ac:dyDescent="0.3">
      <c r="A71" s="25" t="s">
        <v>56</v>
      </c>
      <c r="B71" s="70">
        <f>(B65-B69)-B72</f>
        <v>43.309400000005553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101.28</v>
      </c>
      <c r="N71" s="87">
        <v>2</v>
      </c>
      <c r="O71" s="122" t="s">
        <v>215</v>
      </c>
      <c r="P71" s="87">
        <v>15</v>
      </c>
      <c r="Q71" s="87">
        <v>2001</v>
      </c>
      <c r="R71" s="87">
        <v>10.65</v>
      </c>
      <c r="S71" s="87"/>
      <c r="T71" s="87"/>
      <c r="U71" s="189">
        <f t="shared" si="34"/>
        <v>0</v>
      </c>
      <c r="V71" s="189">
        <f t="shared" si="35"/>
        <v>7.9875000000000002E-2</v>
      </c>
      <c r="W71" s="189">
        <f t="shared" si="36"/>
        <v>0</v>
      </c>
      <c r="X71" s="189">
        <f t="shared" si="37"/>
        <v>0</v>
      </c>
      <c r="Y71" s="189">
        <f t="shared" si="38"/>
        <v>10.570125000000001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87">
        <v>3</v>
      </c>
      <c r="Q72" s="87">
        <v>1001</v>
      </c>
      <c r="R72" s="137">
        <v>765.49</v>
      </c>
      <c r="S72" s="87"/>
      <c r="T72" s="137">
        <v>15.99</v>
      </c>
      <c r="U72" s="189">
        <f t="shared" si="34"/>
        <v>0.68922413793103454</v>
      </c>
      <c r="V72" s="189">
        <f t="shared" si="35"/>
        <v>5.7411750000000001</v>
      </c>
      <c r="W72" s="189">
        <f t="shared" si="36"/>
        <v>0</v>
      </c>
      <c r="X72" s="189">
        <f t="shared" si="37"/>
        <v>0.39975000000000005</v>
      </c>
      <c r="Y72" s="189">
        <f t="shared" si="38"/>
        <v>759.74882500000001</v>
      </c>
      <c r="Z72" s="189">
        <f t="shared" si="38"/>
        <v>0</v>
      </c>
      <c r="AA72" s="189">
        <f t="shared" si="39"/>
        <v>14.901025862068966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215</v>
      </c>
      <c r="P73" s="87">
        <v>173</v>
      </c>
      <c r="Q73" s="87">
        <v>2001</v>
      </c>
      <c r="R73" s="137">
        <v>1070.3599999999999</v>
      </c>
      <c r="S73" s="87"/>
      <c r="T73" s="87">
        <v>2</v>
      </c>
      <c r="U73" s="189">
        <f t="shared" si="34"/>
        <v>8.6206896551724144E-2</v>
      </c>
      <c r="V73" s="189">
        <f t="shared" si="35"/>
        <v>8.0276999999999994</v>
      </c>
      <c r="W73" s="189">
        <f t="shared" si="36"/>
        <v>0</v>
      </c>
      <c r="X73" s="189">
        <f t="shared" si="37"/>
        <v>0.05</v>
      </c>
      <c r="Y73" s="189">
        <f t="shared" si="38"/>
        <v>1062.3322999999998</v>
      </c>
      <c r="Z73" s="189">
        <f t="shared" si="38"/>
        <v>0</v>
      </c>
      <c r="AA73" s="189">
        <f t="shared" si="39"/>
        <v>1.8637931034482758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>
        <f>145+30+155+80+10</f>
        <v>420</v>
      </c>
      <c r="S74" s="87"/>
      <c r="T74" s="87"/>
      <c r="U74" s="189">
        <f t="shared" si="34"/>
        <v>0</v>
      </c>
      <c r="V74" s="189">
        <f t="shared" si="35"/>
        <v>3.15</v>
      </c>
      <c r="W74" s="189">
        <f t="shared" si="36"/>
        <v>0</v>
      </c>
      <c r="X74" s="189">
        <f t="shared" si="37"/>
        <v>0</v>
      </c>
      <c r="Y74" s="189">
        <f t="shared" si="38"/>
        <v>416.85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3165.26</v>
      </c>
      <c r="S75" s="192"/>
      <c r="T75" s="192">
        <f>SUM(T70:T74)</f>
        <v>68.599999999999994</v>
      </c>
      <c r="U75" s="192">
        <f>SUM(U70:U74)</f>
        <v>2.9568965517241379</v>
      </c>
      <c r="V75" s="192">
        <f t="shared" ref="V75:AA75" si="41">SUM(V70:V74)</f>
        <v>23.739449999999998</v>
      </c>
      <c r="W75" s="192">
        <f t="shared" si="41"/>
        <v>0</v>
      </c>
      <c r="X75" s="192">
        <f t="shared" si="41"/>
        <v>1.7150000000000001</v>
      </c>
      <c r="Y75" s="192">
        <f t="shared" si="41"/>
        <v>3141.5205499999997</v>
      </c>
      <c r="Z75" s="192">
        <f t="shared" si="41"/>
        <v>0</v>
      </c>
      <c r="AA75" s="193">
        <f t="shared" si="41"/>
        <v>63.928103448275863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31.7</v>
      </c>
      <c r="Q78" s="137"/>
      <c r="R78" s="82">
        <v>7.4999999999999997E-3</v>
      </c>
      <c r="S78" s="216">
        <f>+(P78+Q78)*R78</f>
        <v>0.23774999999999999</v>
      </c>
      <c r="T78" s="219">
        <f>+(P78+Q78)-S78</f>
        <v>31.462250000000001</v>
      </c>
      <c r="U78" s="211">
        <v>35.79</v>
      </c>
      <c r="V78" s="112"/>
      <c r="W78" s="113">
        <v>1.4999999999999999E-2</v>
      </c>
      <c r="X78" s="217">
        <f>+(U78+V78)*W78</f>
        <v>0.53684999999999994</v>
      </c>
      <c r="Y78" s="254">
        <f>+(U78+V78)-X78</f>
        <v>35.253149999999998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46.82</v>
      </c>
      <c r="Q79" s="137">
        <v>30.2</v>
      </c>
      <c r="R79" s="82">
        <v>7.4999999999999997E-3</v>
      </c>
      <c r="S79" s="216">
        <f t="shared" ref="S79:S97" si="43">+(P79+Q79)*R79</f>
        <v>0.57765</v>
      </c>
      <c r="T79" s="219">
        <f t="shared" ref="T79:T97" si="44">+(P79+Q79)-S79</f>
        <v>76.44234999999999</v>
      </c>
      <c r="U79" s="211">
        <v>61.82</v>
      </c>
      <c r="V79" s="112"/>
      <c r="W79" s="113">
        <v>1.4999999999999999E-2</v>
      </c>
      <c r="X79" s="217">
        <f t="shared" ref="X79:X97" si="45">+(U79+V79)*W79</f>
        <v>0.92730000000000001</v>
      </c>
      <c r="Y79" s="254">
        <f t="shared" ref="Y79:Y97" si="46">+(U79+V79)-X79</f>
        <v>60.892699999999998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36.979999999999997</v>
      </c>
      <c r="Q80" s="137">
        <v>47.58</v>
      </c>
      <c r="R80" s="82">
        <v>7.4999999999999997E-3</v>
      </c>
      <c r="S80" s="216">
        <f t="shared" si="43"/>
        <v>0.63419999999999999</v>
      </c>
      <c r="T80" s="219">
        <f t="shared" si="44"/>
        <v>83.925799999999995</v>
      </c>
      <c r="U80" s="211">
        <v>19.399999999999999</v>
      </c>
      <c r="V80" s="112"/>
      <c r="W80" s="113">
        <v>1.4999999999999999E-2</v>
      </c>
      <c r="X80" s="217">
        <f t="shared" si="45"/>
        <v>0.29099999999999998</v>
      </c>
      <c r="Y80" s="254">
        <f t="shared" si="46"/>
        <v>19.108999999999998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279.61</v>
      </c>
      <c r="Q81" s="137">
        <v>64.489999999999995</v>
      </c>
      <c r="R81" s="82">
        <v>7.4999999999999997E-3</v>
      </c>
      <c r="S81" s="216">
        <f t="shared" si="43"/>
        <v>2.5807500000000001</v>
      </c>
      <c r="T81" s="219">
        <f t="shared" si="44"/>
        <v>341.51925</v>
      </c>
      <c r="U81" s="211">
        <v>43.91</v>
      </c>
      <c r="V81" s="112"/>
      <c r="W81" s="113">
        <v>1.4999999999999999E-2</v>
      </c>
      <c r="X81" s="217">
        <f t="shared" si="45"/>
        <v>0.65864999999999996</v>
      </c>
      <c r="Y81" s="254">
        <f t="shared" si="46"/>
        <v>43.251349999999995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11.3</v>
      </c>
      <c r="Q82" s="137">
        <v>77.08</v>
      </c>
      <c r="R82" s="82">
        <v>7.4999999999999997E-3</v>
      </c>
      <c r="S82" s="216">
        <f t="shared" si="43"/>
        <v>0.66284999999999994</v>
      </c>
      <c r="T82" s="219">
        <f t="shared" si="44"/>
        <v>87.71714999999999</v>
      </c>
      <c r="U82" s="211">
        <v>17.2</v>
      </c>
      <c r="V82" s="112"/>
      <c r="W82" s="113">
        <v>1.4999999999999999E-2</v>
      </c>
      <c r="X82" s="217">
        <f t="shared" si="45"/>
        <v>0.25800000000000001</v>
      </c>
      <c r="Y82" s="254">
        <f t="shared" si="46"/>
        <v>16.942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85.97</v>
      </c>
      <c r="Q83" s="87">
        <v>65.62</v>
      </c>
      <c r="R83" s="82">
        <v>7.4999999999999997E-3</v>
      </c>
      <c r="S83" s="216">
        <f t="shared" si="43"/>
        <v>1.136925</v>
      </c>
      <c r="T83" s="219">
        <f t="shared" si="44"/>
        <v>150.45307500000001</v>
      </c>
      <c r="U83" s="112">
        <v>8.6</v>
      </c>
      <c r="V83" s="112"/>
      <c r="W83" s="113">
        <v>1.4999999999999999E-2</v>
      </c>
      <c r="X83" s="196">
        <f t="shared" si="45"/>
        <v>0.129</v>
      </c>
      <c r="Y83" s="264">
        <f t="shared" si="46"/>
        <v>8.4710000000000001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>
        <v>5.5</v>
      </c>
      <c r="V84" s="112"/>
      <c r="W84" s="113">
        <v>1.4999999999999999E-2</v>
      </c>
      <c r="X84" s="196">
        <f t="shared" si="45"/>
        <v>8.249999999999999E-2</v>
      </c>
      <c r="Y84" s="217">
        <f t="shared" si="46"/>
        <v>5.4175000000000004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164.69</v>
      </c>
      <c r="Q85" s="87">
        <v>57.62</v>
      </c>
      <c r="R85" s="82">
        <v>7.4999999999999997E-3</v>
      </c>
      <c r="S85" s="194">
        <f t="shared" si="43"/>
        <v>1.6673249999999999</v>
      </c>
      <c r="T85" s="216">
        <f t="shared" si="44"/>
        <v>220.642675</v>
      </c>
      <c r="U85" s="112">
        <v>261.27</v>
      </c>
      <c r="V85" s="112"/>
      <c r="W85" s="113">
        <v>1.4999999999999999E-2</v>
      </c>
      <c r="X85" s="196">
        <f t="shared" si="45"/>
        <v>3.9190499999999995</v>
      </c>
      <c r="Y85" s="254">
        <f t="shared" si="46"/>
        <v>257.35094999999995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92.55</v>
      </c>
      <c r="Q86" s="87">
        <v>123.48</v>
      </c>
      <c r="R86" s="82">
        <v>7.4999999999999997E-3</v>
      </c>
      <c r="S86" s="194">
        <f t="shared" si="43"/>
        <v>1.620225</v>
      </c>
      <c r="T86" s="254">
        <f t="shared" si="44"/>
        <v>214.409775</v>
      </c>
      <c r="U86" s="112">
        <v>80.94</v>
      </c>
      <c r="V86" s="112"/>
      <c r="W86" s="113">
        <v>1.4999999999999999E-2</v>
      </c>
      <c r="X86" s="196">
        <f t="shared" si="45"/>
        <v>1.2141</v>
      </c>
      <c r="Y86" s="254">
        <f t="shared" si="46"/>
        <v>79.725899999999996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165.12</v>
      </c>
      <c r="Q87" s="87">
        <v>113.89</v>
      </c>
      <c r="R87" s="82">
        <v>7.4999999999999997E-3</v>
      </c>
      <c r="S87" s="194">
        <f t="shared" si="43"/>
        <v>2.0925750000000001</v>
      </c>
      <c r="T87" s="254">
        <f t="shared" si="44"/>
        <v>276.91742499999998</v>
      </c>
      <c r="U87" s="112">
        <v>142.56</v>
      </c>
      <c r="V87" s="112"/>
      <c r="W87" s="113">
        <v>1.4999999999999999E-2</v>
      </c>
      <c r="X87" s="196">
        <f t="shared" si="45"/>
        <v>2.1383999999999999</v>
      </c>
      <c r="Y87" s="254">
        <f t="shared" si="46"/>
        <v>140.42160000000001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914.7399999999999</v>
      </c>
      <c r="Q98" s="195">
        <f>SUM(Q78:Q97)</f>
        <v>579.96</v>
      </c>
      <c r="R98" s="111"/>
      <c r="S98" s="195">
        <f>SUM(S78:S97)</f>
        <v>11.21025</v>
      </c>
      <c r="T98" s="195">
        <f>SUM(T78:T97)</f>
        <v>1483.4897500000002</v>
      </c>
      <c r="U98" s="114">
        <f>SUM(U78:U97)</f>
        <v>676.99</v>
      </c>
      <c r="V98" s="114">
        <f>SUM(V78:V97)</f>
        <v>0</v>
      </c>
      <c r="W98" s="112"/>
      <c r="X98" s="197">
        <f>SUM(X78:X97)</f>
        <v>10.15485</v>
      </c>
      <c r="Y98" s="197">
        <f>SUM(Y78:Y97)</f>
        <v>666.83515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/>
    </row>
    <row r="101" spans="14:30" x14ac:dyDescent="0.25">
      <c r="N101" s="85"/>
      <c r="P101" s="212"/>
      <c r="R101" s="215">
        <f t="shared" ref="R101:R106" si="50">P78+Q78+U78</f>
        <v>67.489999999999995</v>
      </c>
    </row>
    <row r="102" spans="14:30" x14ac:dyDescent="0.25">
      <c r="N102" s="85"/>
      <c r="R102" s="215">
        <f>P79+Q79+U79</f>
        <v>138.84</v>
      </c>
    </row>
    <row r="103" spans="14:30" x14ac:dyDescent="0.25">
      <c r="N103" s="85"/>
      <c r="R103" s="215">
        <f t="shared" si="50"/>
        <v>103.96000000000001</v>
      </c>
    </row>
    <row r="104" spans="14:30" x14ac:dyDescent="0.25">
      <c r="N104" s="85"/>
      <c r="R104" s="215">
        <f t="shared" si="50"/>
        <v>388.01</v>
      </c>
    </row>
    <row r="105" spans="14:30" x14ac:dyDescent="0.25">
      <c r="N105" s="85"/>
      <c r="R105" s="215">
        <f t="shared" si="50"/>
        <v>105.58</v>
      </c>
    </row>
    <row r="106" spans="14:30" x14ac:dyDescent="0.25">
      <c r="N106" s="85"/>
      <c r="R106" s="215">
        <f t="shared" si="50"/>
        <v>160.19</v>
      </c>
    </row>
    <row r="107" spans="14:30" x14ac:dyDescent="0.25">
      <c r="N107" s="85"/>
      <c r="R107" s="212">
        <f>P84+Q84+U84</f>
        <v>5.5</v>
      </c>
    </row>
    <row r="108" spans="14:30" x14ac:dyDescent="0.25">
      <c r="N108" s="85"/>
      <c r="R108" s="246">
        <f>P85+Q85+U85</f>
        <v>483.58</v>
      </c>
    </row>
    <row r="109" spans="14:30" x14ac:dyDescent="0.25">
      <c r="N109" s="85"/>
      <c r="R109" s="246">
        <f>P86+Q86+U86</f>
        <v>296.97000000000003</v>
      </c>
    </row>
    <row r="110" spans="14:30" x14ac:dyDescent="0.25">
      <c r="N110" s="85"/>
      <c r="R110" s="85">
        <f>P87+Q87+U87</f>
        <v>421.57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1238.7</v>
      </c>
      <c r="C12" s="15"/>
      <c r="D12" s="56"/>
      <c r="E12" s="16"/>
      <c r="F12" s="56"/>
      <c r="G12" s="56"/>
      <c r="H12" s="17"/>
      <c r="I12" s="83">
        <v>1238.7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186</v>
      </c>
      <c r="Q12" s="158">
        <v>11</v>
      </c>
      <c r="R12" s="159">
        <v>80.239999999999995</v>
      </c>
      <c r="S12" s="160"/>
      <c r="T12" s="160"/>
      <c r="U12" s="189">
        <f>((T12/U$10)*U$9)</f>
        <v>0</v>
      </c>
      <c r="V12" s="189">
        <f>R12*V$10</f>
        <v>0.60179999999999989</v>
      </c>
      <c r="W12" s="189">
        <f>+S12*V$10</f>
        <v>0</v>
      </c>
      <c r="X12" s="189">
        <f>+T12*X$10</f>
        <v>0</v>
      </c>
      <c r="Y12" s="189">
        <f>R12-V12</f>
        <v>79.638199999999998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2160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2160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187</v>
      </c>
      <c r="Q13" s="158">
        <v>11</v>
      </c>
      <c r="R13" s="159">
        <v>1765.6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13.241999999999999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1752.3579999999999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12376.800000000001</v>
      </c>
      <c r="C14" s="15"/>
      <c r="D14" s="56"/>
      <c r="E14" s="16"/>
      <c r="F14" s="56"/>
      <c r="G14" s="56"/>
      <c r="H14" s="17"/>
      <c r="I14" s="83"/>
      <c r="J14" s="81">
        <f t="shared" si="0"/>
        <v>12376.800000000001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569</v>
      </c>
      <c r="Q14" s="158">
        <v>2</v>
      </c>
      <c r="R14" s="159">
        <v>503.6</v>
      </c>
      <c r="S14" s="160"/>
      <c r="T14" s="161"/>
      <c r="U14" s="189">
        <f t="shared" si="2"/>
        <v>0</v>
      </c>
      <c r="V14" s="189">
        <f t="shared" si="3"/>
        <v>3.7770000000000001</v>
      </c>
      <c r="W14" s="189">
        <f t="shared" si="4"/>
        <v>0</v>
      </c>
      <c r="X14" s="189">
        <f t="shared" si="5"/>
        <v>0</v>
      </c>
      <c r="Y14" s="189">
        <f t="shared" si="6"/>
        <v>499.82300000000004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570</v>
      </c>
      <c r="Q15" s="158">
        <v>2</v>
      </c>
      <c r="R15" s="159">
        <v>1859.85</v>
      </c>
      <c r="S15" s="160"/>
      <c r="T15" s="161"/>
      <c r="U15" s="189">
        <f t="shared" si="2"/>
        <v>0</v>
      </c>
      <c r="V15" s="189">
        <f t="shared" si="3"/>
        <v>13.948874999999999</v>
      </c>
      <c r="W15" s="189">
        <f t="shared" si="4"/>
        <v>0</v>
      </c>
      <c r="X15" s="189">
        <f t="shared" si="5"/>
        <v>0</v>
      </c>
      <c r="Y15" s="189">
        <f t="shared" si="6"/>
        <v>1845.9011249999999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550</v>
      </c>
      <c r="Q16" s="158">
        <v>4</v>
      </c>
      <c r="R16" s="159">
        <v>546.1</v>
      </c>
      <c r="S16" s="160"/>
      <c r="T16" s="161">
        <v>0</v>
      </c>
      <c r="U16" s="189">
        <f t="shared" si="2"/>
        <v>0</v>
      </c>
      <c r="V16" s="189">
        <f t="shared" si="3"/>
        <v>4.0957499999999998</v>
      </c>
      <c r="W16" s="189">
        <f t="shared" si="4"/>
        <v>0</v>
      </c>
      <c r="X16" s="189">
        <f t="shared" si="5"/>
        <v>0</v>
      </c>
      <c r="Y16" s="189">
        <f t="shared" si="6"/>
        <v>542.00425000000007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551</v>
      </c>
      <c r="Q17" s="158">
        <v>4</v>
      </c>
      <c r="R17" s="159">
        <v>2459.81</v>
      </c>
      <c r="S17" s="160"/>
      <c r="T17" s="161"/>
      <c r="U17" s="189">
        <f t="shared" si="2"/>
        <v>0</v>
      </c>
      <c r="V17" s="189">
        <f t="shared" si="3"/>
        <v>18.448574999999998</v>
      </c>
      <c r="W17" s="189">
        <f t="shared" si="4"/>
        <v>0</v>
      </c>
      <c r="X17" s="189">
        <f t="shared" si="5"/>
        <v>0</v>
      </c>
      <c r="Y17" s="189">
        <f t="shared" si="6"/>
        <v>2441.3614250000001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201</v>
      </c>
      <c r="Q18" s="158">
        <v>10</v>
      </c>
      <c r="R18" s="159">
        <v>970.52</v>
      </c>
      <c r="S18" s="160"/>
      <c r="T18" s="161"/>
      <c r="U18" s="189">
        <f t="shared" si="2"/>
        <v>0</v>
      </c>
      <c r="V18" s="189">
        <f t="shared" si="3"/>
        <v>7.2788999999999993</v>
      </c>
      <c r="W18" s="189">
        <f t="shared" si="4"/>
        <v>0</v>
      </c>
      <c r="X18" s="189">
        <f t="shared" si="5"/>
        <v>0</v>
      </c>
      <c r="Y18" s="189">
        <f t="shared" si="6"/>
        <v>963.24109999999996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2160</v>
      </c>
      <c r="C19" s="95"/>
      <c r="D19" s="94"/>
      <c r="E19" s="96"/>
      <c r="F19" s="94"/>
      <c r="G19" s="94"/>
      <c r="H19" s="98"/>
      <c r="I19" s="99"/>
      <c r="J19" s="185">
        <f>B19-I19</f>
        <v>2160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203</v>
      </c>
      <c r="Q19" s="158">
        <v>10</v>
      </c>
      <c r="R19" s="159">
        <v>612.72</v>
      </c>
      <c r="S19" s="160"/>
      <c r="T19" s="161">
        <v>11</v>
      </c>
      <c r="U19" s="189">
        <f t="shared" si="2"/>
        <v>0.47413793103448287</v>
      </c>
      <c r="V19" s="189">
        <f t="shared" si="3"/>
        <v>4.5953999999999997</v>
      </c>
      <c r="W19" s="189">
        <f t="shared" si="4"/>
        <v>0</v>
      </c>
      <c r="X19" s="189">
        <f t="shared" si="5"/>
        <v>0.27500000000000002</v>
      </c>
      <c r="Y19" s="189">
        <f t="shared" si="6"/>
        <v>608.12459999999999</v>
      </c>
      <c r="Z19" s="189">
        <f t="shared" si="6"/>
        <v>0</v>
      </c>
      <c r="AA19" s="189">
        <f t="shared" si="7"/>
        <v>10.250862068965517</v>
      </c>
      <c r="AB19" s="156"/>
    </row>
    <row r="20" spans="1:28" ht="15.75" x14ac:dyDescent="0.25">
      <c r="A20" s="93" t="s">
        <v>80</v>
      </c>
      <c r="B20" s="97">
        <f>+B14+B16+B18</f>
        <v>12376.800000000001</v>
      </c>
      <c r="C20" s="95"/>
      <c r="D20" s="94"/>
      <c r="E20" s="96"/>
      <c r="F20" s="94"/>
      <c r="G20" s="94"/>
      <c r="H20" s="98"/>
      <c r="I20" s="99">
        <v>12376.8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202</v>
      </c>
      <c r="Q20" s="158">
        <v>10</v>
      </c>
      <c r="R20" s="159">
        <v>127.51</v>
      </c>
      <c r="S20" s="160"/>
      <c r="T20" s="161"/>
      <c r="U20" s="189">
        <f t="shared" si="2"/>
        <v>0</v>
      </c>
      <c r="V20" s="189">
        <f t="shared" si="3"/>
        <v>0.95632499999999998</v>
      </c>
      <c r="W20" s="189">
        <f t="shared" si="4"/>
        <v>0</v>
      </c>
      <c r="X20" s="189">
        <f t="shared" si="5"/>
        <v>0</v>
      </c>
      <c r="Y20" s="189">
        <f t="shared" si="6"/>
        <v>126.553675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635</v>
      </c>
      <c r="Q21" s="158">
        <v>18</v>
      </c>
      <c r="R21" s="159">
        <v>575.79</v>
      </c>
      <c r="S21" s="160"/>
      <c r="T21" s="161"/>
      <c r="U21" s="189">
        <f t="shared" si="2"/>
        <v>0</v>
      </c>
      <c r="V21" s="189">
        <f t="shared" si="3"/>
        <v>4.3184249999999995</v>
      </c>
      <c r="W21" s="189">
        <f t="shared" si="4"/>
        <v>0</v>
      </c>
      <c r="X21" s="189">
        <f t="shared" si="5"/>
        <v>0</v>
      </c>
      <c r="Y21" s="189">
        <f t="shared" si="6"/>
        <v>571.47157499999992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636</v>
      </c>
      <c r="Q22" s="158">
        <v>18</v>
      </c>
      <c r="R22" s="162">
        <v>1432.85</v>
      </c>
      <c r="S22" s="160"/>
      <c r="T22" s="160"/>
      <c r="U22" s="189">
        <f t="shared" si="2"/>
        <v>0</v>
      </c>
      <c r="V22" s="189">
        <f t="shared" si="3"/>
        <v>10.746374999999999</v>
      </c>
      <c r="W22" s="189">
        <f t="shared" si="4"/>
        <v>0</v>
      </c>
      <c r="X22" s="189">
        <f t="shared" si="5"/>
        <v>0</v>
      </c>
      <c r="Y22" s="189">
        <f t="shared" si="6"/>
        <v>1422.103625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54.57</v>
      </c>
      <c r="C29" s="100"/>
      <c r="D29" s="66"/>
      <c r="E29" s="67"/>
      <c r="F29" s="66"/>
      <c r="G29" s="66"/>
      <c r="H29" s="102"/>
      <c r="I29" s="79">
        <v>54.57</v>
      </c>
      <c r="J29" s="81">
        <f t="shared" si="0"/>
        <v>0</v>
      </c>
      <c r="K29" s="80">
        <v>54.57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312.68610000000001</v>
      </c>
      <c r="C30" s="100"/>
      <c r="D30" s="66"/>
      <c r="E30" s="67"/>
      <c r="F30" s="66"/>
      <c r="G30" s="66"/>
      <c r="H30" s="102"/>
      <c r="I30" s="79"/>
      <c r="J30" s="81">
        <f t="shared" si="0"/>
        <v>312.68610000000001</v>
      </c>
      <c r="K30" s="80">
        <v>312.69</v>
      </c>
      <c r="L30" s="186">
        <f>K30-B30</f>
        <v>3.899999999987358E-3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54.57</v>
      </c>
      <c r="C35" s="95"/>
      <c r="D35" s="94"/>
      <c r="E35" s="96"/>
      <c r="F35" s="94"/>
      <c r="G35" s="94"/>
      <c r="H35" s="98"/>
      <c r="I35" s="99"/>
      <c r="J35" s="185">
        <f t="shared" si="0"/>
        <v>54.57</v>
      </c>
      <c r="K35" s="99">
        <v>54.57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312.68610000000001</v>
      </c>
      <c r="C36" s="95"/>
      <c r="D36" s="94"/>
      <c r="E36" s="96"/>
      <c r="F36" s="94"/>
      <c r="G36" s="94"/>
      <c r="H36" s="98"/>
      <c r="I36" s="99"/>
      <c r="J36" s="185">
        <f t="shared" si="0"/>
        <v>312.68610000000001</v>
      </c>
      <c r="K36" s="99">
        <v>312.69</v>
      </c>
      <c r="L36" s="187">
        <f>K36-B36</f>
        <v>3.899999999987358E-3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95.77</v>
      </c>
      <c r="C37" s="100"/>
      <c r="D37" s="66"/>
      <c r="E37" s="67"/>
      <c r="F37" s="66"/>
      <c r="G37" s="66"/>
      <c r="H37" s="102"/>
      <c r="I37" s="79">
        <v>95.77</v>
      </c>
      <c r="J37" s="81">
        <f t="shared" si="0"/>
        <v>0</v>
      </c>
      <c r="K37" s="80">
        <v>95.77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548.76210000000003</v>
      </c>
      <c r="C38" s="100"/>
      <c r="D38" s="66"/>
      <c r="E38" s="67"/>
      <c r="F38" s="66"/>
      <c r="G38" s="66"/>
      <c r="H38" s="102"/>
      <c r="I38" s="79"/>
      <c r="J38" s="81">
        <f t="shared" si="0"/>
        <v>548.76210000000003</v>
      </c>
      <c r="K38" s="80">
        <v>548.76</v>
      </c>
      <c r="L38" s="186">
        <f>K38-B38</f>
        <v>-2.1000000000412911E-3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10934.590000000002</v>
      </c>
      <c r="S42" s="190">
        <f t="shared" si="8"/>
        <v>0</v>
      </c>
      <c r="T42" s="190">
        <f t="shared" si="8"/>
        <v>11</v>
      </c>
      <c r="U42" s="190">
        <f t="shared" si="8"/>
        <v>0.47413793103448287</v>
      </c>
      <c r="V42" s="190">
        <f t="shared" si="8"/>
        <v>82.009425000000007</v>
      </c>
      <c r="W42" s="190">
        <f t="shared" si="8"/>
        <v>0</v>
      </c>
      <c r="X42" s="190">
        <f t="shared" si="8"/>
        <v>0.27500000000000002</v>
      </c>
      <c r="Y42" s="190">
        <f t="shared" si="8"/>
        <v>10852.580574999998</v>
      </c>
      <c r="Z42" s="190">
        <f t="shared" si="8"/>
        <v>0</v>
      </c>
      <c r="AA42" s="190">
        <f t="shared" si="8"/>
        <v>10.250862068965517</v>
      </c>
      <c r="AB42" s="166"/>
    </row>
    <row r="43" spans="1:28" ht="15.75" x14ac:dyDescent="0.25">
      <c r="A43" s="93" t="s">
        <v>101</v>
      </c>
      <c r="B43" s="97">
        <f>+B37+B39+B41</f>
        <v>95.77</v>
      </c>
      <c r="C43" s="95"/>
      <c r="D43" s="94"/>
      <c r="E43" s="96"/>
      <c r="F43" s="94"/>
      <c r="G43" s="94"/>
      <c r="H43" s="98"/>
      <c r="I43" s="99"/>
      <c r="J43" s="185">
        <f t="shared" si="0"/>
        <v>95.77</v>
      </c>
      <c r="K43" s="99">
        <v>95.77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548.76210000000003</v>
      </c>
      <c r="C44" s="95"/>
      <c r="D44" s="94"/>
      <c r="E44" s="96"/>
      <c r="F44" s="94"/>
      <c r="G44" s="94"/>
      <c r="H44" s="98"/>
      <c r="I44" s="99"/>
      <c r="J44" s="185">
        <f t="shared" si="0"/>
        <v>548.76210000000003</v>
      </c>
      <c r="K44" s="99">
        <v>548.76</v>
      </c>
      <c r="L44" s="187">
        <f>K44-B44</f>
        <v>-2.1000000000412911E-3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10934.590000000002</v>
      </c>
      <c r="C46" s="116">
        <v>7.4999999999999997E-3</v>
      </c>
      <c r="D46" s="117">
        <f>B46*C46</f>
        <v>82.009425000000007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10852.580575000002</v>
      </c>
      <c r="H46" s="173">
        <f>B$6+1</f>
        <v>44764</v>
      </c>
      <c r="I46" s="174">
        <v>10934.59</v>
      </c>
      <c r="J46" s="81">
        <f t="shared" si="0"/>
        <v>0</v>
      </c>
      <c r="K46" s="80"/>
      <c r="L46" s="186">
        <f t="shared" ref="L46:L64" si="17">+G46-K46</f>
        <v>10852.580575000002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106.25999999999999</v>
      </c>
      <c r="C48" s="116">
        <v>7.4999999999999997E-3</v>
      </c>
      <c r="D48" s="117">
        <f t="shared" si="18"/>
        <v>0.79694999999999994</v>
      </c>
      <c r="E48" s="172">
        <v>0</v>
      </c>
      <c r="F48" s="117">
        <f t="shared" si="15"/>
        <v>0</v>
      </c>
      <c r="G48" s="117">
        <f t="shared" si="16"/>
        <v>105.46305</v>
      </c>
      <c r="H48" s="173">
        <f t="shared" ref="H48:H61" si="19">B$6+1</f>
        <v>44764</v>
      </c>
      <c r="I48" s="176">
        <v>106.26</v>
      </c>
      <c r="J48" s="81">
        <f t="shared" si="0"/>
        <v>0</v>
      </c>
      <c r="K48" s="80"/>
      <c r="L48" s="186">
        <f t="shared" si="17"/>
        <v>105.46305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167</v>
      </c>
      <c r="B49" s="117">
        <f>R75</f>
        <v>3138.73</v>
      </c>
      <c r="C49" s="116">
        <v>7.4999999999999997E-3</v>
      </c>
      <c r="D49" s="117">
        <f t="shared" si="18"/>
        <v>23.540475000000001</v>
      </c>
      <c r="E49" s="172">
        <v>0</v>
      </c>
      <c r="F49" s="117">
        <f t="shared" si="15"/>
        <v>0</v>
      </c>
      <c r="G49" s="117">
        <f t="shared" si="16"/>
        <v>3115.1895250000002</v>
      </c>
      <c r="H49" s="173">
        <f t="shared" si="19"/>
        <v>44764</v>
      </c>
      <c r="I49" s="176">
        <f>2603.74</f>
        <v>2603.7399999999998</v>
      </c>
      <c r="J49" s="81">
        <f>B49-I49</f>
        <v>534.99000000000024</v>
      </c>
      <c r="K49" s="80"/>
      <c r="L49" s="186">
        <f t="shared" si="17"/>
        <v>3115.1895250000002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1943.0600000000002</v>
      </c>
      <c r="C50" s="116">
        <v>7.4999999999999997E-3</v>
      </c>
      <c r="D50" s="117">
        <f t="shared" si="18"/>
        <v>14.572950000000001</v>
      </c>
      <c r="E50" s="172">
        <v>0</v>
      </c>
      <c r="F50" s="117">
        <f t="shared" si="15"/>
        <v>0</v>
      </c>
      <c r="G50" s="117">
        <f t="shared" si="16"/>
        <v>1928.4870500000002</v>
      </c>
      <c r="H50" s="173">
        <f t="shared" si="19"/>
        <v>44764</v>
      </c>
      <c r="I50" s="175"/>
      <c r="J50" s="81">
        <f t="shared" si="0"/>
        <v>1943.0600000000002</v>
      </c>
      <c r="K50" s="80"/>
      <c r="L50" s="186">
        <f t="shared" si="17"/>
        <v>1928.4870500000002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1054.8599999999999</v>
      </c>
      <c r="C51" s="116">
        <v>1.4999999999999999E-2</v>
      </c>
      <c r="D51" s="117">
        <f>+B51*C51</f>
        <v>15.822899999999997</v>
      </c>
      <c r="E51" s="172">
        <v>0</v>
      </c>
      <c r="F51" s="117">
        <f>D51*E51</f>
        <v>0</v>
      </c>
      <c r="G51" s="117">
        <f t="shared" si="16"/>
        <v>1039.0371</v>
      </c>
      <c r="H51" s="173">
        <f t="shared" si="19"/>
        <v>44764</v>
      </c>
      <c r="I51" s="175">
        <v>2997.92</v>
      </c>
      <c r="J51" s="81">
        <f t="shared" si="0"/>
        <v>-1943.0600000000002</v>
      </c>
      <c r="K51" s="80"/>
      <c r="L51" s="186">
        <f t="shared" si="17"/>
        <v>1039.0371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</v>
      </c>
      <c r="C52" s="116">
        <v>2.5000000000000001E-2</v>
      </c>
      <c r="D52" s="117">
        <f>B52*C52</f>
        <v>0.27500000000000002</v>
      </c>
      <c r="E52" s="172">
        <v>0.05</v>
      </c>
      <c r="F52" s="117">
        <f>(B52/E$10)*E52</f>
        <v>0.47413793103448287</v>
      </c>
      <c r="G52" s="117">
        <f>B52-D52-F52</f>
        <v>10.250862068965517</v>
      </c>
      <c r="H52" s="188">
        <f t="shared" si="19"/>
        <v>44764</v>
      </c>
      <c r="I52" s="176">
        <v>86.55</v>
      </c>
      <c r="J52" s="81">
        <f t="shared" si="0"/>
        <v>-75.55</v>
      </c>
      <c r="K52" s="80"/>
      <c r="L52" s="186">
        <f>K52-G52</f>
        <v>-10.250862068965517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168</v>
      </c>
      <c r="B56" s="117">
        <f>T75</f>
        <v>129.30000000000001</v>
      </c>
      <c r="C56" s="116">
        <v>2.5000000000000001E-2</v>
      </c>
      <c r="D56" s="117">
        <f t="shared" si="20"/>
        <v>3.2325000000000004</v>
      </c>
      <c r="E56" s="172">
        <v>0.05</v>
      </c>
      <c r="F56" s="117">
        <f t="shared" si="21"/>
        <v>5.5732758620689671</v>
      </c>
      <c r="G56" s="117">
        <f t="shared" si="22"/>
        <v>120.49422413793104</v>
      </c>
      <c r="H56" s="173">
        <f t="shared" si="19"/>
        <v>44764</v>
      </c>
      <c r="I56" s="176">
        <f>53.75</f>
        <v>53.75</v>
      </c>
      <c r="J56" s="81">
        <f t="shared" si="0"/>
        <v>75.550000000000011</v>
      </c>
      <c r="K56" s="80"/>
      <c r="L56" s="186">
        <f t="shared" si="17"/>
        <v>120.49422413793104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140.25020000000001</v>
      </c>
      <c r="E61" s="177"/>
      <c r="F61" s="57">
        <f>SUM(F46:F58)</f>
        <v>6.0474137931034502</v>
      </c>
      <c r="G61" s="57">
        <f>SUM(G46:G58)</f>
        <v>17171.502386206899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17171.502386206899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535</v>
      </c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535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34343.004772413798</v>
      </c>
      <c r="H64" s="184"/>
      <c r="I64" s="175"/>
      <c r="J64" s="81">
        <f t="shared" si="0"/>
        <v>0</v>
      </c>
      <c r="K64" s="80"/>
      <c r="L64" s="186">
        <f t="shared" si="17"/>
        <v>34343.004772413798</v>
      </c>
      <c r="M64" s="130"/>
      <c r="N64" s="87">
        <v>1</v>
      </c>
      <c r="O64" s="122" t="s">
        <v>224</v>
      </c>
      <c r="P64" s="87"/>
      <c r="Q64" s="225"/>
      <c r="R64" s="221">
        <v>7.2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5.3999999999999999E-2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7.1459999999999999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31259.748200000002</v>
      </c>
      <c r="G65" s="22"/>
      <c r="L65" s="132"/>
      <c r="M65" s="131"/>
      <c r="N65" s="87">
        <v>2</v>
      </c>
      <c r="O65" s="122"/>
      <c r="P65" s="87"/>
      <c r="Q65" s="225"/>
      <c r="R65" s="225">
        <v>22.2</v>
      </c>
      <c r="S65" s="225"/>
      <c r="T65" s="87"/>
      <c r="U65" s="189">
        <f t="shared" si="27"/>
        <v>0</v>
      </c>
      <c r="V65" s="189">
        <f t="shared" si="28"/>
        <v>0.16649999999999998</v>
      </c>
      <c r="W65" s="189">
        <f t="shared" si="29"/>
        <v>0</v>
      </c>
      <c r="X65" s="189">
        <f t="shared" si="30"/>
        <v>0</v>
      </c>
      <c r="Y65" s="189">
        <f t="shared" si="31"/>
        <v>22.0335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5"/>
      <c r="R66" s="225">
        <v>68.8</v>
      </c>
      <c r="S66" s="225"/>
      <c r="T66" s="87"/>
      <c r="U66" s="189">
        <f t="shared" si="27"/>
        <v>0</v>
      </c>
      <c r="V66" s="189">
        <f t="shared" si="28"/>
        <v>0.51600000000000001</v>
      </c>
      <c r="W66" s="189">
        <f t="shared" si="29"/>
        <v>0</v>
      </c>
      <c r="X66" s="189">
        <f t="shared" si="30"/>
        <v>0</v>
      </c>
      <c r="Y66" s="189">
        <f t="shared" si="31"/>
        <v>68.283999999999992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/>
      <c r="P67" s="87"/>
      <c r="Q67" s="225"/>
      <c r="R67" s="225">
        <v>8.06</v>
      </c>
      <c r="S67" s="225"/>
      <c r="T67" s="87"/>
      <c r="U67" s="189">
        <f t="shared" si="27"/>
        <v>0</v>
      </c>
      <c r="V67" s="189">
        <f t="shared" si="28"/>
        <v>6.0450000000000004E-2</v>
      </c>
      <c r="W67" s="189">
        <f t="shared" si="29"/>
        <v>0</v>
      </c>
      <c r="X67" s="189">
        <f t="shared" si="30"/>
        <v>0</v>
      </c>
      <c r="Y67" s="189">
        <f t="shared" si="31"/>
        <v>7.9995500000000002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30931.919999999998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31289.17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106.25999999999999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0.79694999999999994</v>
      </c>
      <c r="W69" s="192">
        <f t="shared" si="33"/>
        <v>0</v>
      </c>
      <c r="X69" s="192">
        <f t="shared" si="33"/>
        <v>0</v>
      </c>
      <c r="Y69" s="192">
        <f t="shared" si="33"/>
        <v>105.46305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30931.919999999998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 t="s">
        <v>260</v>
      </c>
      <c r="Q70" s="221">
        <v>1001</v>
      </c>
      <c r="R70" s="236">
        <v>1164.1199999999999</v>
      </c>
      <c r="S70" s="225"/>
      <c r="T70" s="236">
        <v>75.55</v>
      </c>
      <c r="U70" s="189">
        <f t="shared" ref="U70:U74" si="34">((T70/U$10)*U$9)</f>
        <v>3.2564655172413794</v>
      </c>
      <c r="V70" s="189">
        <f t="shared" ref="V70:V74" si="35">R70*V$10</f>
        <v>8.7308999999999983</v>
      </c>
      <c r="W70" s="189">
        <f t="shared" ref="W70:W74" si="36">+S70*V$10</f>
        <v>0</v>
      </c>
      <c r="X70" s="189">
        <f t="shared" ref="X70:X74" si="37">+T70*X$10</f>
        <v>1.8887499999999999</v>
      </c>
      <c r="Y70" s="189">
        <f t="shared" ref="Y70:Z74" si="38">R70-V70</f>
        <v>1155.3890999999999</v>
      </c>
      <c r="Z70" s="189">
        <f t="shared" si="38"/>
        <v>0</v>
      </c>
      <c r="AA70" s="189">
        <f t="shared" ref="AA70:AA74" si="39">T70-U70-X70</f>
        <v>70.404784482758615</v>
      </c>
      <c r="AB70" s="87"/>
    </row>
    <row r="71" spans="1:30" ht="28.5" customHeight="1" thickBot="1" x14ac:dyDescent="0.3">
      <c r="A71" s="25" t="s">
        <v>56</v>
      </c>
      <c r="B71" s="70">
        <f>(B65-B69)-B72</f>
        <v>-29.421799999996438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197</v>
      </c>
      <c r="P71" s="225" t="s">
        <v>261</v>
      </c>
      <c r="Q71" s="225">
        <v>1001</v>
      </c>
      <c r="R71" s="236">
        <v>270.64999999999998</v>
      </c>
      <c r="S71" s="225"/>
      <c r="T71" s="240">
        <v>15.73</v>
      </c>
      <c r="U71" s="189">
        <f t="shared" si="34"/>
        <v>0.67801724137931041</v>
      </c>
      <c r="V71" s="189">
        <f t="shared" si="35"/>
        <v>2.0298749999999997</v>
      </c>
      <c r="W71" s="189">
        <f t="shared" si="36"/>
        <v>0</v>
      </c>
      <c r="X71" s="189">
        <f t="shared" si="37"/>
        <v>0.39325000000000004</v>
      </c>
      <c r="Y71" s="189">
        <f t="shared" si="38"/>
        <v>268.62012499999997</v>
      </c>
      <c r="Z71" s="189">
        <f t="shared" si="38"/>
        <v>0</v>
      </c>
      <c r="AA71" s="189">
        <f t="shared" si="39"/>
        <v>14.65873275862069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>
        <v>174</v>
      </c>
      <c r="Q72" s="225">
        <v>2001</v>
      </c>
      <c r="R72" s="236">
        <v>70.55</v>
      </c>
      <c r="S72" s="225"/>
      <c r="T72" s="225"/>
      <c r="U72" s="189">
        <f t="shared" si="34"/>
        <v>0</v>
      </c>
      <c r="V72" s="189">
        <f t="shared" si="35"/>
        <v>0.52912499999999996</v>
      </c>
      <c r="W72" s="189">
        <f t="shared" si="36"/>
        <v>0</v>
      </c>
      <c r="X72" s="189">
        <f t="shared" si="37"/>
        <v>0</v>
      </c>
      <c r="Y72" s="189">
        <f t="shared" si="38"/>
        <v>70.020875000000004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>
        <v>106</v>
      </c>
      <c r="Q73" s="225">
        <v>1001</v>
      </c>
      <c r="R73" s="236">
        <v>1098.4100000000001</v>
      </c>
      <c r="S73" s="225"/>
      <c r="T73" s="240">
        <v>38.020000000000003</v>
      </c>
      <c r="U73" s="189">
        <f t="shared" si="34"/>
        <v>1.6387931034482763</v>
      </c>
      <c r="V73" s="189">
        <f t="shared" si="35"/>
        <v>8.2380750000000003</v>
      </c>
      <c r="W73" s="189">
        <f t="shared" si="36"/>
        <v>0</v>
      </c>
      <c r="X73" s="189">
        <f t="shared" si="37"/>
        <v>0.95050000000000012</v>
      </c>
      <c r="Y73" s="189">
        <f t="shared" si="38"/>
        <v>1090.1719250000001</v>
      </c>
      <c r="Z73" s="189">
        <f t="shared" si="38"/>
        <v>0</v>
      </c>
      <c r="AA73" s="189">
        <f t="shared" si="39"/>
        <v>35.430706896551726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221">
        <f>155+115+110+40+55+60</f>
        <v>535</v>
      </c>
      <c r="S74" s="87"/>
      <c r="T74" s="87"/>
      <c r="U74" s="189">
        <f t="shared" si="34"/>
        <v>0</v>
      </c>
      <c r="V74" s="189">
        <f t="shared" si="35"/>
        <v>4.0125000000000002</v>
      </c>
      <c r="W74" s="189">
        <f t="shared" si="36"/>
        <v>0</v>
      </c>
      <c r="X74" s="189">
        <f t="shared" si="37"/>
        <v>0</v>
      </c>
      <c r="Y74" s="189">
        <f t="shared" si="38"/>
        <v>530.98749999999995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3138.73</v>
      </c>
      <c r="S75" s="192"/>
      <c r="T75" s="192">
        <f>SUM(T70:T74)</f>
        <v>129.30000000000001</v>
      </c>
      <c r="U75" s="192">
        <f>SUM(U70:U74)</f>
        <v>5.5732758620689662</v>
      </c>
      <c r="V75" s="192">
        <f t="shared" ref="V75:AA75" si="41">SUM(V70:V74)</f>
        <v>23.540474999999997</v>
      </c>
      <c r="W75" s="192">
        <f t="shared" si="41"/>
        <v>0</v>
      </c>
      <c r="X75" s="192">
        <f t="shared" si="41"/>
        <v>3.2324999999999999</v>
      </c>
      <c r="Y75" s="192">
        <f t="shared" si="41"/>
        <v>3115.1895249999998</v>
      </c>
      <c r="Z75" s="192">
        <f t="shared" si="41"/>
        <v>0</v>
      </c>
      <c r="AA75" s="193">
        <f t="shared" si="41"/>
        <v>120.49422413793103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41.82</v>
      </c>
      <c r="Q78" s="137">
        <v>6.6</v>
      </c>
      <c r="R78" s="82">
        <v>7.4999999999999997E-3</v>
      </c>
      <c r="S78" s="194">
        <f>+(P78+Q78)*R78</f>
        <v>0.36314999999999997</v>
      </c>
      <c r="T78" s="219">
        <f>+(P78+Q78)-S78</f>
        <v>48.056850000000004</v>
      </c>
      <c r="U78" s="211"/>
      <c r="V78" s="112"/>
      <c r="W78" s="113">
        <v>1.4999999999999999E-2</v>
      </c>
      <c r="X78" s="196">
        <f>+(U78+V78)*W78</f>
        <v>0</v>
      </c>
      <c r="Y78" s="232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366.6</v>
      </c>
      <c r="Q79" s="137">
        <v>63.78</v>
      </c>
      <c r="R79" s="82">
        <v>7.4999999999999997E-3</v>
      </c>
      <c r="S79" s="194">
        <f t="shared" ref="S79:S97" si="43">+(P79+Q79)*R79</f>
        <v>3.2278499999999997</v>
      </c>
      <c r="T79" s="219">
        <f t="shared" ref="T79:T97" si="44">+(P79+Q79)-S79</f>
        <v>427.15215000000001</v>
      </c>
      <c r="U79" s="211">
        <v>931.01</v>
      </c>
      <c r="V79" s="112"/>
      <c r="W79" s="113">
        <v>1.4999999999999999E-2</v>
      </c>
      <c r="X79" s="196">
        <f t="shared" ref="X79:X97" si="45">+(U79+V79)*W79</f>
        <v>13.96515</v>
      </c>
      <c r="Y79" s="232">
        <f t="shared" ref="Y79:Y97" si="46">+(U79+V79)-X79</f>
        <v>917.04485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9.6999999999999993</v>
      </c>
      <c r="Q80" s="137">
        <v>53.42</v>
      </c>
      <c r="R80" s="82">
        <v>7.4999999999999997E-3</v>
      </c>
      <c r="S80" s="194">
        <f t="shared" si="43"/>
        <v>0.47340000000000004</v>
      </c>
      <c r="T80" s="219">
        <f t="shared" si="44"/>
        <v>62.646600000000007</v>
      </c>
      <c r="U80" s="211">
        <v>16.190000000000001</v>
      </c>
      <c r="V80" s="112"/>
      <c r="W80" s="113">
        <v>1.4999999999999999E-2</v>
      </c>
      <c r="X80" s="196">
        <f t="shared" si="45"/>
        <v>0.24285000000000001</v>
      </c>
      <c r="Y80" s="232">
        <f t="shared" si="46"/>
        <v>15.947150000000001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162.22</v>
      </c>
      <c r="Q81" s="137"/>
      <c r="R81" s="82">
        <v>7.4999999999999997E-3</v>
      </c>
      <c r="S81" s="194">
        <f t="shared" si="43"/>
        <v>1.21665</v>
      </c>
      <c r="T81" s="219">
        <f t="shared" si="44"/>
        <v>161.00335000000001</v>
      </c>
      <c r="U81" s="211">
        <v>65.290000000000006</v>
      </c>
      <c r="V81" s="112"/>
      <c r="W81" s="113">
        <v>1.4999999999999999E-2</v>
      </c>
      <c r="X81" s="196">
        <f t="shared" si="45"/>
        <v>0.97935000000000005</v>
      </c>
      <c r="Y81" s="232">
        <f t="shared" si="46"/>
        <v>64.31065000000001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99.14</v>
      </c>
      <c r="Q82" s="137">
        <v>11.46</v>
      </c>
      <c r="R82" s="82">
        <v>7.4999999999999997E-3</v>
      </c>
      <c r="S82" s="194">
        <f t="shared" si="43"/>
        <v>0.8294999999999999</v>
      </c>
      <c r="T82" s="219">
        <f t="shared" si="44"/>
        <v>109.7705</v>
      </c>
      <c r="U82" s="211">
        <v>11</v>
      </c>
      <c r="V82" s="112"/>
      <c r="W82" s="113">
        <v>1.4999999999999999E-2</v>
      </c>
      <c r="X82" s="196">
        <f t="shared" si="45"/>
        <v>0.16499999999999998</v>
      </c>
      <c r="Y82" s="232">
        <f t="shared" si="46"/>
        <v>10.835000000000001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102.74</v>
      </c>
      <c r="Q83" s="137">
        <v>69.989999999999995</v>
      </c>
      <c r="R83" s="82">
        <v>7.4999999999999997E-3</v>
      </c>
      <c r="S83" s="194">
        <f t="shared" si="43"/>
        <v>1.2954749999999999</v>
      </c>
      <c r="T83" s="219">
        <f t="shared" si="44"/>
        <v>171.43452499999998</v>
      </c>
      <c r="U83" s="211"/>
      <c r="V83" s="112"/>
      <c r="W83" s="113">
        <v>1.4999999999999999E-2</v>
      </c>
      <c r="X83" s="196">
        <f t="shared" si="45"/>
        <v>0</v>
      </c>
      <c r="Y83" s="23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108.57</v>
      </c>
      <c r="Q84" s="87"/>
      <c r="R84" s="82">
        <v>7.4999999999999997E-3</v>
      </c>
      <c r="S84" s="194">
        <f t="shared" si="43"/>
        <v>0.81427499999999997</v>
      </c>
      <c r="T84" s="219">
        <f t="shared" si="44"/>
        <v>107.755725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25.82</v>
      </c>
      <c r="Q85" s="87">
        <v>261.68</v>
      </c>
      <c r="R85" s="82">
        <v>7.4999999999999997E-3</v>
      </c>
      <c r="S85" s="194">
        <f t="shared" si="43"/>
        <v>2.15625</v>
      </c>
      <c r="T85" s="219">
        <f t="shared" si="44"/>
        <v>285.34375</v>
      </c>
      <c r="U85" s="112">
        <v>5.54</v>
      </c>
      <c r="V85" s="112"/>
      <c r="W85" s="113">
        <v>1.4999999999999999E-2</v>
      </c>
      <c r="X85" s="196">
        <f t="shared" si="45"/>
        <v>8.3099999999999993E-2</v>
      </c>
      <c r="Y85" s="217">
        <f t="shared" si="46"/>
        <v>5.4569000000000001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90.09</v>
      </c>
      <c r="Q86" s="87">
        <v>12.49</v>
      </c>
      <c r="R86" s="82">
        <v>7.4999999999999997E-3</v>
      </c>
      <c r="S86" s="194">
        <f t="shared" si="43"/>
        <v>0.76934999999999998</v>
      </c>
      <c r="T86" s="219">
        <f t="shared" si="44"/>
        <v>101.81065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456.94</v>
      </c>
      <c r="Q87" s="87"/>
      <c r="R87" s="82">
        <v>7.4999999999999997E-3</v>
      </c>
      <c r="S87" s="194">
        <f t="shared" si="43"/>
        <v>3.4270499999999999</v>
      </c>
      <c r="T87" s="220">
        <f t="shared" si="44"/>
        <v>453.51294999999999</v>
      </c>
      <c r="U87" s="112">
        <v>25.83</v>
      </c>
      <c r="V87" s="112"/>
      <c r="W87" s="113">
        <v>1.4999999999999999E-2</v>
      </c>
      <c r="X87" s="196">
        <f t="shared" si="45"/>
        <v>0.38744999999999996</v>
      </c>
      <c r="Y87" s="217">
        <f t="shared" si="46"/>
        <v>25.442549999999997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1463.64</v>
      </c>
      <c r="Q98" s="195">
        <f>SUM(Q78:Q97)</f>
        <v>479.42</v>
      </c>
      <c r="R98" s="111"/>
      <c r="S98" s="195">
        <f>SUM(S78:S97)</f>
        <v>14.572949999999999</v>
      </c>
      <c r="T98" s="195">
        <f>SUM(T78:T97)</f>
        <v>1928.48705</v>
      </c>
      <c r="U98" s="114">
        <f>SUM(U78:U97)</f>
        <v>1054.8599999999999</v>
      </c>
      <c r="V98" s="114">
        <f>SUM(V78:V97)</f>
        <v>0</v>
      </c>
      <c r="W98" s="112"/>
      <c r="X98" s="197">
        <f>SUM(X78:X97)</f>
        <v>15.822899999999999</v>
      </c>
      <c r="Y98" s="197">
        <f>SUM(Y78:Y97)</f>
        <v>1039.0371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48.42</v>
      </c>
      <c r="R102" s="84"/>
    </row>
    <row r="103" spans="14:30" x14ac:dyDescent="0.25">
      <c r="N103" s="85"/>
      <c r="P103" s="84"/>
      <c r="Q103" s="215">
        <f t="shared" ref="Q103:Q112" si="50">P79+Q79+U79</f>
        <v>1361.3899999999999</v>
      </c>
      <c r="R103" s="84"/>
    </row>
    <row r="104" spans="14:30" x14ac:dyDescent="0.25">
      <c r="N104" s="85"/>
      <c r="P104" s="84"/>
      <c r="Q104" s="215">
        <f t="shared" si="50"/>
        <v>79.31</v>
      </c>
      <c r="R104" s="84"/>
    </row>
    <row r="105" spans="14:30" x14ac:dyDescent="0.25">
      <c r="N105" s="85"/>
      <c r="P105" s="84"/>
      <c r="Q105" s="215">
        <f t="shared" si="50"/>
        <v>227.51</v>
      </c>
      <c r="R105" s="84"/>
    </row>
    <row r="106" spans="14:30" x14ac:dyDescent="0.25">
      <c r="N106" s="85"/>
      <c r="P106" s="84"/>
      <c r="Q106" s="215">
        <f t="shared" si="50"/>
        <v>121.6</v>
      </c>
      <c r="R106" s="84"/>
    </row>
    <row r="107" spans="14:30" x14ac:dyDescent="0.25">
      <c r="N107" s="85"/>
      <c r="P107" s="84"/>
      <c r="Q107" s="218">
        <f t="shared" si="50"/>
        <v>172.73</v>
      </c>
      <c r="R107" s="84"/>
    </row>
    <row r="108" spans="14:30" x14ac:dyDescent="0.25">
      <c r="N108" s="85"/>
      <c r="P108" s="84"/>
      <c r="Q108" s="246">
        <f t="shared" si="50"/>
        <v>108.57</v>
      </c>
      <c r="R108" s="84"/>
    </row>
    <row r="109" spans="14:30" x14ac:dyDescent="0.25">
      <c r="N109" s="85"/>
      <c r="P109" s="84"/>
      <c r="Q109" s="246">
        <f>P85+Q85+U85</f>
        <v>293.04000000000002</v>
      </c>
      <c r="R109" s="84"/>
    </row>
    <row r="110" spans="14:30" x14ac:dyDescent="0.25">
      <c r="N110" s="85"/>
      <c r="P110" s="84"/>
      <c r="Q110" s="246">
        <f t="shared" si="50"/>
        <v>102.58</v>
      </c>
      <c r="R110" s="84"/>
    </row>
    <row r="111" spans="14:30" x14ac:dyDescent="0.25">
      <c r="N111" s="85"/>
      <c r="P111" s="84"/>
      <c r="Q111" s="84">
        <f>P87+Q87+U87</f>
        <v>482.77</v>
      </c>
      <c r="R111" s="84"/>
    </row>
    <row r="112" spans="14:30" x14ac:dyDescent="0.25">
      <c r="N112" s="85"/>
      <c r="Q112" s="85">
        <f t="shared" si="50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9"/>
      <c r="B1" s="293" t="s">
        <v>11</v>
      </c>
      <c r="C1" s="294"/>
      <c r="D1" s="294"/>
      <c r="E1" s="294"/>
      <c r="F1" s="294"/>
      <c r="G1" s="294"/>
      <c r="H1" s="294"/>
      <c r="I1" s="295"/>
    </row>
    <row r="2" spans="1:9" s="84" customFormat="1" ht="16.5" customHeight="1" x14ac:dyDescent="0.25">
      <c r="A2" s="289"/>
      <c r="B2" s="296" t="s">
        <v>12</v>
      </c>
      <c r="C2" s="297"/>
      <c r="D2" s="297"/>
      <c r="E2" s="297"/>
      <c r="F2" s="297"/>
      <c r="G2" s="297"/>
      <c r="H2" s="297"/>
      <c r="I2" s="298"/>
    </row>
    <row r="3" spans="1:9" s="84" customFormat="1" ht="16.5" customHeight="1" x14ac:dyDescent="0.25">
      <c r="A3" s="289"/>
      <c r="B3" s="292"/>
      <c r="C3" s="292"/>
      <c r="D3" s="292"/>
      <c r="E3" s="292"/>
      <c r="F3" s="292"/>
      <c r="G3" s="292"/>
      <c r="H3" s="292"/>
      <c r="I3" s="292"/>
    </row>
    <row r="4" spans="1:9" x14ac:dyDescent="0.25">
      <c r="B4" s="292"/>
      <c r="C4" s="292"/>
      <c r="D4" s="292"/>
      <c r="E4" s="292"/>
      <c r="F4" s="292"/>
      <c r="G4" s="292"/>
    </row>
    <row r="6" spans="1:9" ht="15.75" thickBot="1" x14ac:dyDescent="0.3"/>
    <row r="7" spans="1:9" x14ac:dyDescent="0.25">
      <c r="E7" s="290" t="s">
        <v>13</v>
      </c>
      <c r="F7" s="291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>
        <f>'DIA 1'!B$6</f>
        <v>44774</v>
      </c>
      <c r="B9" s="199">
        <f>+'DIA 1'!G$47</f>
        <v>1545.9973999999997</v>
      </c>
      <c r="C9" s="199">
        <f>+'DIA 1'!G$53</f>
        <v>185.32626724137933</v>
      </c>
      <c r="D9" s="203">
        <f>B9+C9</f>
        <v>1731.3236672413791</v>
      </c>
      <c r="E9" s="204">
        <f>+'DIA 1'!K$47</f>
        <v>1546</v>
      </c>
      <c r="F9" s="205">
        <f>+'DIA 1'!K$53</f>
        <v>185.33</v>
      </c>
      <c r="G9" s="206">
        <f>B9-E9</f>
        <v>-2.6000000002568413E-3</v>
      </c>
      <c r="H9" s="206">
        <f>C9-F9</f>
        <v>-3.7327586206856722E-3</v>
      </c>
    </row>
    <row r="10" spans="1:9" x14ac:dyDescent="0.25">
      <c r="A10" s="46">
        <f>'DIA 2'!B$6</f>
        <v>44775</v>
      </c>
      <c r="B10" s="199">
        <f>'DIA 2'!G$47</f>
        <v>1658.5965250000002</v>
      </c>
      <c r="C10" s="199">
        <f>'DIA 2'!G$53</f>
        <v>65.344586206896551</v>
      </c>
      <c r="D10" s="203">
        <f t="shared" ref="D10:D39" si="0">B10+C10</f>
        <v>1723.9411112068967</v>
      </c>
      <c r="E10" s="199">
        <f>'DIA 2'!K$47</f>
        <v>1658.6</v>
      </c>
      <c r="F10" s="199">
        <f>'DIA 2'!K$53</f>
        <v>65.34</v>
      </c>
      <c r="G10" s="206">
        <f t="shared" ref="G10:H39" si="1">B10-E10</f>
        <v>-3.4749999997529812E-3</v>
      </c>
      <c r="H10" s="206">
        <f t="shared" si="1"/>
        <v>4.586206896547651E-3</v>
      </c>
    </row>
    <row r="11" spans="1:9" x14ac:dyDescent="0.25">
      <c r="A11" s="46">
        <f>'DIA 3'!B$6</f>
        <v>44776</v>
      </c>
      <c r="B11" s="199">
        <f>'DIA 3'!G$47</f>
        <v>0</v>
      </c>
      <c r="C11" s="199">
        <f>'DIA 3'!G$53</f>
        <v>5.4329568965517243</v>
      </c>
      <c r="D11" s="203">
        <f t="shared" si="0"/>
        <v>5.4329568965517243</v>
      </c>
      <c r="E11" s="199">
        <f>'DIA 3'!K$47</f>
        <v>0</v>
      </c>
      <c r="F11" s="199">
        <f>'DIA 3'!K$53</f>
        <v>5.43</v>
      </c>
      <c r="G11" s="206">
        <f t="shared" si="1"/>
        <v>0</v>
      </c>
      <c r="H11" s="206">
        <f t="shared" si="1"/>
        <v>2.9568965517245971E-3</v>
      </c>
    </row>
    <row r="12" spans="1:9" x14ac:dyDescent="0.25">
      <c r="A12" s="46">
        <f>'DIA 4'!B$6</f>
        <v>44777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7'!G$47</f>
        <v>522.63065000000006</v>
      </c>
      <c r="C15" s="199">
        <f>'DIA 7'!G$53</f>
        <v>7.0544568965517236</v>
      </c>
      <c r="D15" s="203">
        <f t="shared" si="0"/>
        <v>529.68510689655182</v>
      </c>
      <c r="E15" s="199">
        <f>'DIA 7'!K$47</f>
        <v>522.61</v>
      </c>
      <c r="F15" s="199">
        <f>'DIA 7'!K$53</f>
        <v>0</v>
      </c>
      <c r="G15" s="206">
        <f t="shared" si="1"/>
        <v>2.065000000004602E-2</v>
      </c>
      <c r="H15" s="206">
        <f t="shared" si="1"/>
        <v>7.0544568965517236</v>
      </c>
    </row>
    <row r="16" spans="1:9" x14ac:dyDescent="0.25">
      <c r="A16" s="46">
        <f>'DIA 8'!B$6</f>
        <v>44781</v>
      </c>
      <c r="B16" s="199">
        <f>'DIA 8'!G$47</f>
        <v>1384.5970499999999</v>
      </c>
      <c r="C16" s="199">
        <f>'DIA 8'!G$53</f>
        <v>7.1756034482758624</v>
      </c>
      <c r="D16" s="203">
        <f t="shared" si="0"/>
        <v>1391.7726534482756</v>
      </c>
      <c r="E16" s="199">
        <f>'DIA 8'!K$47</f>
        <v>1384.6</v>
      </c>
      <c r="F16" s="199">
        <f>'DIA 8'!K$53</f>
        <v>7.18</v>
      </c>
      <c r="G16" s="206">
        <f t="shared" si="1"/>
        <v>-2.9500000000552973E-3</v>
      </c>
      <c r="H16" s="206">
        <f t="shared" si="1"/>
        <v>-4.396551724137332E-3</v>
      </c>
    </row>
    <row r="17" spans="1:8" x14ac:dyDescent="0.25">
      <c r="A17" s="46">
        <f>'DIA 9'!B$6</f>
        <v>44782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10'!G$47</f>
        <v>70.884349999999998</v>
      </c>
      <c r="C18" s="199">
        <f>'DIA 10'!G$53</f>
        <v>0</v>
      </c>
      <c r="D18" s="203">
        <f t="shared" si="0"/>
        <v>70.884349999999998</v>
      </c>
      <c r="E18" s="199">
        <f>'DIA 10'!K$47</f>
        <v>0</v>
      </c>
      <c r="F18" s="199">
        <f>'DIA 10'!K$53</f>
        <v>0</v>
      </c>
      <c r="G18" s="206">
        <f t="shared" si="1"/>
        <v>70.884349999999998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12'!G$47</f>
        <v>166.035325</v>
      </c>
      <c r="C20" s="199">
        <f>'DIA 12'!G$53</f>
        <v>94.401120689655173</v>
      </c>
      <c r="D20" s="203">
        <f t="shared" si="0"/>
        <v>260.43644568965516</v>
      </c>
      <c r="E20" s="199">
        <f>'DIA 12'!K$47</f>
        <v>0</v>
      </c>
      <c r="F20" s="199">
        <f>'DIA 12'!K$53</f>
        <v>0</v>
      </c>
      <c r="G20" s="206">
        <f t="shared" si="1"/>
        <v>166.035325</v>
      </c>
      <c r="H20" s="206">
        <f t="shared" si="1"/>
        <v>94.401120689655173</v>
      </c>
    </row>
    <row r="21" spans="1:8" x14ac:dyDescent="0.25">
      <c r="A21" s="46">
        <f>'DIA 13'!B$6</f>
        <v>44786</v>
      </c>
      <c r="B21" s="199">
        <f>'DIA 13'!G$47</f>
        <v>1024.0714249999999</v>
      </c>
      <c r="C21" s="199">
        <f>'DIA 13'!G$53</f>
        <v>0</v>
      </c>
      <c r="D21" s="203">
        <f t="shared" si="0"/>
        <v>1024.0714249999999</v>
      </c>
      <c r="E21" s="199">
        <f>'DIA 13'!K$47</f>
        <v>0</v>
      </c>
      <c r="F21" s="199">
        <f>'DIA 13'!K$53</f>
        <v>0</v>
      </c>
      <c r="G21" s="206">
        <f t="shared" si="1"/>
        <v>1024.0714249999999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14'!G$47</f>
        <v>810.03879999999992</v>
      </c>
      <c r="C22" s="199">
        <f>'DIA 14'!G$53</f>
        <v>0</v>
      </c>
      <c r="D22" s="203">
        <f t="shared" si="0"/>
        <v>810.03879999999992</v>
      </c>
      <c r="E22" s="199">
        <f>'DIA 14'!K$47</f>
        <v>810.04</v>
      </c>
      <c r="F22" s="199">
        <f>'DIA 14'!K$53</f>
        <v>0</v>
      </c>
      <c r="G22" s="206">
        <f t="shared" si="1"/>
        <v>-1.2000000000398359E-3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44789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44790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52.186206896551724</v>
      </c>
      <c r="D27" s="203">
        <f t="shared" si="0"/>
        <v>52.186206896551724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52.186206896551724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22'!G$47</f>
        <v>0</v>
      </c>
      <c r="C30" s="199">
        <f>'DIA 22'!G$53</f>
        <v>120.78311206896552</v>
      </c>
      <c r="D30" s="203">
        <f t="shared" si="0"/>
        <v>120.78311206896552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120.78311206896552</v>
      </c>
    </row>
    <row r="31" spans="1:8" x14ac:dyDescent="0.25">
      <c r="A31" s="46">
        <f>'DIA 23'!B$6</f>
        <v>44765</v>
      </c>
      <c r="B31" s="199">
        <f>'DIA 23'!G$47</f>
        <v>421.28647500000005</v>
      </c>
      <c r="C31" s="199">
        <f>'DIA 23'!G$53</f>
        <v>0</v>
      </c>
      <c r="D31" s="203">
        <f t="shared" si="0"/>
        <v>421.28647500000005</v>
      </c>
      <c r="E31" s="199">
        <f>'DIA 23'!K$47</f>
        <v>0</v>
      </c>
      <c r="F31" s="199">
        <f>'DIA 23'!K$53</f>
        <v>0</v>
      </c>
      <c r="G31" s="206">
        <f t="shared" si="1"/>
        <v>421.28647500000005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733.59645</v>
      </c>
      <c r="C32" s="199">
        <f>'DIA 24'!G$53</f>
        <v>1.7612844827586205</v>
      </c>
      <c r="D32" s="203">
        <f t="shared" si="0"/>
        <v>735.35773448275859</v>
      </c>
      <c r="E32" s="199">
        <f>'DIA 24'!K$47</f>
        <v>0</v>
      </c>
      <c r="F32" s="199">
        <f>'DIA 24'!K$53</f>
        <v>0</v>
      </c>
      <c r="G32" s="206">
        <f t="shared" si="1"/>
        <v>733.59645</v>
      </c>
      <c r="H32" s="206">
        <f t="shared" si="1"/>
        <v>1.7612844827586205</v>
      </c>
    </row>
    <row r="33" spans="1:8" x14ac:dyDescent="0.25">
      <c r="A33" s="46">
        <f>'DIA 25'!B$6</f>
        <v>44767</v>
      </c>
      <c r="B33" s="199">
        <f>'DIA 25'!G$47</f>
        <v>1717.1242499999998</v>
      </c>
      <c r="C33" s="199">
        <f>'DIA 25'!G$53</f>
        <v>44.731034482758616</v>
      </c>
      <c r="D33" s="203">
        <f t="shared" si="0"/>
        <v>1761.8552844827584</v>
      </c>
      <c r="E33" s="199">
        <f>'DIA 25'!K$47</f>
        <v>0</v>
      </c>
      <c r="F33" s="199">
        <f>'DIA 25'!K$53</f>
        <v>0</v>
      </c>
      <c r="G33" s="206">
        <f t="shared" si="1"/>
        <v>1717.1242499999998</v>
      </c>
      <c r="H33" s="206">
        <f t="shared" si="1"/>
        <v>44.731034482758616</v>
      </c>
    </row>
    <row r="34" spans="1:8" x14ac:dyDescent="0.25">
      <c r="A34" s="46">
        <f>'DIA 26'!B$6</f>
        <v>44738</v>
      </c>
      <c r="B34" s="199">
        <f>'DIA 26'!G$47</f>
        <v>667.52572500000008</v>
      </c>
      <c r="C34" s="199">
        <f>'DIA 26'!G$53</f>
        <v>0</v>
      </c>
      <c r="D34" s="203">
        <f t="shared" si="0"/>
        <v>667.52572500000008</v>
      </c>
      <c r="E34" s="199">
        <f>'DIA 26'!K$47</f>
        <v>0</v>
      </c>
      <c r="F34" s="199">
        <f>'DIA 26'!K$53</f>
        <v>0</v>
      </c>
      <c r="G34" s="206">
        <f t="shared" si="1"/>
        <v>667.52572500000008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1563.6639</v>
      </c>
      <c r="C35" s="199">
        <f>'DIA 27'!G$53</f>
        <v>310.84341379310342</v>
      </c>
      <c r="D35" s="203">
        <f t="shared" si="0"/>
        <v>1874.5073137931035</v>
      </c>
      <c r="E35" s="199">
        <f>'DIA 27'!K$47</f>
        <v>0</v>
      </c>
      <c r="F35" s="199">
        <f>'DIA 27'!K$53</f>
        <v>0</v>
      </c>
      <c r="G35" s="206">
        <f t="shared" si="1"/>
        <v>1563.6639</v>
      </c>
      <c r="H35" s="206">
        <f t="shared" si="1"/>
        <v>310.84341379310342</v>
      </c>
    </row>
    <row r="36" spans="1:8" x14ac:dyDescent="0.25">
      <c r="A36" s="46">
        <f>'DIA 28'!B$6</f>
        <v>44770</v>
      </c>
      <c r="B36" s="199">
        <f>'DIA 28'!G$47</f>
        <v>1405.3502250000001</v>
      </c>
      <c r="C36" s="199">
        <f>'DIA 28'!G$53</f>
        <v>59.948905172413795</v>
      </c>
      <c r="D36" s="203">
        <f t="shared" si="0"/>
        <v>1465.2991301724139</v>
      </c>
      <c r="E36" s="199">
        <f>'DIA 28'!K$47</f>
        <v>0</v>
      </c>
      <c r="F36" s="199">
        <f>'DIA 28'!K$53</f>
        <v>0</v>
      </c>
      <c r="G36" s="206">
        <f t="shared" si="1"/>
        <v>1405.3502250000001</v>
      </c>
      <c r="H36" s="206">
        <f t="shared" si="1"/>
        <v>59.948905172413795</v>
      </c>
    </row>
    <row r="37" spans="1:8" x14ac:dyDescent="0.25">
      <c r="A37" s="46">
        <f>'DIA 29'!B$6</f>
        <v>44771</v>
      </c>
      <c r="B37" s="199">
        <f>'DIA 29'!G$47</f>
        <v>2734.7841249999997</v>
      </c>
      <c r="C37" s="199">
        <f>'DIA 29'!G$53</f>
        <v>46.594827586206897</v>
      </c>
      <c r="D37" s="203">
        <f t="shared" si="0"/>
        <v>2781.3789525862067</v>
      </c>
      <c r="E37" s="199">
        <f>'DIA 29'!K$47</f>
        <v>0</v>
      </c>
      <c r="F37" s="199">
        <f>'DIA 29'!K$53</f>
        <v>0</v>
      </c>
      <c r="G37" s="206">
        <f t="shared" si="1"/>
        <v>2734.7841249999997</v>
      </c>
      <c r="H37" s="206">
        <f t="shared" si="1"/>
        <v>46.594827586206897</v>
      </c>
    </row>
    <row r="38" spans="1:8" x14ac:dyDescent="0.25">
      <c r="A38" s="46">
        <f>'DIA 30'!B$6</f>
        <v>44772</v>
      </c>
      <c r="B38" s="199">
        <f>'DIA 30'!G$47</f>
        <v>2668.9317500000002</v>
      </c>
      <c r="C38" s="199">
        <f>'DIA 30'!G$53</f>
        <v>81.326612068965531</v>
      </c>
      <c r="D38" s="203">
        <f t="shared" si="0"/>
        <v>2750.2583620689657</v>
      </c>
      <c r="E38" s="199">
        <f>'DIA 30'!K$47</f>
        <v>0</v>
      </c>
      <c r="F38" s="199">
        <f>'DIA 30'!K$53</f>
        <v>0</v>
      </c>
      <c r="G38" s="206">
        <f t="shared" si="1"/>
        <v>2668.9317500000002</v>
      </c>
      <c r="H38" s="206">
        <f t="shared" si="1"/>
        <v>81.326612068965531</v>
      </c>
    </row>
    <row r="39" spans="1:8" x14ac:dyDescent="0.25">
      <c r="A39" s="46">
        <f>'DIA 31'!B$6</f>
        <v>44773</v>
      </c>
      <c r="B39" s="199">
        <f>'DIA 31'!G$47</f>
        <v>1624.5637000000002</v>
      </c>
      <c r="C39" s="199">
        <f>'DIA 31'!G$53</f>
        <v>0</v>
      </c>
      <c r="D39" s="203">
        <f t="shared" si="0"/>
        <v>1624.5637000000002</v>
      </c>
      <c r="E39" s="199">
        <f>'DIA 31'!K$47</f>
        <v>0</v>
      </c>
      <c r="F39" s="199">
        <f>'DIA 31'!K$53</f>
        <v>0</v>
      </c>
      <c r="G39" s="206">
        <f t="shared" si="1"/>
        <v>1624.5637000000002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20719.678124999999</v>
      </c>
      <c r="C40" s="133">
        <f>SUM(C9:C38)</f>
        <v>1082.9103879310342</v>
      </c>
      <c r="D40" s="133">
        <f>SUM(D9:D38)</f>
        <v>20178.024812931035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70" zoomScale="90" zoomScaleNormal="90" workbookViewId="0">
      <selection activeCell="U88" sqref="U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44399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>
        <v>5.84</v>
      </c>
    </row>
    <row r="9" spans="1:28" x14ac:dyDescent="0.25">
      <c r="A9" s="7" t="s">
        <v>76</v>
      </c>
      <c r="B9" s="108"/>
      <c r="C9" s="85" t="s">
        <v>93</v>
      </c>
      <c r="D9" s="108">
        <v>5.86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840.5</v>
      </c>
      <c r="C12" s="15"/>
      <c r="D12" s="56"/>
      <c r="E12" s="16"/>
      <c r="F12" s="56"/>
      <c r="G12" s="56"/>
      <c r="H12" s="17"/>
      <c r="I12" s="83">
        <v>840.5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188</v>
      </c>
      <c r="Q12" s="158">
        <v>11</v>
      </c>
      <c r="R12" s="244">
        <v>1536.46</v>
      </c>
      <c r="S12" s="160"/>
      <c r="T12" s="238">
        <v>144.28</v>
      </c>
      <c r="U12" s="189">
        <f>((T12/U$10)*U$9)</f>
        <v>6.2189655172413802</v>
      </c>
      <c r="V12" s="189">
        <f>R12*V$10</f>
        <v>11.52345</v>
      </c>
      <c r="W12" s="189">
        <f>+S12*V$10</f>
        <v>0</v>
      </c>
      <c r="X12" s="189">
        <f>+T12*X$10</f>
        <v>3.6070000000000002</v>
      </c>
      <c r="Y12" s="189">
        <f>R12-V12</f>
        <v>1524.9365500000001</v>
      </c>
      <c r="Z12" s="189">
        <f>S12-W12</f>
        <v>0</v>
      </c>
      <c r="AA12" s="189">
        <f>T12-U12-X12</f>
        <v>134.45403448275863</v>
      </c>
      <c r="AB12" s="156"/>
    </row>
    <row r="13" spans="1:28" ht="15.75" x14ac:dyDescent="0.25">
      <c r="A13" s="86" t="s">
        <v>74</v>
      </c>
      <c r="B13" s="89">
        <v>2612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2612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11</v>
      </c>
      <c r="R13" s="244">
        <v>2521.7199999999998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18.912899999999997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2502.8071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14966.76</v>
      </c>
      <c r="C14" s="15"/>
      <c r="D14" s="56"/>
      <c r="E14" s="16"/>
      <c r="F14" s="56"/>
      <c r="G14" s="56"/>
      <c r="H14" s="17"/>
      <c r="I14" s="83"/>
      <c r="J14" s="81">
        <f t="shared" si="0"/>
        <v>14966.76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571</v>
      </c>
      <c r="Q14" s="158">
        <v>2</v>
      </c>
      <c r="R14" s="244">
        <v>555.20000000000005</v>
      </c>
      <c r="S14" s="160"/>
      <c r="T14" s="247">
        <v>180.71</v>
      </c>
      <c r="U14" s="189">
        <f t="shared" si="2"/>
        <v>7.7892241379310354</v>
      </c>
      <c r="V14" s="189">
        <f t="shared" si="3"/>
        <v>4.1640000000000006</v>
      </c>
      <c r="W14" s="189">
        <f t="shared" si="4"/>
        <v>0</v>
      </c>
      <c r="X14" s="189">
        <f t="shared" si="5"/>
        <v>4.5177500000000004</v>
      </c>
      <c r="Y14" s="189">
        <f t="shared" si="6"/>
        <v>551.03600000000006</v>
      </c>
      <c r="Z14" s="189">
        <f t="shared" si="6"/>
        <v>0</v>
      </c>
      <c r="AA14" s="189">
        <f t="shared" si="7"/>
        <v>168.40302586206897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572</v>
      </c>
      <c r="Q15" s="158">
        <v>2</v>
      </c>
      <c r="R15" s="244">
        <v>1576.39</v>
      </c>
      <c r="S15" s="160"/>
      <c r="T15" s="247">
        <v>30.37</v>
      </c>
      <c r="U15" s="189">
        <f t="shared" si="2"/>
        <v>1.3090517241379311</v>
      </c>
      <c r="V15" s="189">
        <f t="shared" si="3"/>
        <v>11.822925</v>
      </c>
      <c r="W15" s="189">
        <f t="shared" si="4"/>
        <v>0</v>
      </c>
      <c r="X15" s="189">
        <f t="shared" si="5"/>
        <v>0.75925000000000009</v>
      </c>
      <c r="Y15" s="189">
        <f t="shared" si="6"/>
        <v>1564.5670750000002</v>
      </c>
      <c r="Z15" s="189">
        <f t="shared" si="6"/>
        <v>0</v>
      </c>
      <c r="AA15" s="189">
        <f t="shared" si="7"/>
        <v>28.301698275862069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552</v>
      </c>
      <c r="Q16" s="158">
        <v>4</v>
      </c>
      <c r="R16" s="244">
        <v>742.61</v>
      </c>
      <c r="S16" s="160"/>
      <c r="T16" s="161"/>
      <c r="U16" s="189">
        <f t="shared" si="2"/>
        <v>0</v>
      </c>
      <c r="V16" s="189">
        <f t="shared" si="3"/>
        <v>5.5695749999999995</v>
      </c>
      <c r="W16" s="189">
        <f t="shared" si="4"/>
        <v>0</v>
      </c>
      <c r="X16" s="189">
        <f t="shared" si="5"/>
        <v>0</v>
      </c>
      <c r="Y16" s="189">
        <f t="shared" si="6"/>
        <v>737.04042500000003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553</v>
      </c>
      <c r="Q17" s="158">
        <v>4</v>
      </c>
      <c r="R17" s="244">
        <v>1807.75</v>
      </c>
      <c r="S17" s="160"/>
      <c r="T17" s="161"/>
      <c r="U17" s="189">
        <f t="shared" si="2"/>
        <v>0</v>
      </c>
      <c r="V17" s="189">
        <f t="shared" si="3"/>
        <v>13.558124999999999</v>
      </c>
      <c r="W17" s="189">
        <f t="shared" si="4"/>
        <v>0</v>
      </c>
      <c r="X17" s="189">
        <f t="shared" si="5"/>
        <v>0</v>
      </c>
      <c r="Y17" s="189">
        <f t="shared" si="6"/>
        <v>1794.191875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551</v>
      </c>
      <c r="Q18" s="158">
        <v>14</v>
      </c>
      <c r="R18" s="244">
        <v>720.86</v>
      </c>
      <c r="S18" s="160"/>
      <c r="T18" s="161"/>
      <c r="U18" s="189">
        <f t="shared" si="2"/>
        <v>0</v>
      </c>
      <c r="V18" s="189">
        <f t="shared" si="3"/>
        <v>5.4064499999999995</v>
      </c>
      <c r="W18" s="189">
        <f t="shared" si="4"/>
        <v>0</v>
      </c>
      <c r="X18" s="189">
        <f t="shared" si="5"/>
        <v>0</v>
      </c>
      <c r="Y18" s="189">
        <f t="shared" si="6"/>
        <v>715.45355000000006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2612</v>
      </c>
      <c r="C19" s="95"/>
      <c r="D19" s="94"/>
      <c r="E19" s="96"/>
      <c r="F19" s="94"/>
      <c r="G19" s="94"/>
      <c r="H19" s="98"/>
      <c r="I19" s="99"/>
      <c r="J19" s="185">
        <f>B19-I19</f>
        <v>2612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204</v>
      </c>
      <c r="Q19" s="158">
        <v>10</v>
      </c>
      <c r="R19" s="244">
        <v>1245.43</v>
      </c>
      <c r="S19" s="160"/>
      <c r="T19" s="161"/>
      <c r="U19" s="189">
        <f t="shared" si="2"/>
        <v>0</v>
      </c>
      <c r="V19" s="189">
        <f t="shared" si="3"/>
        <v>9.3407250000000008</v>
      </c>
      <c r="W19" s="189">
        <f t="shared" si="4"/>
        <v>0</v>
      </c>
      <c r="X19" s="189">
        <f t="shared" si="5"/>
        <v>0</v>
      </c>
      <c r="Y19" s="189">
        <f t="shared" si="6"/>
        <v>1236.089275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14966.76</v>
      </c>
      <c r="C20" s="95"/>
      <c r="D20" s="94"/>
      <c r="E20" s="96"/>
      <c r="F20" s="94"/>
      <c r="G20" s="94"/>
      <c r="H20" s="98"/>
      <c r="I20" s="99">
        <v>14966.76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637</v>
      </c>
      <c r="Q20" s="158">
        <v>18</v>
      </c>
      <c r="R20" s="244">
        <v>506.93</v>
      </c>
      <c r="S20" s="160"/>
      <c r="T20" s="161"/>
      <c r="U20" s="189">
        <f t="shared" si="2"/>
        <v>0</v>
      </c>
      <c r="V20" s="189">
        <f t="shared" si="3"/>
        <v>3.8019750000000001</v>
      </c>
      <c r="W20" s="189">
        <f t="shared" si="4"/>
        <v>0</v>
      </c>
      <c r="X20" s="189">
        <f t="shared" si="5"/>
        <v>0</v>
      </c>
      <c r="Y20" s="189">
        <f t="shared" si="6"/>
        <v>503.12802499999998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45</v>
      </c>
      <c r="C21" s="100"/>
      <c r="D21" s="66"/>
      <c r="E21" s="67"/>
      <c r="F21" s="66"/>
      <c r="G21" s="66"/>
      <c r="H21" s="102"/>
      <c r="I21" s="79"/>
      <c r="J21" s="81">
        <f t="shared" si="0"/>
        <v>45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638</v>
      </c>
      <c r="Q21" s="158">
        <v>18</v>
      </c>
      <c r="R21" s="244">
        <v>1693.33</v>
      </c>
      <c r="S21" s="160"/>
      <c r="T21" s="247">
        <v>24.59</v>
      </c>
      <c r="U21" s="189">
        <f t="shared" si="2"/>
        <v>1.0599137931034484</v>
      </c>
      <c r="V21" s="189">
        <f t="shared" si="3"/>
        <v>12.699974999999998</v>
      </c>
      <c r="W21" s="189">
        <f t="shared" si="4"/>
        <v>0</v>
      </c>
      <c r="X21" s="189">
        <f t="shared" si="5"/>
        <v>0.61475000000000002</v>
      </c>
      <c r="Y21" s="189">
        <f t="shared" si="6"/>
        <v>1680.6300249999999</v>
      </c>
      <c r="Z21" s="189">
        <f t="shared" si="6"/>
        <v>0</v>
      </c>
      <c r="AA21" s="189">
        <f t="shared" si="7"/>
        <v>22.915336206896551</v>
      </c>
      <c r="AB21" s="156"/>
    </row>
    <row r="22" spans="1:28" ht="15.75" x14ac:dyDescent="0.25">
      <c r="A22" s="86" t="s">
        <v>85</v>
      </c>
      <c r="B22" s="57">
        <f>B21*D8</f>
        <v>262.8</v>
      </c>
      <c r="C22" s="100"/>
      <c r="D22" s="66"/>
      <c r="E22" s="67"/>
      <c r="F22" s="66"/>
      <c r="G22" s="66"/>
      <c r="H22" s="102"/>
      <c r="I22" s="79">
        <v>703.2</v>
      </c>
      <c r="J22" s="81">
        <f t="shared" si="0"/>
        <v>-440.40000000000003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205</v>
      </c>
      <c r="Q22" s="158">
        <v>10</v>
      </c>
      <c r="R22" s="245">
        <v>1308.79</v>
      </c>
      <c r="S22" s="160"/>
      <c r="T22" s="160"/>
      <c r="U22" s="189">
        <f t="shared" si="2"/>
        <v>0</v>
      </c>
      <c r="V22" s="189">
        <f t="shared" si="3"/>
        <v>9.815925</v>
      </c>
      <c r="W22" s="189">
        <f t="shared" si="4"/>
        <v>0</v>
      </c>
      <c r="X22" s="189">
        <f t="shared" si="5"/>
        <v>0</v>
      </c>
      <c r="Y22" s="189">
        <f t="shared" si="6"/>
        <v>1298.9740749999999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75</v>
      </c>
      <c r="C23" s="100"/>
      <c r="D23" s="66"/>
      <c r="E23" s="67"/>
      <c r="F23" s="66"/>
      <c r="G23" s="66"/>
      <c r="H23" s="102"/>
      <c r="I23" s="79"/>
      <c r="J23" s="81">
        <f t="shared" si="0"/>
        <v>75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439.5</v>
      </c>
      <c r="C24" s="100"/>
      <c r="D24" s="66"/>
      <c r="E24" s="67"/>
      <c r="F24" s="66"/>
      <c r="G24" s="66"/>
      <c r="H24" s="102"/>
      <c r="I24" s="79"/>
      <c r="J24" s="81">
        <f t="shared" si="0"/>
        <v>439.5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120</v>
      </c>
      <c r="C27" s="95"/>
      <c r="D27" s="94"/>
      <c r="E27" s="96"/>
      <c r="F27" s="94"/>
      <c r="G27" s="94"/>
      <c r="H27" s="98"/>
      <c r="I27" s="99"/>
      <c r="J27" s="185">
        <f t="shared" si="0"/>
        <v>120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702.3</v>
      </c>
      <c r="C28" s="95"/>
      <c r="D28" s="94"/>
      <c r="E28" s="96"/>
      <c r="F28" s="94"/>
      <c r="G28" s="94"/>
      <c r="H28" s="98"/>
      <c r="I28" s="99">
        <v>703.2</v>
      </c>
      <c r="J28" s="185">
        <f t="shared" si="0"/>
        <v>-0.90000000000009095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82.87</v>
      </c>
      <c r="C29" s="100"/>
      <c r="D29" s="66"/>
      <c r="E29" s="67"/>
      <c r="F29" s="66"/>
      <c r="G29" s="66"/>
      <c r="H29" s="102"/>
      <c r="I29" s="79">
        <v>82.86</v>
      </c>
      <c r="J29" s="81">
        <f t="shared" si="0"/>
        <v>1.0000000000005116E-2</v>
      </c>
      <c r="K29" s="80">
        <v>82.86</v>
      </c>
      <c r="L29" s="186">
        <f>K29-B29</f>
        <v>-1.0000000000005116E-2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474.84510000000006</v>
      </c>
      <c r="C30" s="100"/>
      <c r="D30" s="66"/>
      <c r="E30" s="67"/>
      <c r="F30" s="66"/>
      <c r="G30" s="66"/>
      <c r="H30" s="102"/>
      <c r="I30" s="79">
        <v>474.85</v>
      </c>
      <c r="J30" s="81">
        <f t="shared" si="0"/>
        <v>-4.8999999999637112E-3</v>
      </c>
      <c r="K30" s="80">
        <v>474.85</v>
      </c>
      <c r="L30" s="186">
        <f>K30-B30</f>
        <v>4.8999999999637112E-3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82.87</v>
      </c>
      <c r="C35" s="95"/>
      <c r="D35" s="94"/>
      <c r="E35" s="96"/>
      <c r="F35" s="94"/>
      <c r="G35" s="94"/>
      <c r="H35" s="98"/>
      <c r="I35" s="99">
        <v>82.87</v>
      </c>
      <c r="J35" s="185">
        <f t="shared" si="0"/>
        <v>0</v>
      </c>
      <c r="K35" s="99">
        <v>82.87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474.84510000000006</v>
      </c>
      <c r="C36" s="95"/>
      <c r="D36" s="94"/>
      <c r="E36" s="96"/>
      <c r="F36" s="94"/>
      <c r="G36" s="94"/>
      <c r="H36" s="98"/>
      <c r="I36" s="99">
        <v>474.85</v>
      </c>
      <c r="J36" s="185">
        <f t="shared" si="0"/>
        <v>-4.8999999999637112E-3</v>
      </c>
      <c r="K36" s="99">
        <v>474.85</v>
      </c>
      <c r="L36" s="187">
        <f>K36-B36</f>
        <v>4.8999999999637112E-3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14215.470000000001</v>
      </c>
      <c r="S42" s="190">
        <f t="shared" si="8"/>
        <v>0</v>
      </c>
      <c r="T42" s="190">
        <f t="shared" si="8"/>
        <v>379.95</v>
      </c>
      <c r="U42" s="190">
        <f t="shared" si="8"/>
        <v>16.377155172413794</v>
      </c>
      <c r="V42" s="190">
        <f t="shared" si="8"/>
        <v>106.61602500000001</v>
      </c>
      <c r="W42" s="190">
        <f t="shared" si="8"/>
        <v>0</v>
      </c>
      <c r="X42" s="190">
        <f t="shared" si="8"/>
        <v>9.4987500000000011</v>
      </c>
      <c r="Y42" s="190">
        <f t="shared" si="8"/>
        <v>14108.853975000002</v>
      </c>
      <c r="Z42" s="190">
        <f t="shared" si="8"/>
        <v>0</v>
      </c>
      <c r="AA42" s="190">
        <f t="shared" si="8"/>
        <v>354.07409482758618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83.31</v>
      </c>
      <c r="U43" s="189">
        <f t="shared" ref="U43:U62" si="9">((T43/U$10)*U$9)</f>
        <v>3.5909482758620692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2.0827500000000003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77.636301724137923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46.3</v>
      </c>
      <c r="U44" s="189">
        <f t="shared" si="9"/>
        <v>1.9956896551724139</v>
      </c>
      <c r="V44" s="189">
        <f t="shared" si="10"/>
        <v>0</v>
      </c>
      <c r="W44" s="189">
        <f t="shared" si="11"/>
        <v>0</v>
      </c>
      <c r="X44" s="189">
        <f t="shared" si="12"/>
        <v>1.1575</v>
      </c>
      <c r="Y44" s="189">
        <f t="shared" si="13"/>
        <v>0</v>
      </c>
      <c r="Z44" s="189">
        <f t="shared" si="13"/>
        <v>0</v>
      </c>
      <c r="AA44" s="189">
        <f t="shared" si="14"/>
        <v>43.146810344827585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14215.470000000001</v>
      </c>
      <c r="C46" s="116">
        <v>7.4999999999999997E-3</v>
      </c>
      <c r="D46" s="117">
        <f>B46*C46</f>
        <v>106.61602500000001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14108.853975000002</v>
      </c>
      <c r="H46" s="173">
        <f>B$6+1</f>
        <v>44400</v>
      </c>
      <c r="I46" s="174">
        <v>14215.47</v>
      </c>
      <c r="J46" s="81">
        <f t="shared" si="0"/>
        <v>0</v>
      </c>
      <c r="K46" s="80"/>
      <c r="L46" s="186">
        <f t="shared" ref="L46:L64" si="17">+G46-K46</f>
        <v>14108.853975000002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44400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93.69</v>
      </c>
      <c r="C48" s="116">
        <v>1.4999999999999999E-2</v>
      </c>
      <c r="D48" s="117">
        <f t="shared" si="18"/>
        <v>1.4053499999999999</v>
      </c>
      <c r="E48" s="172">
        <v>0</v>
      </c>
      <c r="F48" s="117">
        <f t="shared" si="15"/>
        <v>0</v>
      </c>
      <c r="G48" s="117">
        <f t="shared" si="16"/>
        <v>92.284649999999999</v>
      </c>
      <c r="H48" s="173">
        <f t="shared" ref="H48:H61" si="19">B$6+1</f>
        <v>44400</v>
      </c>
      <c r="I48" s="176">
        <v>93.69</v>
      </c>
      <c r="J48" s="81">
        <f t="shared" si="0"/>
        <v>0</v>
      </c>
      <c r="K48" s="80"/>
      <c r="L48" s="186">
        <f t="shared" si="17"/>
        <v>92.284649999999999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211</v>
      </c>
      <c r="B49" s="117">
        <f>R75</f>
        <v>4420.6000000000004</v>
      </c>
      <c r="C49" s="116">
        <v>7.4999999999999997E-3</v>
      </c>
      <c r="D49" s="117">
        <f t="shared" si="18"/>
        <v>33.154499999999999</v>
      </c>
      <c r="E49" s="172">
        <v>0</v>
      </c>
      <c r="F49" s="117">
        <f t="shared" si="15"/>
        <v>0</v>
      </c>
      <c r="G49" s="117">
        <f t="shared" si="16"/>
        <v>4387.4455000000007</v>
      </c>
      <c r="H49" s="173">
        <f t="shared" si="19"/>
        <v>44400</v>
      </c>
      <c r="I49" s="176">
        <v>4125.6099999999997</v>
      </c>
      <c r="J49" s="81">
        <f t="shared" si="0"/>
        <v>294.99000000000069</v>
      </c>
      <c r="K49" s="80"/>
      <c r="L49" s="186">
        <f t="shared" si="17"/>
        <v>4387.4455000000007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1329.6100000000001</v>
      </c>
      <c r="C50" s="116">
        <v>7.4999999999999997E-3</v>
      </c>
      <c r="D50" s="117">
        <f t="shared" si="18"/>
        <v>9.9720750000000002</v>
      </c>
      <c r="E50" s="172">
        <v>0</v>
      </c>
      <c r="F50" s="117">
        <f t="shared" si="15"/>
        <v>0</v>
      </c>
      <c r="G50" s="117">
        <f t="shared" si="16"/>
        <v>1319.6379250000002</v>
      </c>
      <c r="H50" s="173">
        <f t="shared" si="19"/>
        <v>44400</v>
      </c>
      <c r="I50" s="175"/>
      <c r="J50" s="81">
        <f t="shared" si="0"/>
        <v>1329.6100000000001</v>
      </c>
      <c r="K50" s="80"/>
      <c r="L50" s="186">
        <f t="shared" si="17"/>
        <v>1319.6379250000002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194.63</v>
      </c>
      <c r="C51" s="116">
        <v>1.4999999999999999E-2</v>
      </c>
      <c r="D51" s="117">
        <f>+B51*C51</f>
        <v>2.9194499999999999</v>
      </c>
      <c r="E51" s="172">
        <v>0</v>
      </c>
      <c r="F51" s="117">
        <f>D51*E51</f>
        <v>0</v>
      </c>
      <c r="G51" s="117">
        <f t="shared" si="16"/>
        <v>191.71054999999998</v>
      </c>
      <c r="H51" s="173">
        <f t="shared" si="19"/>
        <v>44400</v>
      </c>
      <c r="I51" s="175">
        <v>1524.89</v>
      </c>
      <c r="J51" s="81">
        <f t="shared" si="0"/>
        <v>-1330.2600000000002</v>
      </c>
      <c r="K51" s="80"/>
      <c r="L51" s="186">
        <f t="shared" si="17"/>
        <v>191.71054999999998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379.95</v>
      </c>
      <c r="C52" s="116">
        <v>2.5000000000000001E-2</v>
      </c>
      <c r="D52" s="117">
        <f>B52*C52</f>
        <v>9.4987499999999994</v>
      </c>
      <c r="E52" s="172">
        <v>0.05</v>
      </c>
      <c r="F52" s="117">
        <f>(B52/E$10)*E52</f>
        <v>16.377155172413794</v>
      </c>
      <c r="G52" s="117">
        <f>B52-D52-F52</f>
        <v>354.07409482758624</v>
      </c>
      <c r="H52" s="188">
        <f t="shared" si="19"/>
        <v>44400</v>
      </c>
      <c r="I52" s="176">
        <v>379.95</v>
      </c>
      <c r="J52" s="81">
        <f t="shared" si="0"/>
        <v>0</v>
      </c>
      <c r="K52" s="80"/>
      <c r="L52" s="186">
        <f t="shared" si="17"/>
        <v>354.07409482758624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129.61000000000001</v>
      </c>
      <c r="C53" s="116">
        <v>2.5000000000000001E-2</v>
      </c>
      <c r="D53" s="117">
        <f t="shared" ref="D53:D56" si="20">B53*C53</f>
        <v>3.2402500000000005</v>
      </c>
      <c r="E53" s="172">
        <v>0.05</v>
      </c>
      <c r="F53" s="117">
        <f t="shared" ref="F53:F56" si="21">(B53/E$10)*E53</f>
        <v>5.5866379310344847</v>
      </c>
      <c r="G53" s="117">
        <f t="shared" ref="G53:G58" si="22">B53-D53-F53</f>
        <v>120.78311206896552</v>
      </c>
      <c r="H53" s="188">
        <f t="shared" si="19"/>
        <v>44400</v>
      </c>
      <c r="I53" s="176">
        <v>46.3</v>
      </c>
      <c r="J53" s="81">
        <f t="shared" si="0"/>
        <v>83.310000000000016</v>
      </c>
      <c r="K53" s="80"/>
      <c r="L53" s="186">
        <f t="shared" si="17"/>
        <v>120.78311206896552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44400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44400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207</v>
      </c>
      <c r="B56" s="117">
        <f>T75</f>
        <v>18.05</v>
      </c>
      <c r="C56" s="116">
        <v>2.5000000000000001E-2</v>
      </c>
      <c r="D56" s="117">
        <f t="shared" si="20"/>
        <v>0.45125000000000004</v>
      </c>
      <c r="E56" s="172">
        <v>0.05</v>
      </c>
      <c r="F56" s="117">
        <f t="shared" si="21"/>
        <v>0.7780172413793105</v>
      </c>
      <c r="G56" s="117">
        <f t="shared" si="22"/>
        <v>16.820732758620689</v>
      </c>
      <c r="H56" s="173">
        <f t="shared" si="19"/>
        <v>44400</v>
      </c>
      <c r="I56" s="176">
        <f>18.05+83.31</f>
        <v>101.36</v>
      </c>
      <c r="J56" s="81">
        <f t="shared" si="0"/>
        <v>-83.31</v>
      </c>
      <c r="K56" s="80"/>
      <c r="L56" s="186">
        <f t="shared" si="17"/>
        <v>16.820732758620689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44402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44404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44429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167.25765000000001</v>
      </c>
      <c r="E61" s="177"/>
      <c r="F61" s="57">
        <f>SUM(F46:F58)</f>
        <v>22.741810344827588</v>
      </c>
      <c r="G61" s="57">
        <f>SUM(G46:G58)</f>
        <v>20591.610539655172</v>
      </c>
      <c r="H61" s="173">
        <f t="shared" si="19"/>
        <v>44400</v>
      </c>
      <c r="I61" s="175"/>
      <c r="J61" s="81">
        <f t="shared" si="0"/>
        <v>0</v>
      </c>
      <c r="K61" s="80"/>
      <c r="L61" s="186">
        <f t="shared" si="17"/>
        <v>20591.610539655172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295</v>
      </c>
      <c r="C62" s="18"/>
      <c r="D62" s="101"/>
      <c r="E62" s="178"/>
      <c r="F62" s="101"/>
      <c r="G62" s="57"/>
      <c r="H62" s="173">
        <f>B$6+1</f>
        <v>44400</v>
      </c>
      <c r="I62" s="176"/>
      <c r="J62" s="81">
        <f t="shared" si="0"/>
        <v>295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0</v>
      </c>
      <c r="S63" s="191">
        <f>SUM(S43:S62)</f>
        <v>0</v>
      </c>
      <c r="T63" s="191">
        <f>SUM(T43:T62)</f>
        <v>129.61000000000001</v>
      </c>
      <c r="U63" s="191">
        <f t="shared" ref="U63:X63" si="25">SUM(U43:U62)</f>
        <v>5.5866379310344829</v>
      </c>
      <c r="V63" s="191">
        <f t="shared" si="25"/>
        <v>0</v>
      </c>
      <c r="W63" s="191">
        <f t="shared" si="25"/>
        <v>0</v>
      </c>
      <c r="X63" s="191">
        <f t="shared" si="25"/>
        <v>3.2402500000000005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120.78311206896551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41183.221079310344</v>
      </c>
      <c r="H64" s="184"/>
      <c r="I64" s="175"/>
      <c r="J64" s="81">
        <f t="shared" si="0"/>
        <v>0</v>
      </c>
      <c r="K64" s="80"/>
      <c r="L64" s="186">
        <f t="shared" si="17"/>
        <v>41183.221079310344</v>
      </c>
      <c r="M64" s="130"/>
      <c r="N64" s="87">
        <v>1</v>
      </c>
      <c r="O64" s="122" t="s">
        <v>226</v>
      </c>
      <c r="P64" s="225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37471.015099999997</v>
      </c>
      <c r="G65" s="22"/>
      <c r="L65" s="132"/>
      <c r="M65" s="131"/>
      <c r="N65" s="87">
        <v>2</v>
      </c>
      <c r="O65" s="122" t="s">
        <v>226</v>
      </c>
      <c r="P65" s="225"/>
      <c r="Q65" s="225"/>
      <c r="R65" s="236">
        <v>8.6</v>
      </c>
      <c r="S65" s="225"/>
      <c r="T65" s="87"/>
      <c r="U65" s="189">
        <f t="shared" si="27"/>
        <v>0</v>
      </c>
      <c r="V65" s="189">
        <f t="shared" si="28"/>
        <v>6.4500000000000002E-2</v>
      </c>
      <c r="W65" s="189">
        <f t="shared" si="29"/>
        <v>0</v>
      </c>
      <c r="X65" s="189">
        <f t="shared" si="30"/>
        <v>0</v>
      </c>
      <c r="Y65" s="189">
        <f t="shared" si="31"/>
        <v>8.535499999999999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225"/>
      <c r="Q66" s="225"/>
      <c r="R66" s="240">
        <v>6.26</v>
      </c>
      <c r="S66" s="225"/>
      <c r="T66" s="87"/>
      <c r="U66" s="189">
        <f t="shared" si="27"/>
        <v>0</v>
      </c>
      <c r="V66" s="189">
        <f t="shared" si="28"/>
        <v>4.6949999999999999E-2</v>
      </c>
      <c r="W66" s="189">
        <f t="shared" si="29"/>
        <v>0</v>
      </c>
      <c r="X66" s="189">
        <f t="shared" si="30"/>
        <v>0</v>
      </c>
      <c r="Y66" s="189">
        <f t="shared" si="31"/>
        <v>6.21305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225"/>
      <c r="Q67" s="225"/>
      <c r="R67" s="240">
        <v>71.13</v>
      </c>
      <c r="S67" s="225"/>
      <c r="T67" s="87"/>
      <c r="U67" s="189">
        <f t="shared" si="27"/>
        <v>0</v>
      </c>
      <c r="V67" s="189">
        <f t="shared" si="28"/>
        <v>0.53347499999999992</v>
      </c>
      <c r="W67" s="189">
        <f t="shared" si="29"/>
        <v>0</v>
      </c>
      <c r="X67" s="189">
        <f t="shared" si="30"/>
        <v>0</v>
      </c>
      <c r="Y67" s="189">
        <f t="shared" si="31"/>
        <v>70.596525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67088.73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169</v>
      </c>
      <c r="P68" s="87"/>
      <c r="Q68" s="225"/>
      <c r="R68" s="236">
        <v>7.7</v>
      </c>
      <c r="S68" s="225"/>
      <c r="T68" s="87"/>
      <c r="U68" s="189">
        <f t="shared" si="27"/>
        <v>0</v>
      </c>
      <c r="V68" s="189">
        <f t="shared" si="28"/>
        <v>5.7749999999999996E-2</v>
      </c>
      <c r="W68" s="189">
        <f t="shared" si="29"/>
        <v>0</v>
      </c>
      <c r="X68" s="189">
        <f t="shared" si="30"/>
        <v>0</v>
      </c>
      <c r="Y68" s="189">
        <f t="shared" si="31"/>
        <v>7.6422499999999998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37384.06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93.69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0.70267499999999994</v>
      </c>
      <c r="W69" s="192">
        <f t="shared" si="33"/>
        <v>0</v>
      </c>
      <c r="X69" s="192">
        <f t="shared" si="33"/>
        <v>0</v>
      </c>
      <c r="Y69" s="192">
        <f t="shared" si="33"/>
        <v>92.987324999999998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29704.67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225</v>
      </c>
      <c r="P70" s="225" t="s">
        <v>262</v>
      </c>
      <c r="Q70" s="225">
        <v>2001</v>
      </c>
      <c r="R70" s="221">
        <f>41.29+68.96</f>
        <v>110.25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0.82687499999999992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109.423125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86.95509999999922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225</v>
      </c>
      <c r="P71" s="225" t="s">
        <v>263</v>
      </c>
      <c r="Q71" s="225">
        <v>2001</v>
      </c>
      <c r="R71" s="221">
        <f>53.72+2315.07</f>
        <v>2368.79</v>
      </c>
      <c r="S71" s="225"/>
      <c r="T71" s="225">
        <v>18.05</v>
      </c>
      <c r="U71" s="189">
        <f t="shared" si="34"/>
        <v>0.7780172413793105</v>
      </c>
      <c r="V71" s="189">
        <f t="shared" si="35"/>
        <v>17.765924999999999</v>
      </c>
      <c r="W71" s="189">
        <f t="shared" si="36"/>
        <v>0</v>
      </c>
      <c r="X71" s="189">
        <f t="shared" si="37"/>
        <v>0.45125000000000004</v>
      </c>
      <c r="Y71" s="189">
        <f t="shared" si="38"/>
        <v>2351.0240749999998</v>
      </c>
      <c r="Z71" s="189">
        <f t="shared" si="38"/>
        <v>0</v>
      </c>
      <c r="AA71" s="189">
        <f t="shared" si="39"/>
        <v>16.820732758620689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225</v>
      </c>
      <c r="P72" s="225">
        <v>19</v>
      </c>
      <c r="Q72" s="225">
        <v>2001</v>
      </c>
      <c r="R72" s="221">
        <v>851.33</v>
      </c>
      <c r="S72" s="225"/>
      <c r="T72" s="221"/>
      <c r="U72" s="189">
        <f t="shared" si="34"/>
        <v>0</v>
      </c>
      <c r="V72" s="189">
        <f t="shared" si="35"/>
        <v>6.3849749999999998</v>
      </c>
      <c r="W72" s="189">
        <f t="shared" si="36"/>
        <v>0</v>
      </c>
      <c r="X72" s="189">
        <f t="shared" si="37"/>
        <v>0</v>
      </c>
      <c r="Y72" s="189">
        <f t="shared" si="38"/>
        <v>844.94502499999999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225</v>
      </c>
      <c r="P73" s="225">
        <v>20</v>
      </c>
      <c r="Q73" s="225">
        <v>2001</v>
      </c>
      <c r="R73" s="221">
        <v>795.23</v>
      </c>
      <c r="S73" s="225"/>
      <c r="T73" s="225"/>
      <c r="U73" s="189">
        <f t="shared" si="34"/>
        <v>0</v>
      </c>
      <c r="V73" s="189">
        <f t="shared" si="35"/>
        <v>5.9642249999999999</v>
      </c>
      <c r="W73" s="189">
        <f t="shared" si="36"/>
        <v>0</v>
      </c>
      <c r="X73" s="189">
        <f t="shared" si="37"/>
        <v>0</v>
      </c>
      <c r="Y73" s="189">
        <f t="shared" si="38"/>
        <v>789.26577499999996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>
        <f>50+45+80+100+10+10</f>
        <v>295</v>
      </c>
      <c r="S74" s="87"/>
      <c r="T74" s="87"/>
      <c r="U74" s="189">
        <f t="shared" si="34"/>
        <v>0</v>
      </c>
      <c r="V74" s="189">
        <f t="shared" si="35"/>
        <v>2.2124999999999999</v>
      </c>
      <c r="W74" s="189">
        <f t="shared" si="36"/>
        <v>0</v>
      </c>
      <c r="X74" s="189">
        <f t="shared" si="37"/>
        <v>0</v>
      </c>
      <c r="Y74" s="189">
        <f t="shared" si="38"/>
        <v>292.78750000000002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4420.6000000000004</v>
      </c>
      <c r="S75" s="192"/>
      <c r="T75" s="192">
        <f>SUM(T70:T74)</f>
        <v>18.05</v>
      </c>
      <c r="U75" s="192">
        <f>SUM(U70:U74)</f>
        <v>0.7780172413793105</v>
      </c>
      <c r="V75" s="192">
        <f t="shared" ref="V75:AA75" si="41">SUM(V70:V74)</f>
        <v>33.154499999999999</v>
      </c>
      <c r="W75" s="192">
        <f t="shared" si="41"/>
        <v>0</v>
      </c>
      <c r="X75" s="192">
        <f t="shared" si="41"/>
        <v>0.45125000000000004</v>
      </c>
      <c r="Y75" s="192">
        <f t="shared" si="41"/>
        <v>4387.4454999999998</v>
      </c>
      <c r="Z75" s="192">
        <f t="shared" si="41"/>
        <v>0</v>
      </c>
      <c r="AA75" s="193">
        <f t="shared" si="41"/>
        <v>16.820732758620689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179</v>
      </c>
      <c r="P78" s="137">
        <v>7.7</v>
      </c>
      <c r="Q78" s="137">
        <v>11.24</v>
      </c>
      <c r="R78" s="82">
        <v>7.4999999999999997E-3</v>
      </c>
      <c r="S78" s="194">
        <f>+(P78+Q78)*R78</f>
        <v>0.14205000000000001</v>
      </c>
      <c r="T78" s="254">
        <f>+(P78+Q78)-S78</f>
        <v>18.79795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179</v>
      </c>
      <c r="P79" s="137">
        <v>99.35</v>
      </c>
      <c r="Q79" s="137">
        <v>44.59</v>
      </c>
      <c r="R79" s="82">
        <v>7.4999999999999997E-3</v>
      </c>
      <c r="S79" s="194">
        <f t="shared" ref="S79:S97" si="43">+(P79+Q79)*R79</f>
        <v>1.07955</v>
      </c>
      <c r="T79" s="254">
        <f t="shared" ref="T79:T97" si="44">+(P79+Q79)-S79</f>
        <v>142.86044999999999</v>
      </c>
      <c r="U79" s="211">
        <v>24</v>
      </c>
      <c r="V79" s="112"/>
      <c r="W79" s="113">
        <v>1.4999999999999999E-2</v>
      </c>
      <c r="X79" s="196">
        <f t="shared" ref="X79:X97" si="45">+(U79+V79)*W79</f>
        <v>0.36</v>
      </c>
      <c r="Y79" s="217">
        <f t="shared" ref="Y79:Y97" si="46">+(U79+V79)-X79</f>
        <v>23.64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179</v>
      </c>
      <c r="P80" s="137">
        <v>166.35</v>
      </c>
      <c r="Q80" s="137">
        <v>7.14</v>
      </c>
      <c r="R80" s="82">
        <v>7.4999999999999997E-3</v>
      </c>
      <c r="S80" s="194">
        <f t="shared" si="43"/>
        <v>1.3011749999999997</v>
      </c>
      <c r="T80" s="254">
        <f t="shared" si="44"/>
        <v>172.18882499999998</v>
      </c>
      <c r="U80" s="211">
        <v>34</v>
      </c>
      <c r="V80" s="112"/>
      <c r="W80" s="113">
        <v>1.4999999999999999E-2</v>
      </c>
      <c r="X80" s="196">
        <f t="shared" si="45"/>
        <v>0.51</v>
      </c>
      <c r="Y80" s="217">
        <f t="shared" si="46"/>
        <v>33.49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179</v>
      </c>
      <c r="P81" s="137">
        <v>11</v>
      </c>
      <c r="Q81" s="137"/>
      <c r="R81" s="82">
        <v>7.4999999999999997E-3</v>
      </c>
      <c r="S81" s="194">
        <f t="shared" si="43"/>
        <v>8.249999999999999E-2</v>
      </c>
      <c r="T81" s="254">
        <f t="shared" si="44"/>
        <v>10.9175</v>
      </c>
      <c r="U81" s="211">
        <v>38.909999999999997</v>
      </c>
      <c r="V81" s="112"/>
      <c r="W81" s="113">
        <v>1.4999999999999999E-2</v>
      </c>
      <c r="X81" s="196">
        <f t="shared" si="45"/>
        <v>0.58364999999999989</v>
      </c>
      <c r="Y81" s="217">
        <f t="shared" si="46"/>
        <v>38.326349999999998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179</v>
      </c>
      <c r="P82" s="137">
        <v>162.29</v>
      </c>
      <c r="Q82" s="137"/>
      <c r="R82" s="82">
        <v>7.4999999999999997E-3</v>
      </c>
      <c r="S82" s="194">
        <f t="shared" si="43"/>
        <v>1.2171749999999999</v>
      </c>
      <c r="T82" s="234">
        <f t="shared" si="44"/>
        <v>161.07282499999999</v>
      </c>
      <c r="U82" s="211">
        <v>12</v>
      </c>
      <c r="V82" s="112"/>
      <c r="W82" s="113">
        <v>1.4999999999999999E-2</v>
      </c>
      <c r="X82" s="196">
        <f t="shared" si="45"/>
        <v>0.18</v>
      </c>
      <c r="Y82" s="254">
        <f t="shared" si="46"/>
        <v>11.82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179</v>
      </c>
      <c r="P83" s="137">
        <v>184.82</v>
      </c>
      <c r="Q83" s="137">
        <v>42.2</v>
      </c>
      <c r="R83" s="82">
        <v>7.4999999999999997E-3</v>
      </c>
      <c r="S83" s="194">
        <f t="shared" si="43"/>
        <v>1.7026499999999998</v>
      </c>
      <c r="T83" s="219">
        <f t="shared" si="44"/>
        <v>225.31734999999998</v>
      </c>
      <c r="U83" s="211">
        <v>23.59</v>
      </c>
      <c r="V83" s="112"/>
      <c r="W83" s="113">
        <v>1.4999999999999999E-2</v>
      </c>
      <c r="X83" s="196">
        <f t="shared" si="45"/>
        <v>0.35385</v>
      </c>
      <c r="Y83" s="254">
        <f t="shared" si="46"/>
        <v>23.236149999999999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179</v>
      </c>
      <c r="P84" s="87">
        <v>188.38</v>
      </c>
      <c r="Q84" s="87">
        <v>51.14</v>
      </c>
      <c r="R84" s="82">
        <v>7.4999999999999997E-3</v>
      </c>
      <c r="S84" s="194">
        <f t="shared" si="43"/>
        <v>1.7963999999999998</v>
      </c>
      <c r="T84" s="234">
        <f t="shared" si="44"/>
        <v>237.72359999999998</v>
      </c>
      <c r="U84" s="112">
        <v>5</v>
      </c>
      <c r="V84" s="112"/>
      <c r="W84" s="113">
        <v>1.4999999999999999E-2</v>
      </c>
      <c r="X84" s="196">
        <f t="shared" si="45"/>
        <v>7.4999999999999997E-2</v>
      </c>
      <c r="Y84" s="217">
        <f t="shared" si="46"/>
        <v>4.9249999999999998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179</v>
      </c>
      <c r="P85" s="137"/>
      <c r="Q85" s="87">
        <v>58.84</v>
      </c>
      <c r="R85" s="82">
        <v>7.4999999999999997E-3</v>
      </c>
      <c r="S85" s="194">
        <f t="shared" si="43"/>
        <v>0.44130000000000003</v>
      </c>
      <c r="T85" s="219">
        <f t="shared" si="44"/>
        <v>58.398700000000005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179</v>
      </c>
      <c r="P86" s="137">
        <v>286.27999999999997</v>
      </c>
      <c r="Q86" s="137">
        <v>8.2899999999999991</v>
      </c>
      <c r="R86" s="82">
        <v>7.4999999999999997E-3</v>
      </c>
      <c r="S86" s="194">
        <f t="shared" si="43"/>
        <v>2.2092749999999999</v>
      </c>
      <c r="T86" s="219">
        <f t="shared" si="44"/>
        <v>292.360725</v>
      </c>
      <c r="U86" s="112">
        <v>57.13</v>
      </c>
      <c r="V86" s="112"/>
      <c r="W86" s="113">
        <v>1.4999999999999999E-2</v>
      </c>
      <c r="X86" s="196">
        <f t="shared" si="45"/>
        <v>0.85694999999999999</v>
      </c>
      <c r="Y86" s="254">
        <f t="shared" si="46"/>
        <v>56.273050000000005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179</v>
      </c>
      <c r="P87" s="13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179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179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179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179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179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179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179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179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179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179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1106.17</v>
      </c>
      <c r="Q98" s="195">
        <f>SUM(Q78:Q97)</f>
        <v>223.44</v>
      </c>
      <c r="R98" s="111"/>
      <c r="S98" s="195">
        <f>SUM(S78:S97)</f>
        <v>9.9720750000000002</v>
      </c>
      <c r="T98" s="195">
        <f>SUM(T78:T97)</f>
        <v>1319.637925</v>
      </c>
      <c r="U98" s="114">
        <f>SUM(U78:U97)</f>
        <v>194.63</v>
      </c>
      <c r="V98" s="114">
        <f>SUM(V78:V97)</f>
        <v>0</v>
      </c>
      <c r="W98" s="112"/>
      <c r="X98" s="197">
        <f>SUM(X78:X97)</f>
        <v>2.9194499999999999</v>
      </c>
      <c r="Y98" s="197">
        <f>SUM(Y78:Y97)</f>
        <v>191.71055000000004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</row>
    <row r="100" spans="14:30" x14ac:dyDescent="0.25">
      <c r="N100" s="85"/>
      <c r="P100" s="215">
        <f>P78+U78+Q78</f>
        <v>18.940000000000001</v>
      </c>
    </row>
    <row r="101" spans="14:30" x14ac:dyDescent="0.25">
      <c r="N101" s="85"/>
      <c r="P101" s="215">
        <f>P79+Q79+U79</f>
        <v>167.94</v>
      </c>
    </row>
    <row r="102" spans="14:30" x14ac:dyDescent="0.25">
      <c r="N102" s="85"/>
      <c r="P102" s="215">
        <f>P80+Q80+U80</f>
        <v>207.48999999999998</v>
      </c>
    </row>
    <row r="103" spans="14:30" x14ac:dyDescent="0.25">
      <c r="N103" s="85"/>
      <c r="P103" s="215">
        <f>Q81+U81+P81</f>
        <v>49.91</v>
      </c>
    </row>
    <row r="104" spans="14:30" x14ac:dyDescent="0.25">
      <c r="N104" s="85"/>
      <c r="P104" s="215">
        <f>P82+Q82+U82</f>
        <v>174.29</v>
      </c>
      <c r="R104" s="85">
        <v>33</v>
      </c>
      <c r="S104" s="85">
        <v>2.41</v>
      </c>
      <c r="T104" s="85">
        <v>26.22</v>
      </c>
    </row>
    <row r="105" spans="14:30" x14ac:dyDescent="0.25">
      <c r="N105" s="85"/>
      <c r="P105" s="215">
        <f t="shared" ref="P105:P109" si="50">P83+Q83+U83</f>
        <v>250.60999999999999</v>
      </c>
    </row>
    <row r="106" spans="14:30" x14ac:dyDescent="0.25">
      <c r="N106" s="85"/>
      <c r="P106" s="246">
        <f t="shared" si="50"/>
        <v>244.51999999999998</v>
      </c>
    </row>
    <row r="107" spans="14:30" x14ac:dyDescent="0.25">
      <c r="N107" s="85"/>
      <c r="P107" s="233">
        <f>P85+Q85+U85</f>
        <v>58.84</v>
      </c>
    </row>
    <row r="108" spans="14:30" x14ac:dyDescent="0.25">
      <c r="N108" s="85"/>
      <c r="P108" s="233">
        <f>P86+Q86+U86</f>
        <v>351.7</v>
      </c>
    </row>
    <row r="109" spans="14:30" x14ac:dyDescent="0.25">
      <c r="N109" s="85"/>
      <c r="P109" s="233">
        <f t="shared" si="50"/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35" zoomScale="90" zoomScaleNormal="90" workbookViewId="0">
      <selection activeCell="T78" sqref="T78:T7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243">
        <v>5.73</v>
      </c>
      <c r="C8" s="85" t="s">
        <v>92</v>
      </c>
      <c r="D8" s="108">
        <v>5.86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1565.5</v>
      </c>
      <c r="C12" s="15"/>
      <c r="D12" s="56"/>
      <c r="E12" s="16"/>
      <c r="F12" s="56"/>
      <c r="G12" s="56"/>
      <c r="H12" s="17"/>
      <c r="I12" s="83">
        <v>1565.5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190</v>
      </c>
      <c r="Q12" s="158">
        <v>11</v>
      </c>
      <c r="R12" s="244">
        <v>1585.4</v>
      </c>
      <c r="S12" s="160"/>
      <c r="T12" s="160"/>
      <c r="U12" s="189">
        <f>((T12/U$10)*U$9)</f>
        <v>0</v>
      </c>
      <c r="V12" s="189">
        <f>R12*V$10</f>
        <v>11.890499999999999</v>
      </c>
      <c r="W12" s="189">
        <f>+S12*V$10</f>
        <v>0</v>
      </c>
      <c r="X12" s="189">
        <f>+T12*X$10</f>
        <v>0</v>
      </c>
      <c r="Y12" s="189">
        <f>R12-V12</f>
        <v>1573.5095000000001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239">
        <v>2601</v>
      </c>
      <c r="C13" s="15"/>
      <c r="D13" s="56"/>
      <c r="E13" s="16"/>
      <c r="F13" s="56"/>
      <c r="G13" s="56"/>
      <c r="H13" s="17"/>
      <c r="I13" s="83">
        <v>2601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191</v>
      </c>
      <c r="Q13" s="158">
        <v>11</v>
      </c>
      <c r="R13" s="244">
        <v>197.32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1.4799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195.84010000000001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14903.730000000001</v>
      </c>
      <c r="C14" s="15"/>
      <c r="D14" s="56"/>
      <c r="E14" s="16"/>
      <c r="F14" s="56"/>
      <c r="G14" s="56"/>
      <c r="H14" s="17"/>
      <c r="I14" s="83">
        <v>14903.73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573</v>
      </c>
      <c r="Q14" s="158">
        <v>2</v>
      </c>
      <c r="R14" s="244">
        <v>1302.6199999999999</v>
      </c>
      <c r="S14" s="160"/>
      <c r="T14" s="161">
        <v>26.32</v>
      </c>
      <c r="U14" s="189">
        <f t="shared" si="2"/>
        <v>1.1344827586206898</v>
      </c>
      <c r="V14" s="189">
        <f t="shared" si="3"/>
        <v>9.7696499999999986</v>
      </c>
      <c r="W14" s="189">
        <f t="shared" si="4"/>
        <v>0</v>
      </c>
      <c r="X14" s="189">
        <f t="shared" si="5"/>
        <v>0.65800000000000003</v>
      </c>
      <c r="Y14" s="189">
        <f t="shared" si="6"/>
        <v>1292.8503499999999</v>
      </c>
      <c r="Z14" s="189">
        <f t="shared" si="6"/>
        <v>0</v>
      </c>
      <c r="AA14" s="189">
        <f t="shared" si="7"/>
        <v>24.527517241379311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574</v>
      </c>
      <c r="Q15" s="158">
        <v>2</v>
      </c>
      <c r="R15" s="244">
        <v>1690.06</v>
      </c>
      <c r="S15" s="160"/>
      <c r="T15" s="161"/>
      <c r="U15" s="189">
        <f t="shared" si="2"/>
        <v>0</v>
      </c>
      <c r="V15" s="189">
        <f t="shared" si="3"/>
        <v>12.67545</v>
      </c>
      <c r="W15" s="189">
        <f t="shared" si="4"/>
        <v>0</v>
      </c>
      <c r="X15" s="189">
        <f t="shared" si="5"/>
        <v>0</v>
      </c>
      <c r="Y15" s="189">
        <f t="shared" si="6"/>
        <v>1677.38455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554</v>
      </c>
      <c r="Q16" s="158">
        <v>4</v>
      </c>
      <c r="R16" s="244">
        <v>2123.31</v>
      </c>
      <c r="S16" s="160"/>
      <c r="T16" s="161">
        <v>48.05</v>
      </c>
      <c r="U16" s="189">
        <f t="shared" si="2"/>
        <v>2.0711206896551726</v>
      </c>
      <c r="V16" s="189">
        <f t="shared" si="3"/>
        <v>15.924824999999998</v>
      </c>
      <c r="W16" s="189">
        <f t="shared" si="4"/>
        <v>0</v>
      </c>
      <c r="X16" s="189">
        <f t="shared" si="5"/>
        <v>1.2012499999999999</v>
      </c>
      <c r="Y16" s="189">
        <f t="shared" si="6"/>
        <v>2107.3851749999999</v>
      </c>
      <c r="Z16" s="189">
        <f t="shared" si="6"/>
        <v>0</v>
      </c>
      <c r="AA16" s="189">
        <f t="shared" si="7"/>
        <v>44.777629310344821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555</v>
      </c>
      <c r="Q17" s="158">
        <v>4</v>
      </c>
      <c r="R17" s="244">
        <v>1702.1</v>
      </c>
      <c r="S17" s="160"/>
      <c r="T17" s="161">
        <v>122.77</v>
      </c>
      <c r="U17" s="189">
        <f t="shared" si="2"/>
        <v>5.2918103448275868</v>
      </c>
      <c r="V17" s="189">
        <f t="shared" si="3"/>
        <v>12.765749999999999</v>
      </c>
      <c r="W17" s="189">
        <f t="shared" si="4"/>
        <v>0</v>
      </c>
      <c r="X17" s="189">
        <f t="shared" si="5"/>
        <v>3.0692500000000003</v>
      </c>
      <c r="Y17" s="189">
        <f t="shared" si="6"/>
        <v>1689.3342499999999</v>
      </c>
      <c r="Z17" s="189">
        <f t="shared" si="6"/>
        <v>0</v>
      </c>
      <c r="AA17" s="189">
        <f t="shared" si="7"/>
        <v>114.40893965517242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552</v>
      </c>
      <c r="Q18" s="158">
        <v>14</v>
      </c>
      <c r="R18" s="244">
        <v>680.82</v>
      </c>
      <c r="S18" s="160"/>
      <c r="T18" s="161">
        <v>23.64</v>
      </c>
      <c r="U18" s="189">
        <f t="shared" si="2"/>
        <v>1.0189655172413794</v>
      </c>
      <c r="V18" s="189">
        <f t="shared" si="3"/>
        <v>5.1061500000000004</v>
      </c>
      <c r="W18" s="189">
        <f t="shared" si="4"/>
        <v>0</v>
      </c>
      <c r="X18" s="189">
        <f t="shared" si="5"/>
        <v>0.59100000000000008</v>
      </c>
      <c r="Y18" s="189">
        <f t="shared" si="6"/>
        <v>675.71385000000009</v>
      </c>
      <c r="Z18" s="189">
        <f t="shared" si="6"/>
        <v>0</v>
      </c>
      <c r="AA18" s="189">
        <f t="shared" si="7"/>
        <v>22.030034482758619</v>
      </c>
      <c r="AB18" s="156"/>
    </row>
    <row r="19" spans="1:28" ht="15.75" x14ac:dyDescent="0.25">
      <c r="A19" s="93" t="s">
        <v>79</v>
      </c>
      <c r="B19" s="97">
        <f>+B13+B15+B17</f>
        <v>2601</v>
      </c>
      <c r="C19" s="95"/>
      <c r="D19" s="94"/>
      <c r="E19" s="96"/>
      <c r="F19" s="94"/>
      <c r="G19" s="94"/>
      <c r="H19" s="98"/>
      <c r="I19" s="99">
        <v>2601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206</v>
      </c>
      <c r="Q19" s="158">
        <v>10</v>
      </c>
      <c r="R19" s="244">
        <v>670.41</v>
      </c>
      <c r="S19" s="160"/>
      <c r="T19" s="161">
        <v>10.64</v>
      </c>
      <c r="U19" s="189">
        <f t="shared" si="2"/>
        <v>0.45862068965517255</v>
      </c>
      <c r="V19" s="189">
        <f t="shared" si="3"/>
        <v>5.0280749999999994</v>
      </c>
      <c r="W19" s="189">
        <f t="shared" si="4"/>
        <v>0</v>
      </c>
      <c r="X19" s="189">
        <f t="shared" si="5"/>
        <v>0.26600000000000001</v>
      </c>
      <c r="Y19" s="189">
        <f t="shared" si="6"/>
        <v>665.38192500000002</v>
      </c>
      <c r="Z19" s="189">
        <f t="shared" si="6"/>
        <v>0</v>
      </c>
      <c r="AA19" s="189">
        <f t="shared" si="7"/>
        <v>9.9153793103448287</v>
      </c>
      <c r="AB19" s="156"/>
    </row>
    <row r="20" spans="1:28" ht="15.75" x14ac:dyDescent="0.25">
      <c r="A20" s="93" t="s">
        <v>80</v>
      </c>
      <c r="B20" s="97">
        <f>+B14+B16+B18</f>
        <v>14903.730000000001</v>
      </c>
      <c r="C20" s="95"/>
      <c r="D20" s="94"/>
      <c r="E20" s="96"/>
      <c r="F20" s="94"/>
      <c r="G20" s="94"/>
      <c r="H20" s="98"/>
      <c r="I20" s="99">
        <v>14903.73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207</v>
      </c>
      <c r="Q20" s="158">
        <v>10</v>
      </c>
      <c r="R20" s="244">
        <v>1447.25</v>
      </c>
      <c r="S20" s="160"/>
      <c r="T20" s="161"/>
      <c r="U20" s="189">
        <f t="shared" si="2"/>
        <v>0</v>
      </c>
      <c r="V20" s="189">
        <f t="shared" si="3"/>
        <v>10.854374999999999</v>
      </c>
      <c r="W20" s="189">
        <f t="shared" si="4"/>
        <v>0</v>
      </c>
      <c r="X20" s="189">
        <f t="shared" si="5"/>
        <v>0</v>
      </c>
      <c r="Y20" s="189">
        <f t="shared" si="6"/>
        <v>1436.3956250000001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55</v>
      </c>
      <c r="C21" s="100"/>
      <c r="D21" s="66"/>
      <c r="E21" s="67"/>
      <c r="F21" s="66"/>
      <c r="G21" s="66"/>
      <c r="H21" s="102"/>
      <c r="I21" s="79">
        <v>55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639</v>
      </c>
      <c r="Q21" s="158">
        <v>18</v>
      </c>
      <c r="R21" s="244">
        <v>1167.6300000000001</v>
      </c>
      <c r="S21" s="160"/>
      <c r="T21" s="161">
        <v>19.59</v>
      </c>
      <c r="U21" s="189">
        <f t="shared" si="2"/>
        <v>0.84439655172413797</v>
      </c>
      <c r="V21" s="189">
        <f t="shared" si="3"/>
        <v>8.757225</v>
      </c>
      <c r="W21" s="189">
        <f t="shared" si="4"/>
        <v>0</v>
      </c>
      <c r="X21" s="189">
        <f t="shared" si="5"/>
        <v>0.48975000000000002</v>
      </c>
      <c r="Y21" s="189">
        <f t="shared" si="6"/>
        <v>1158.872775</v>
      </c>
      <c r="Z21" s="189">
        <f t="shared" si="6"/>
        <v>0</v>
      </c>
      <c r="AA21" s="189">
        <f t="shared" si="7"/>
        <v>18.255853448275861</v>
      </c>
      <c r="AB21" s="156"/>
    </row>
    <row r="22" spans="1:28" ht="15.75" x14ac:dyDescent="0.25">
      <c r="A22" s="86" t="s">
        <v>85</v>
      </c>
      <c r="B22" s="57">
        <f>B21*D8</f>
        <v>322.3</v>
      </c>
      <c r="C22" s="100"/>
      <c r="D22" s="66"/>
      <c r="E22" s="67"/>
      <c r="F22" s="66"/>
      <c r="G22" s="66"/>
      <c r="H22" s="102"/>
      <c r="I22" s="79">
        <v>322.3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640</v>
      </c>
      <c r="Q22" s="158">
        <v>18</v>
      </c>
      <c r="R22" s="245">
        <v>973.29</v>
      </c>
      <c r="S22" s="160"/>
      <c r="T22" s="160"/>
      <c r="U22" s="189">
        <f t="shared" si="2"/>
        <v>0</v>
      </c>
      <c r="V22" s="189">
        <f t="shared" si="3"/>
        <v>7.2996749999999997</v>
      </c>
      <c r="W22" s="189">
        <f t="shared" si="4"/>
        <v>0</v>
      </c>
      <c r="X22" s="189">
        <f t="shared" si="5"/>
        <v>0</v>
      </c>
      <c r="Y22" s="189">
        <f t="shared" si="6"/>
        <v>965.99032499999998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55</v>
      </c>
      <c r="C27" s="95"/>
      <c r="D27" s="94"/>
      <c r="E27" s="96"/>
      <c r="F27" s="94"/>
      <c r="G27" s="94"/>
      <c r="H27" s="98"/>
      <c r="I27" s="99">
        <v>55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322.3</v>
      </c>
      <c r="C28" s="95"/>
      <c r="D28" s="94"/>
      <c r="E28" s="96"/>
      <c r="F28" s="94"/>
      <c r="G28" s="94"/>
      <c r="H28" s="98"/>
      <c r="I28" s="99">
        <v>322.3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65.05</v>
      </c>
      <c r="C29" s="100"/>
      <c r="D29" s="66"/>
      <c r="E29" s="67"/>
      <c r="F29" s="66"/>
      <c r="G29" s="66"/>
      <c r="H29" s="102"/>
      <c r="I29" s="79">
        <v>65.05</v>
      </c>
      <c r="J29" s="81">
        <f t="shared" si="0"/>
        <v>0</v>
      </c>
      <c r="K29" s="80">
        <v>65.05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372.73650000000004</v>
      </c>
      <c r="C30" s="100"/>
      <c r="D30" s="66"/>
      <c r="E30" s="67"/>
      <c r="F30" s="66"/>
      <c r="G30" s="66"/>
      <c r="H30" s="102"/>
      <c r="I30" s="79">
        <v>372.74</v>
      </c>
      <c r="J30" s="81">
        <f t="shared" si="0"/>
        <v>-3.4999999999740794E-3</v>
      </c>
      <c r="K30" s="80">
        <v>372.74</v>
      </c>
      <c r="L30" s="186">
        <f>K30-B30</f>
        <v>3.4999999999740794E-3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65.05</v>
      </c>
      <c r="C35" s="95"/>
      <c r="D35" s="94"/>
      <c r="E35" s="96"/>
      <c r="F35" s="94"/>
      <c r="G35" s="94"/>
      <c r="H35" s="98"/>
      <c r="I35" s="99"/>
      <c r="J35" s="185">
        <f t="shared" si="0"/>
        <v>65.05</v>
      </c>
      <c r="K35" s="99">
        <v>65.05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372.73650000000004</v>
      </c>
      <c r="C36" s="95"/>
      <c r="D36" s="94"/>
      <c r="E36" s="96"/>
      <c r="F36" s="94"/>
      <c r="G36" s="94"/>
      <c r="H36" s="98"/>
      <c r="I36" s="99"/>
      <c r="J36" s="185">
        <f t="shared" si="0"/>
        <v>372.73650000000004</v>
      </c>
      <c r="K36" s="99">
        <v>372.74</v>
      </c>
      <c r="L36" s="187">
        <f>K36-B36</f>
        <v>3.4999999999740794E-3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37.340000000000003</v>
      </c>
      <c r="C37" s="100"/>
      <c r="D37" s="66"/>
      <c r="E37" s="67"/>
      <c r="F37" s="66"/>
      <c r="G37" s="66"/>
      <c r="H37" s="102"/>
      <c r="I37" s="79">
        <v>37.340000000000003</v>
      </c>
      <c r="J37" s="81">
        <f t="shared" si="0"/>
        <v>0</v>
      </c>
      <c r="K37" s="80">
        <v>37.340000000000003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213.95820000000003</v>
      </c>
      <c r="C38" s="100"/>
      <c r="D38" s="66"/>
      <c r="E38" s="67"/>
      <c r="F38" s="66"/>
      <c r="G38" s="66"/>
      <c r="H38" s="102"/>
      <c r="I38" s="79"/>
      <c r="J38" s="81">
        <f t="shared" si="0"/>
        <v>213.95820000000003</v>
      </c>
      <c r="K38" s="80">
        <v>213.96</v>
      </c>
      <c r="L38" s="186">
        <f>K38-B38</f>
        <v>1.7999999999744887E-3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13540.21</v>
      </c>
      <c r="S42" s="190">
        <f t="shared" si="8"/>
        <v>0</v>
      </c>
      <c r="T42" s="190">
        <f t="shared" si="8"/>
        <v>251.00999999999996</v>
      </c>
      <c r="U42" s="190">
        <f t="shared" si="8"/>
        <v>10.819396551724139</v>
      </c>
      <c r="V42" s="190">
        <f t="shared" si="8"/>
        <v>101.551575</v>
      </c>
      <c r="W42" s="190">
        <f t="shared" si="8"/>
        <v>0</v>
      </c>
      <c r="X42" s="190">
        <f t="shared" si="8"/>
        <v>6.2752499999999998</v>
      </c>
      <c r="Y42" s="190">
        <f t="shared" si="8"/>
        <v>13438.658425</v>
      </c>
      <c r="Z42" s="190">
        <f t="shared" si="8"/>
        <v>0</v>
      </c>
      <c r="AA42" s="190">
        <f t="shared" si="8"/>
        <v>233.91535344827588</v>
      </c>
      <c r="AB42" s="166"/>
    </row>
    <row r="43" spans="1:28" ht="15.75" x14ac:dyDescent="0.25">
      <c r="A43" s="93" t="s">
        <v>101</v>
      </c>
      <c r="B43" s="97">
        <f>+B37+B39+B41</f>
        <v>37.340000000000003</v>
      </c>
      <c r="C43" s="95"/>
      <c r="D43" s="94"/>
      <c r="E43" s="96"/>
      <c r="F43" s="94"/>
      <c r="G43" s="94"/>
      <c r="H43" s="98"/>
      <c r="I43" s="99"/>
      <c r="J43" s="185">
        <f t="shared" si="0"/>
        <v>37.340000000000003</v>
      </c>
      <c r="K43" s="99">
        <v>37.340000000000003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406.97</v>
      </c>
      <c r="S43" s="160"/>
      <c r="T43" s="160"/>
      <c r="U43" s="189">
        <f t="shared" ref="U43:U62" si="9">((T43/U$10)*U$9)</f>
        <v>0</v>
      </c>
      <c r="V43" s="189">
        <f t="shared" ref="V43:V62" si="10">R43*V$10</f>
        <v>3.0522750000000003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403.91772500000002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213.95820000000003</v>
      </c>
      <c r="C44" s="95"/>
      <c r="D44" s="94"/>
      <c r="E44" s="96"/>
      <c r="F44" s="94"/>
      <c r="G44" s="94"/>
      <c r="H44" s="98"/>
      <c r="I44" s="99"/>
      <c r="J44" s="185">
        <f t="shared" si="0"/>
        <v>213.95820000000003</v>
      </c>
      <c r="K44" s="99">
        <v>213.96</v>
      </c>
      <c r="L44" s="187">
        <f>K44-B44</f>
        <v>1.7999999999744887E-3</v>
      </c>
      <c r="M44" s="107"/>
      <c r="N44" s="104">
        <v>2</v>
      </c>
      <c r="O44" s="167" t="s">
        <v>69</v>
      </c>
      <c r="P44" s="158"/>
      <c r="Q44" s="158"/>
      <c r="R44" s="160">
        <v>17.5</v>
      </c>
      <c r="S44" s="160"/>
      <c r="T44" s="160"/>
      <c r="U44" s="189">
        <f t="shared" si="9"/>
        <v>0</v>
      </c>
      <c r="V44" s="189">
        <f t="shared" si="10"/>
        <v>0.13125000000000001</v>
      </c>
      <c r="W44" s="189">
        <f t="shared" si="11"/>
        <v>0</v>
      </c>
      <c r="X44" s="189">
        <f t="shared" si="12"/>
        <v>0</v>
      </c>
      <c r="Y44" s="189">
        <f t="shared" si="13"/>
        <v>17.368749999999999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13540.21</v>
      </c>
      <c r="C46" s="116">
        <v>7.4999999999999997E-3</v>
      </c>
      <c r="D46" s="117">
        <f>B46*C46</f>
        <v>101.55157499999999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13438.658425</v>
      </c>
      <c r="H46" s="173">
        <f>B$6+1</f>
        <v>44766</v>
      </c>
      <c r="I46" s="174">
        <v>14362.24</v>
      </c>
      <c r="J46" s="81">
        <f t="shared" si="0"/>
        <v>-822.03000000000065</v>
      </c>
      <c r="K46" s="80"/>
      <c r="L46" s="186">
        <f t="shared" ref="L46:L64" si="17">+G46-K46</f>
        <v>13438.658425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424.47</v>
      </c>
      <c r="C47" s="116">
        <v>7.4999999999999997E-3</v>
      </c>
      <c r="D47" s="117">
        <f t="shared" ref="D47:D50" si="18">B47*C47</f>
        <v>3.1835249999999999</v>
      </c>
      <c r="E47" s="172">
        <v>0</v>
      </c>
      <c r="F47" s="117">
        <f t="shared" si="15"/>
        <v>0</v>
      </c>
      <c r="G47" s="117">
        <f t="shared" si="16"/>
        <v>421.28647500000005</v>
      </c>
      <c r="H47" s="173">
        <f>B$6+1</f>
        <v>44766</v>
      </c>
      <c r="I47" s="175">
        <v>424.47</v>
      </c>
      <c r="J47" s="81">
        <f t="shared" si="0"/>
        <v>0</v>
      </c>
      <c r="K47" s="80"/>
      <c r="L47" s="186">
        <f t="shared" si="17"/>
        <v>421.28647500000005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178.41000000000003</v>
      </c>
      <c r="C48" s="116">
        <v>7.4999999999999997E-3</v>
      </c>
      <c r="D48" s="117">
        <f t="shared" si="18"/>
        <v>1.3380750000000001</v>
      </c>
      <c r="E48" s="172">
        <v>0</v>
      </c>
      <c r="F48" s="117">
        <f t="shared" si="15"/>
        <v>0</v>
      </c>
      <c r="G48" s="117">
        <f t="shared" si="16"/>
        <v>177.07192500000002</v>
      </c>
      <c r="H48" s="173">
        <f t="shared" ref="H48:H61" si="19">B$6+1</f>
        <v>44766</v>
      </c>
      <c r="I48" s="176"/>
      <c r="J48" s="81">
        <f t="shared" si="0"/>
        <v>178.41000000000003</v>
      </c>
      <c r="K48" s="80"/>
      <c r="L48" s="186">
        <f t="shared" si="17"/>
        <v>177.07192500000002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211</v>
      </c>
      <c r="B49" s="117">
        <f>R75</f>
        <v>4260.03</v>
      </c>
      <c r="C49" s="116">
        <v>7.4999999999999997E-3</v>
      </c>
      <c r="D49" s="117">
        <f t="shared" si="18"/>
        <v>31.950224999999996</v>
      </c>
      <c r="E49" s="172">
        <v>0</v>
      </c>
      <c r="F49" s="117">
        <f t="shared" si="15"/>
        <v>0</v>
      </c>
      <c r="G49" s="117">
        <f t="shared" si="16"/>
        <v>4228.0797750000002</v>
      </c>
      <c r="H49" s="173">
        <f t="shared" si="19"/>
        <v>44766</v>
      </c>
      <c r="I49" s="176">
        <v>3118</v>
      </c>
      <c r="J49" s="81">
        <f t="shared" si="0"/>
        <v>1142.0299999999997</v>
      </c>
      <c r="K49" s="80"/>
      <c r="L49" s="186">
        <f t="shared" si="17"/>
        <v>4228.0797750000002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2366.3599999999997</v>
      </c>
      <c r="C50" s="116">
        <v>7.4999999999999997E-3</v>
      </c>
      <c r="D50" s="117">
        <f t="shared" si="18"/>
        <v>17.747699999999998</v>
      </c>
      <c r="E50" s="172">
        <v>0</v>
      </c>
      <c r="F50" s="117">
        <f t="shared" si="15"/>
        <v>0</v>
      </c>
      <c r="G50" s="117">
        <f t="shared" si="16"/>
        <v>2348.6122999999998</v>
      </c>
      <c r="H50" s="173">
        <f t="shared" si="19"/>
        <v>44766</v>
      </c>
      <c r="I50" s="175"/>
      <c r="J50" s="81">
        <f t="shared" si="0"/>
        <v>2366.3599999999997</v>
      </c>
      <c r="K50" s="222"/>
      <c r="L50" s="186">
        <f t="shared" si="17"/>
        <v>2348.6122999999998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260.88</v>
      </c>
      <c r="C51" s="116">
        <v>1.4999999999999999E-2</v>
      </c>
      <c r="D51" s="117">
        <f>+B51*C51</f>
        <v>3.9131999999999998</v>
      </c>
      <c r="E51" s="172">
        <v>0</v>
      </c>
      <c r="F51" s="117">
        <f>D51*E51</f>
        <v>0</v>
      </c>
      <c r="G51" s="117">
        <f t="shared" si="16"/>
        <v>256.96679999999998</v>
      </c>
      <c r="H51" s="173">
        <f t="shared" si="19"/>
        <v>44766</v>
      </c>
      <c r="I51" s="175">
        <v>2603.2399999999998</v>
      </c>
      <c r="J51" s="81">
        <f t="shared" si="0"/>
        <v>-2342.3599999999997</v>
      </c>
      <c r="K51" s="80"/>
      <c r="L51" s="186">
        <f>K51-G51</f>
        <v>-256.96679999999998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251.00999999999996</v>
      </c>
      <c r="C52" s="116">
        <v>2.5000000000000001E-2</v>
      </c>
      <c r="D52" s="117">
        <f>B52*C52</f>
        <v>6.2752499999999998</v>
      </c>
      <c r="E52" s="172">
        <v>0.05</v>
      </c>
      <c r="F52" s="117">
        <f>(B52/E$10)*E52</f>
        <v>10.819396551724138</v>
      </c>
      <c r="G52" s="117">
        <f>B52-D52-F52</f>
        <v>233.91535344827582</v>
      </c>
      <c r="H52" s="188">
        <f t="shared" si="19"/>
        <v>44766</v>
      </c>
      <c r="I52" s="176">
        <v>251.01</v>
      </c>
      <c r="J52" s="81">
        <f t="shared" si="0"/>
        <v>0</v>
      </c>
      <c r="K52" s="80"/>
      <c r="L52" s="186">
        <f t="shared" si="17"/>
        <v>233.91535344827582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168</v>
      </c>
      <c r="B56" s="117">
        <f>T75</f>
        <v>51.14</v>
      </c>
      <c r="C56" s="116">
        <v>2.5000000000000001E-2</v>
      </c>
      <c r="D56" s="117">
        <f t="shared" si="20"/>
        <v>1.2785000000000002</v>
      </c>
      <c r="E56" s="172">
        <v>0.05</v>
      </c>
      <c r="F56" s="117">
        <f t="shared" si="21"/>
        <v>2.2043103448275865</v>
      </c>
      <c r="G56" s="117">
        <f t="shared" si="22"/>
        <v>47.657189655172417</v>
      </c>
      <c r="H56" s="173">
        <f t="shared" si="19"/>
        <v>44766</v>
      </c>
      <c r="I56" s="176">
        <v>51.14</v>
      </c>
      <c r="J56" s="81">
        <f t="shared" si="0"/>
        <v>0</v>
      </c>
      <c r="K56" s="80"/>
      <c r="L56" s="186">
        <f t="shared" si="17"/>
        <v>47.657189655172417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167.23804999999999</v>
      </c>
      <c r="E61" s="177"/>
      <c r="F61" s="57">
        <f>SUM(F46:F58)</f>
        <v>13.023706896551724</v>
      </c>
      <c r="G61" s="57">
        <f>SUM(G46:G58)</f>
        <v>21152.248243103448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21152.248243103448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f>24+320</f>
        <v>344</v>
      </c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344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251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424.47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3.1835250000000004</v>
      </c>
      <c r="W63" s="191">
        <f t="shared" si="25"/>
        <v>0</v>
      </c>
      <c r="X63" s="191">
        <f t="shared" si="25"/>
        <v>0</v>
      </c>
      <c r="Y63" s="191">
        <f>SUM(Y43:Y62)</f>
        <v>421.286475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42304.496486206895</v>
      </c>
      <c r="H64" s="184"/>
      <c r="I64" s="175"/>
      <c r="J64" s="81">
        <f t="shared" si="0"/>
        <v>0</v>
      </c>
      <c r="K64" s="80"/>
      <c r="L64" s="186">
        <f t="shared" si="17"/>
        <v>42304.496486206895</v>
      </c>
      <c r="M64" s="130"/>
      <c r="N64" s="87">
        <v>1</v>
      </c>
      <c r="O64" s="122" t="s">
        <v>226</v>
      </c>
      <c r="P64" s="87"/>
      <c r="Q64" s="225"/>
      <c r="R64" s="236">
        <f>13.4+10.83</f>
        <v>24.23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0.181725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24.048275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38361.734700000001</v>
      </c>
      <c r="G65" s="22"/>
      <c r="L65" s="132"/>
      <c r="M65" s="131"/>
      <c r="N65" s="87">
        <v>2</v>
      </c>
      <c r="O65" s="122" t="s">
        <v>226</v>
      </c>
      <c r="P65" s="87"/>
      <c r="Q65" s="225"/>
      <c r="R65" s="236">
        <f>45.8+7.45</f>
        <v>53.25</v>
      </c>
      <c r="S65" s="225"/>
      <c r="T65" s="87"/>
      <c r="U65" s="189">
        <f t="shared" si="27"/>
        <v>0</v>
      </c>
      <c r="V65" s="189">
        <f t="shared" si="28"/>
        <v>0.39937499999999998</v>
      </c>
      <c r="W65" s="189">
        <f t="shared" si="29"/>
        <v>0</v>
      </c>
      <c r="X65" s="189">
        <f t="shared" si="30"/>
        <v>0</v>
      </c>
      <c r="Y65" s="189">
        <f t="shared" si="31"/>
        <v>52.850625000000001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87"/>
      <c r="Q66" s="225"/>
      <c r="R66" s="236">
        <v>35</v>
      </c>
      <c r="S66" s="225"/>
      <c r="T66" s="87"/>
      <c r="U66" s="189">
        <f t="shared" si="27"/>
        <v>0</v>
      </c>
      <c r="V66" s="189">
        <f t="shared" si="28"/>
        <v>0.26250000000000001</v>
      </c>
      <c r="W66" s="189">
        <f t="shared" si="29"/>
        <v>0</v>
      </c>
      <c r="X66" s="189">
        <f t="shared" si="30"/>
        <v>0</v>
      </c>
      <c r="Y66" s="189">
        <f t="shared" si="31"/>
        <v>34.737499999999997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87"/>
      <c r="Q67" s="225"/>
      <c r="R67" s="236">
        <v>35.82</v>
      </c>
      <c r="S67" s="225"/>
      <c r="T67" s="87"/>
      <c r="U67" s="189">
        <f t="shared" si="27"/>
        <v>0</v>
      </c>
      <c r="V67" s="189">
        <f t="shared" si="28"/>
        <v>0.26865</v>
      </c>
      <c r="W67" s="189">
        <f t="shared" si="29"/>
        <v>0</v>
      </c>
      <c r="X67" s="189">
        <f t="shared" si="30"/>
        <v>0</v>
      </c>
      <c r="Y67" s="189">
        <f t="shared" si="31"/>
        <v>35.551349999999999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37876.82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169</v>
      </c>
      <c r="P68" s="87"/>
      <c r="Q68" s="225"/>
      <c r="R68" s="240">
        <v>30.11</v>
      </c>
      <c r="S68" s="87"/>
      <c r="T68" s="87"/>
      <c r="U68" s="189">
        <f t="shared" si="27"/>
        <v>0</v>
      </c>
      <c r="V68" s="189">
        <f t="shared" si="28"/>
        <v>0.225825</v>
      </c>
      <c r="W68" s="189">
        <f t="shared" si="29"/>
        <v>0</v>
      </c>
      <c r="X68" s="189">
        <f t="shared" si="30"/>
        <v>0</v>
      </c>
      <c r="Y68" s="189">
        <f t="shared" si="31"/>
        <v>29.884174999999999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38302.33</v>
      </c>
      <c r="C69" s="59"/>
      <c r="F69" s="87" t="s">
        <v>127</v>
      </c>
      <c r="G69" s="22"/>
      <c r="H69" s="89"/>
      <c r="I69" s="136"/>
      <c r="J69" s="136"/>
      <c r="N69" s="312" t="s">
        <v>108</v>
      </c>
      <c r="O69" s="312"/>
      <c r="P69" s="313"/>
      <c r="Q69" s="313"/>
      <c r="R69" s="192">
        <f>SUM(R64:R68)</f>
        <v>178.41000000000003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1.3380749999999999</v>
      </c>
      <c r="W69" s="192">
        <f t="shared" si="33"/>
        <v>0</v>
      </c>
      <c r="X69" s="192">
        <f t="shared" si="33"/>
        <v>0</v>
      </c>
      <c r="Y69" s="192">
        <f t="shared" si="33"/>
        <v>177.07192499999999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-425.51000000000204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227</v>
      </c>
      <c r="P70" s="225" t="s">
        <v>264</v>
      </c>
      <c r="Q70" s="225">
        <v>2001</v>
      </c>
      <c r="R70" s="221">
        <f>1090.98+1474.3</f>
        <v>2565.2799999999997</v>
      </c>
      <c r="S70" s="225"/>
      <c r="T70" s="225">
        <v>32.14</v>
      </c>
      <c r="U70" s="189">
        <f t="shared" ref="U70:U74" si="34">((T70/U$10)*U$9)</f>
        <v>1.385344827586207</v>
      </c>
      <c r="V70" s="189">
        <f t="shared" ref="V70:V74" si="35">R70*V$10</f>
        <v>19.239599999999996</v>
      </c>
      <c r="W70" s="189">
        <f t="shared" ref="W70:W74" si="36">+S70*V$10</f>
        <v>0</v>
      </c>
      <c r="X70" s="189">
        <f t="shared" ref="X70:X74" si="37">+T70*X$10</f>
        <v>0.8035000000000001</v>
      </c>
      <c r="Y70" s="189">
        <f t="shared" ref="Y70:Z74" si="38">R70-V70</f>
        <v>2546.0403999999999</v>
      </c>
      <c r="Z70" s="189">
        <f t="shared" si="38"/>
        <v>0</v>
      </c>
      <c r="AA70" s="189">
        <f t="shared" ref="AA70:AA74" si="39">T70-U70-X70</f>
        <v>29.951155172413795</v>
      </c>
      <c r="AB70" s="87"/>
    </row>
    <row r="71" spans="1:30" ht="28.5" customHeight="1" thickBot="1" x14ac:dyDescent="0.3">
      <c r="A71" s="25" t="s">
        <v>56</v>
      </c>
      <c r="B71" s="70">
        <f>(B65-B69)-B72</f>
        <v>59.404699999999139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227</v>
      </c>
      <c r="P71" s="225">
        <v>21</v>
      </c>
      <c r="Q71" s="225">
        <v>2001</v>
      </c>
      <c r="R71" s="221">
        <v>113.77</v>
      </c>
      <c r="S71" s="225"/>
      <c r="T71" s="221"/>
      <c r="U71" s="189">
        <f t="shared" si="34"/>
        <v>0</v>
      </c>
      <c r="V71" s="189">
        <f t="shared" si="35"/>
        <v>0.85327499999999989</v>
      </c>
      <c r="W71" s="189">
        <f t="shared" si="36"/>
        <v>0</v>
      </c>
      <c r="X71" s="189">
        <f t="shared" si="37"/>
        <v>0</v>
      </c>
      <c r="Y71" s="189">
        <f t="shared" si="38"/>
        <v>112.916725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227</v>
      </c>
      <c r="P72" s="225">
        <v>5</v>
      </c>
      <c r="Q72" s="225">
        <v>1001</v>
      </c>
      <c r="R72" s="221">
        <v>438.95</v>
      </c>
      <c r="S72" s="225"/>
      <c r="T72" s="225">
        <v>19</v>
      </c>
      <c r="U72" s="189">
        <f t="shared" si="34"/>
        <v>0.81896551724137945</v>
      </c>
      <c r="V72" s="189">
        <f t="shared" si="35"/>
        <v>3.292125</v>
      </c>
      <c r="W72" s="189">
        <f t="shared" si="36"/>
        <v>0</v>
      </c>
      <c r="X72" s="189">
        <f t="shared" si="37"/>
        <v>0.47500000000000003</v>
      </c>
      <c r="Y72" s="189">
        <f t="shared" si="38"/>
        <v>435.65787499999999</v>
      </c>
      <c r="Z72" s="189">
        <f t="shared" si="38"/>
        <v>0</v>
      </c>
      <c r="AA72" s="189">
        <f t="shared" si="39"/>
        <v>17.706034482758618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227</v>
      </c>
      <c r="P73" s="225">
        <v>178</v>
      </c>
      <c r="Q73" s="225">
        <v>2001</v>
      </c>
      <c r="R73" s="221">
        <v>822.03</v>
      </c>
      <c r="S73" s="225"/>
      <c r="T73" s="225"/>
      <c r="U73" s="189">
        <f t="shared" si="34"/>
        <v>0</v>
      </c>
      <c r="V73" s="189">
        <f t="shared" si="35"/>
        <v>6.1652249999999995</v>
      </c>
      <c r="W73" s="189">
        <f t="shared" si="36"/>
        <v>0</v>
      </c>
      <c r="X73" s="189">
        <f t="shared" si="37"/>
        <v>0</v>
      </c>
      <c r="Y73" s="189">
        <f t="shared" si="38"/>
        <v>815.86477500000001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60" t="s">
        <v>256</v>
      </c>
      <c r="P74" s="225"/>
      <c r="Q74" s="225"/>
      <c r="R74" s="221">
        <f>90+110+60+10+40+10</f>
        <v>320</v>
      </c>
      <c r="S74" s="225"/>
      <c r="T74" s="225"/>
      <c r="U74" s="189">
        <f t="shared" si="34"/>
        <v>0</v>
      </c>
      <c r="V74" s="189">
        <f t="shared" si="35"/>
        <v>2.4</v>
      </c>
      <c r="W74" s="189">
        <f t="shared" si="36"/>
        <v>0</v>
      </c>
      <c r="X74" s="189">
        <f t="shared" si="37"/>
        <v>0</v>
      </c>
      <c r="Y74" s="189">
        <f t="shared" si="38"/>
        <v>317.60000000000002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4260.03</v>
      </c>
      <c r="S75" s="192"/>
      <c r="T75" s="192">
        <f>SUM(T70:T74)</f>
        <v>51.14</v>
      </c>
      <c r="U75" s="192">
        <f>SUM(U70:U74)</f>
        <v>2.2043103448275865</v>
      </c>
      <c r="V75" s="192">
        <f t="shared" ref="V75:AA75" si="41">SUM(V70:V74)</f>
        <v>31.950224999999993</v>
      </c>
      <c r="W75" s="192">
        <f t="shared" si="41"/>
        <v>0</v>
      </c>
      <c r="X75" s="192">
        <f t="shared" si="41"/>
        <v>1.2785000000000002</v>
      </c>
      <c r="Y75" s="192">
        <f t="shared" si="41"/>
        <v>4228.0797750000002</v>
      </c>
      <c r="Z75" s="192">
        <f t="shared" si="41"/>
        <v>0</v>
      </c>
      <c r="AA75" s="193">
        <f t="shared" si="41"/>
        <v>47.657189655172417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15.12</v>
      </c>
      <c r="Q78" s="87">
        <v>73.77</v>
      </c>
      <c r="R78" s="82">
        <v>7.4999999999999997E-3</v>
      </c>
      <c r="S78" s="194">
        <f>+(P78+Q78)*R78</f>
        <v>0.66667500000000002</v>
      </c>
      <c r="T78" s="219">
        <f>+(P78+Q78)-S78</f>
        <v>88.223325000000003</v>
      </c>
      <c r="U78" s="211">
        <v>145.27000000000001</v>
      </c>
      <c r="V78" s="112"/>
      <c r="W78" s="113">
        <v>1.4999999999999999E-2</v>
      </c>
      <c r="X78" s="196">
        <f>+(U78+V78)*W78</f>
        <v>2.1790500000000002</v>
      </c>
      <c r="Y78" s="217">
        <f>+(U78+V78)-X78</f>
        <v>143.09095000000002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261.66000000000003</v>
      </c>
      <c r="Q79" s="137">
        <v>88.52</v>
      </c>
      <c r="R79" s="82">
        <v>7.4999999999999997E-3</v>
      </c>
      <c r="S79" s="194">
        <f t="shared" ref="S79:S97" si="43">+(P79+Q79)*R79</f>
        <v>2.62635</v>
      </c>
      <c r="T79" s="219">
        <f t="shared" ref="T79:T97" si="44">+(P79+Q79)-S79</f>
        <v>347.55365</v>
      </c>
      <c r="U79" s="211">
        <v>2.35</v>
      </c>
      <c r="V79" s="112"/>
      <c r="W79" s="113">
        <v>1.4999999999999999E-2</v>
      </c>
      <c r="X79" s="196">
        <f t="shared" ref="X79:X97" si="45">+(U79+V79)*W79</f>
        <v>3.5249999999999997E-2</v>
      </c>
      <c r="Y79" s="217">
        <f t="shared" ref="Y79:Y97" si="46">+(U79+V79)-X79</f>
        <v>2.3147500000000001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372.77</v>
      </c>
      <c r="Q80" s="137"/>
      <c r="R80" s="82">
        <v>7.4999999999999997E-3</v>
      </c>
      <c r="S80" s="194">
        <f t="shared" si="43"/>
        <v>2.7957749999999999</v>
      </c>
      <c r="T80" s="219">
        <f t="shared" si="44"/>
        <v>369.97422499999999</v>
      </c>
      <c r="U80" s="211">
        <v>21</v>
      </c>
      <c r="V80" s="112"/>
      <c r="W80" s="113">
        <v>1.4999999999999999E-2</v>
      </c>
      <c r="X80" s="196">
        <f t="shared" si="45"/>
        <v>0.315</v>
      </c>
      <c r="Y80" s="217">
        <f t="shared" si="46"/>
        <v>20.684999999999999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114.37</v>
      </c>
      <c r="Q81" s="87"/>
      <c r="R81" s="82">
        <v>7.4999999999999997E-3</v>
      </c>
      <c r="S81" s="194">
        <f t="shared" si="43"/>
        <v>0.85777499999999995</v>
      </c>
      <c r="T81" s="219">
        <f t="shared" si="44"/>
        <v>113.512225</v>
      </c>
      <c r="U81" s="211">
        <v>23.7</v>
      </c>
      <c r="V81" s="112"/>
      <c r="W81" s="113">
        <v>1.4999999999999999E-2</v>
      </c>
      <c r="X81" s="196">
        <f t="shared" si="45"/>
        <v>0.35549999999999998</v>
      </c>
      <c r="Y81" s="217">
        <f t="shared" si="46"/>
        <v>23.3445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242.65</v>
      </c>
      <c r="Q82" s="87"/>
      <c r="R82" s="82">
        <v>7.4999999999999997E-3</v>
      </c>
      <c r="S82" s="194">
        <f t="shared" si="43"/>
        <v>1.8198749999999999</v>
      </c>
      <c r="T82" s="219">
        <f t="shared" si="44"/>
        <v>240.83012500000001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97.21</v>
      </c>
      <c r="Q83" s="87">
        <v>39.520000000000003</v>
      </c>
      <c r="R83" s="82">
        <v>7.4999999999999997E-3</v>
      </c>
      <c r="S83" s="194">
        <f t="shared" si="43"/>
        <v>1.0254749999999999</v>
      </c>
      <c r="T83" s="219">
        <f t="shared" si="44"/>
        <v>135.70452499999999</v>
      </c>
      <c r="U83" s="112">
        <v>60.62</v>
      </c>
      <c r="V83" s="112"/>
      <c r="W83" s="113">
        <v>1.4999999999999999E-2</v>
      </c>
      <c r="X83" s="196">
        <f t="shared" si="45"/>
        <v>0.90929999999999989</v>
      </c>
      <c r="Y83" s="254">
        <f t="shared" si="46"/>
        <v>59.710699999999996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4.05</v>
      </c>
      <c r="Q84" s="87">
        <v>5.73</v>
      </c>
      <c r="R84" s="82">
        <v>7.4999999999999997E-3</v>
      </c>
      <c r="S84" s="194">
        <f t="shared" si="43"/>
        <v>7.3350000000000012E-2</v>
      </c>
      <c r="T84" s="219">
        <f t="shared" si="44"/>
        <v>9.7066500000000016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202</v>
      </c>
      <c r="Q85" s="87">
        <v>72.25</v>
      </c>
      <c r="R85" s="82">
        <v>7.4999999999999997E-3</v>
      </c>
      <c r="S85" s="194">
        <f t="shared" si="43"/>
        <v>2.0568749999999998</v>
      </c>
      <c r="T85" s="219">
        <f t="shared" si="44"/>
        <v>272.19312500000001</v>
      </c>
      <c r="U85" s="112">
        <v>1.64</v>
      </c>
      <c r="V85" s="112"/>
      <c r="W85" s="113">
        <v>1.4999999999999999E-2</v>
      </c>
      <c r="X85" s="196">
        <f t="shared" si="45"/>
        <v>2.4599999999999997E-2</v>
      </c>
      <c r="Y85" s="217">
        <f t="shared" si="46"/>
        <v>1.6153999999999999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28.56</v>
      </c>
      <c r="Q86" s="87"/>
      <c r="R86" s="82">
        <v>7.4999999999999997E-3</v>
      </c>
      <c r="S86" s="194">
        <f t="shared" si="43"/>
        <v>0.21419999999999997</v>
      </c>
      <c r="T86" s="219">
        <f t="shared" si="44"/>
        <v>28.345799999999997</v>
      </c>
      <c r="U86" s="211">
        <v>6.3</v>
      </c>
      <c r="V86" s="112"/>
      <c r="W86" s="113">
        <v>1.4999999999999999E-2</v>
      </c>
      <c r="X86" s="196">
        <f t="shared" si="45"/>
        <v>9.4500000000000001E-2</v>
      </c>
      <c r="Y86" s="254">
        <f t="shared" si="46"/>
        <v>6.2054999999999998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484.88</v>
      </c>
      <c r="Q87" s="87">
        <v>263.3</v>
      </c>
      <c r="R87" s="82">
        <v>7.4999999999999997E-3</v>
      </c>
      <c r="S87" s="194">
        <f t="shared" si="43"/>
        <v>5.6113499999999998</v>
      </c>
      <c r="T87" s="216">
        <f t="shared" si="44"/>
        <v>742.56865000000005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1823.27</v>
      </c>
      <c r="Q98" s="195">
        <f>SUM(Q78:Q97)</f>
        <v>543.08999999999992</v>
      </c>
      <c r="R98" s="111"/>
      <c r="S98" s="195">
        <f>SUM(S78:S97)</f>
        <v>17.747700000000002</v>
      </c>
      <c r="T98" s="195">
        <f>SUM(T78:T97)</f>
        <v>2348.6122999999998</v>
      </c>
      <c r="U98" s="114">
        <f>SUM(U78:U97)</f>
        <v>260.88</v>
      </c>
      <c r="V98" s="114">
        <f>SUM(V78:V97)</f>
        <v>0</v>
      </c>
      <c r="W98" s="112"/>
      <c r="X98" s="197">
        <f>SUM(X78:X97)</f>
        <v>3.9132000000000002</v>
      </c>
      <c r="Y98" s="197">
        <f>SUM(Y78:Y97)</f>
        <v>256.96680000000003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8">
        <f t="shared" ref="P101:P110" si="50">P78+Q78+U78</f>
        <v>234.16000000000003</v>
      </c>
      <c r="Q101" s="84"/>
    </row>
    <row r="102" spans="14:30" x14ac:dyDescent="0.25">
      <c r="N102" s="85"/>
      <c r="O102" s="84"/>
      <c r="P102" s="215">
        <f t="shared" si="50"/>
        <v>352.53000000000003</v>
      </c>
      <c r="Q102" s="84"/>
    </row>
    <row r="103" spans="14:30" x14ac:dyDescent="0.25">
      <c r="N103" s="85"/>
      <c r="O103" s="84"/>
      <c r="P103" s="215">
        <f t="shared" si="50"/>
        <v>393.77</v>
      </c>
      <c r="Q103" s="84"/>
      <c r="U103" s="259">
        <v>123.1</v>
      </c>
    </row>
    <row r="104" spans="14:30" x14ac:dyDescent="0.25">
      <c r="N104" s="85"/>
      <c r="O104" s="84"/>
      <c r="P104" s="215">
        <f>P81+Q81+U81</f>
        <v>138.07</v>
      </c>
      <c r="Q104" s="84"/>
      <c r="U104" s="85">
        <v>440.73</v>
      </c>
    </row>
    <row r="105" spans="14:30" x14ac:dyDescent="0.25">
      <c r="N105" s="85"/>
      <c r="O105" s="84"/>
      <c r="P105" s="246">
        <f t="shared" si="50"/>
        <v>242.65</v>
      </c>
      <c r="Q105" s="84"/>
      <c r="U105" s="85">
        <v>39.729999999999997</v>
      </c>
    </row>
    <row r="106" spans="14:30" x14ac:dyDescent="0.25">
      <c r="N106" s="85"/>
      <c r="O106" s="84"/>
      <c r="P106" s="246">
        <f t="shared" si="50"/>
        <v>197.35</v>
      </c>
      <c r="Q106" s="84"/>
    </row>
    <row r="107" spans="14:30" x14ac:dyDescent="0.25">
      <c r="N107" s="85"/>
      <c r="O107" s="84"/>
      <c r="P107" s="215">
        <f t="shared" si="50"/>
        <v>9.7800000000000011</v>
      </c>
      <c r="Q107" s="84"/>
    </row>
    <row r="108" spans="14:30" x14ac:dyDescent="0.25">
      <c r="N108" s="85"/>
      <c r="O108" s="84"/>
      <c r="P108" s="246">
        <f>P85+Q85+U85</f>
        <v>275.89</v>
      </c>
      <c r="Q108" s="84"/>
    </row>
    <row r="109" spans="14:30" x14ac:dyDescent="0.25">
      <c r="N109" s="85"/>
      <c r="O109" s="84"/>
      <c r="P109" s="218">
        <f>P86+Q86+U86</f>
        <v>34.86</v>
      </c>
      <c r="Q109" s="84"/>
    </row>
    <row r="110" spans="14:30" x14ac:dyDescent="0.25">
      <c r="N110" s="85"/>
      <c r="O110" s="84"/>
      <c r="P110" s="84">
        <f t="shared" si="50"/>
        <v>748.18000000000006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8" zoomScale="90" zoomScaleNormal="90" workbookViewId="0">
      <selection activeCell="T88" sqref="T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2079</v>
      </c>
      <c r="C12" s="15"/>
      <c r="D12" s="56"/>
      <c r="E12" s="16"/>
      <c r="F12" s="56"/>
      <c r="G12" s="56"/>
      <c r="H12" s="17"/>
      <c r="I12" s="83">
        <v>2079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192</v>
      </c>
      <c r="Q12" s="158">
        <v>11</v>
      </c>
      <c r="R12" s="159">
        <v>1876.77</v>
      </c>
      <c r="S12" s="160"/>
      <c r="T12" s="160"/>
      <c r="U12" s="189">
        <f>((T12/U$10)*U$9)</f>
        <v>0</v>
      </c>
      <c r="V12" s="189">
        <f>R12*V$10</f>
        <v>14.075775</v>
      </c>
      <c r="W12" s="189">
        <f>+S12*V$10</f>
        <v>0</v>
      </c>
      <c r="X12" s="189">
        <f>+T12*X$10</f>
        <v>0</v>
      </c>
      <c r="Y12" s="189">
        <f>R12-V12</f>
        <v>1862.694225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2477</v>
      </c>
      <c r="C13" s="15"/>
      <c r="D13" s="56"/>
      <c r="E13" s="16"/>
      <c r="F13" s="56"/>
      <c r="G13" s="56"/>
      <c r="H13" s="17"/>
      <c r="I13" s="83">
        <v>2477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193</v>
      </c>
      <c r="Q13" s="158">
        <v>11</v>
      </c>
      <c r="R13" s="159">
        <v>12.46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9.3450000000000005E-2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12.36655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14193.210000000001</v>
      </c>
      <c r="C14" s="15"/>
      <c r="D14" s="56"/>
      <c r="E14" s="16"/>
      <c r="F14" s="56"/>
      <c r="G14" s="56"/>
      <c r="H14" s="17"/>
      <c r="I14" s="83">
        <v>14193.21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575</v>
      </c>
      <c r="Q14" s="158">
        <v>2</v>
      </c>
      <c r="R14" s="159">
        <v>1120.29</v>
      </c>
      <c r="S14" s="160"/>
      <c r="T14" s="161"/>
      <c r="U14" s="189">
        <f t="shared" si="2"/>
        <v>0</v>
      </c>
      <c r="V14" s="189">
        <f t="shared" si="3"/>
        <v>8.4021749999999997</v>
      </c>
      <c r="W14" s="189">
        <f t="shared" si="4"/>
        <v>0</v>
      </c>
      <c r="X14" s="189">
        <f t="shared" si="5"/>
        <v>0</v>
      </c>
      <c r="Y14" s="189">
        <f t="shared" si="6"/>
        <v>1111.887825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576</v>
      </c>
      <c r="Q15" s="158">
        <v>2</v>
      </c>
      <c r="R15" s="159">
        <v>202.76</v>
      </c>
      <c r="S15" s="160"/>
      <c r="T15" s="161"/>
      <c r="U15" s="189">
        <f t="shared" si="2"/>
        <v>0</v>
      </c>
      <c r="V15" s="189">
        <f t="shared" si="3"/>
        <v>1.5206999999999999</v>
      </c>
      <c r="W15" s="189">
        <f t="shared" si="4"/>
        <v>0</v>
      </c>
      <c r="X15" s="189">
        <f t="shared" si="5"/>
        <v>0</v>
      </c>
      <c r="Y15" s="189">
        <f t="shared" si="6"/>
        <v>201.23929999999999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577</v>
      </c>
      <c r="Q16" s="158">
        <v>2</v>
      </c>
      <c r="R16" s="159">
        <v>48.18</v>
      </c>
      <c r="S16" s="160"/>
      <c r="T16" s="161"/>
      <c r="U16" s="189">
        <f t="shared" si="2"/>
        <v>0</v>
      </c>
      <c r="V16" s="189">
        <f t="shared" si="3"/>
        <v>0.36135</v>
      </c>
      <c r="W16" s="189">
        <f t="shared" si="4"/>
        <v>0</v>
      </c>
      <c r="X16" s="189">
        <f t="shared" si="5"/>
        <v>0</v>
      </c>
      <c r="Y16" s="189">
        <f t="shared" si="6"/>
        <v>47.818649999999998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556</v>
      </c>
      <c r="Q17" s="158">
        <v>4</v>
      </c>
      <c r="R17" s="159">
        <v>611.36</v>
      </c>
      <c r="S17" s="160"/>
      <c r="T17" s="161">
        <v>15.65</v>
      </c>
      <c r="U17" s="189">
        <f t="shared" si="2"/>
        <v>0.67456896551724155</v>
      </c>
      <c r="V17" s="189">
        <f t="shared" si="3"/>
        <v>4.5851999999999995</v>
      </c>
      <c r="W17" s="189">
        <f t="shared" si="4"/>
        <v>0</v>
      </c>
      <c r="X17" s="189">
        <f t="shared" si="5"/>
        <v>0.39125000000000004</v>
      </c>
      <c r="Y17" s="189">
        <f t="shared" si="6"/>
        <v>606.77480000000003</v>
      </c>
      <c r="Z17" s="189">
        <f t="shared" si="6"/>
        <v>0</v>
      </c>
      <c r="AA17" s="189">
        <f t="shared" si="7"/>
        <v>14.584181034482759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557</v>
      </c>
      <c r="Q18" s="158">
        <v>4</v>
      </c>
      <c r="R18" s="159">
        <v>1778.81</v>
      </c>
      <c r="S18" s="160"/>
      <c r="T18" s="161"/>
      <c r="U18" s="189">
        <f t="shared" si="2"/>
        <v>0</v>
      </c>
      <c r="V18" s="189">
        <f t="shared" si="3"/>
        <v>13.341074999999998</v>
      </c>
      <c r="W18" s="189">
        <f t="shared" si="4"/>
        <v>0</v>
      </c>
      <c r="X18" s="189">
        <f t="shared" si="5"/>
        <v>0</v>
      </c>
      <c r="Y18" s="189">
        <f t="shared" si="6"/>
        <v>1765.4689249999999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2477</v>
      </c>
      <c r="C19" s="95"/>
      <c r="D19" s="94"/>
      <c r="E19" s="96"/>
      <c r="F19" s="94"/>
      <c r="G19" s="94"/>
      <c r="H19" s="98"/>
      <c r="I19" s="99">
        <v>2477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553</v>
      </c>
      <c r="Q19" s="158">
        <v>14</v>
      </c>
      <c r="R19" s="159">
        <v>642.98</v>
      </c>
      <c r="S19" s="160"/>
      <c r="T19" s="161"/>
      <c r="U19" s="189">
        <f t="shared" si="2"/>
        <v>0</v>
      </c>
      <c r="V19" s="189">
        <f t="shared" si="3"/>
        <v>4.8223500000000001</v>
      </c>
      <c r="W19" s="189">
        <f t="shared" si="4"/>
        <v>0</v>
      </c>
      <c r="X19" s="189">
        <f t="shared" si="5"/>
        <v>0</v>
      </c>
      <c r="Y19" s="189">
        <f t="shared" si="6"/>
        <v>638.15764999999999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14193.210000000001</v>
      </c>
      <c r="C20" s="95"/>
      <c r="D20" s="94"/>
      <c r="E20" s="96"/>
      <c r="F20" s="94"/>
      <c r="G20" s="94"/>
      <c r="H20" s="98"/>
      <c r="I20" s="99">
        <v>14193.21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554</v>
      </c>
      <c r="Q20" s="158">
        <v>14</v>
      </c>
      <c r="R20" s="159">
        <v>48.83</v>
      </c>
      <c r="S20" s="160"/>
      <c r="T20" s="161"/>
      <c r="U20" s="189">
        <f t="shared" si="2"/>
        <v>0</v>
      </c>
      <c r="V20" s="189">
        <f t="shared" si="3"/>
        <v>0.36622499999999997</v>
      </c>
      <c r="W20" s="189">
        <f t="shared" si="4"/>
        <v>0</v>
      </c>
      <c r="X20" s="189">
        <f t="shared" si="5"/>
        <v>0</v>
      </c>
      <c r="Y20" s="189">
        <f t="shared" si="6"/>
        <v>48.463774999999998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641</v>
      </c>
      <c r="Q21" s="158">
        <v>18</v>
      </c>
      <c r="R21" s="159">
        <v>615.88</v>
      </c>
      <c r="S21" s="160"/>
      <c r="T21" s="161"/>
      <c r="U21" s="189">
        <f t="shared" si="2"/>
        <v>0</v>
      </c>
      <c r="V21" s="189">
        <f t="shared" si="3"/>
        <v>4.6190999999999995</v>
      </c>
      <c r="W21" s="189">
        <f t="shared" si="4"/>
        <v>0</v>
      </c>
      <c r="X21" s="189">
        <f t="shared" si="5"/>
        <v>0</v>
      </c>
      <c r="Y21" s="189">
        <f t="shared" si="6"/>
        <v>611.26089999999999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642</v>
      </c>
      <c r="Q22" s="158">
        <v>18</v>
      </c>
      <c r="R22" s="162">
        <v>1095.8699999999999</v>
      </c>
      <c r="S22" s="160"/>
      <c r="T22" s="160">
        <v>96.84</v>
      </c>
      <c r="U22" s="189">
        <f t="shared" si="2"/>
        <v>4.1741379310344833</v>
      </c>
      <c r="V22" s="189">
        <f t="shared" si="3"/>
        <v>8.2190249999999985</v>
      </c>
      <c r="W22" s="189">
        <f t="shared" si="4"/>
        <v>0</v>
      </c>
      <c r="X22" s="189">
        <f t="shared" si="5"/>
        <v>2.4210000000000003</v>
      </c>
      <c r="Y22" s="189">
        <f t="shared" si="6"/>
        <v>1087.6509749999998</v>
      </c>
      <c r="Z22" s="189">
        <f t="shared" si="6"/>
        <v>0</v>
      </c>
      <c r="AA22" s="189">
        <f t="shared" si="7"/>
        <v>90.244862068965517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75.72</v>
      </c>
      <c r="C29" s="100"/>
      <c r="D29" s="66"/>
      <c r="E29" s="67"/>
      <c r="F29" s="66"/>
      <c r="G29" s="66"/>
      <c r="H29" s="102"/>
      <c r="I29" s="79">
        <v>75.72</v>
      </c>
      <c r="J29" s="81">
        <f t="shared" si="0"/>
        <v>0</v>
      </c>
      <c r="K29" s="80">
        <f>32.88+12.84+30</f>
        <v>75.72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433.87560000000002</v>
      </c>
      <c r="C30" s="100"/>
      <c r="D30" s="66"/>
      <c r="E30" s="67"/>
      <c r="F30" s="66"/>
      <c r="G30" s="66"/>
      <c r="H30" s="102"/>
      <c r="I30" s="79">
        <v>433.88</v>
      </c>
      <c r="J30" s="81">
        <f t="shared" si="0"/>
        <v>-4.3999999999755346E-3</v>
      </c>
      <c r="K30" s="80">
        <v>433.88</v>
      </c>
      <c r="L30" s="186">
        <f>K30-B30</f>
        <v>4.3999999999755346E-3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75.72</v>
      </c>
      <c r="C35" s="95"/>
      <c r="D35" s="94"/>
      <c r="E35" s="96"/>
      <c r="F35" s="94"/>
      <c r="G35" s="94"/>
      <c r="H35" s="98"/>
      <c r="I35" s="248">
        <v>75.72</v>
      </c>
      <c r="J35" s="185">
        <f t="shared" si="0"/>
        <v>0</v>
      </c>
      <c r="K35" s="99">
        <v>75.72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433.87560000000002</v>
      </c>
      <c r="C36" s="95"/>
      <c r="D36" s="94"/>
      <c r="E36" s="96"/>
      <c r="F36" s="94"/>
      <c r="G36" s="94"/>
      <c r="H36" s="98"/>
      <c r="I36" s="99">
        <v>433.88</v>
      </c>
      <c r="J36" s="185">
        <f t="shared" si="0"/>
        <v>-4.3999999999755346E-3</v>
      </c>
      <c r="K36" s="99">
        <v>433.88</v>
      </c>
      <c r="L36" s="187">
        <f>K36-B36</f>
        <v>4.3999999999755346E-3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61.67</v>
      </c>
      <c r="C37" s="100"/>
      <c r="D37" s="66"/>
      <c r="E37" s="67"/>
      <c r="F37" s="66"/>
      <c r="G37" s="66"/>
      <c r="H37" s="102"/>
      <c r="I37" s="249">
        <v>61.67</v>
      </c>
      <c r="J37" s="81">
        <f t="shared" si="0"/>
        <v>0</v>
      </c>
      <c r="K37" s="80">
        <f>15.87+10.55+9.63+15.62+10</f>
        <v>61.67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353.36910000000006</v>
      </c>
      <c r="C38" s="100"/>
      <c r="D38" s="66"/>
      <c r="E38" s="67"/>
      <c r="F38" s="66"/>
      <c r="G38" s="66"/>
      <c r="H38" s="102"/>
      <c r="I38" s="79">
        <v>353.37</v>
      </c>
      <c r="J38" s="81">
        <f t="shared" si="0"/>
        <v>-8.9999999994461177E-4</v>
      </c>
      <c r="K38" s="80">
        <v>353.37</v>
      </c>
      <c r="L38" s="186">
        <f>K38-B38</f>
        <v>8.9999999994461177E-4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8054.1899999999987</v>
      </c>
      <c r="S42" s="190">
        <f t="shared" si="8"/>
        <v>0</v>
      </c>
      <c r="T42" s="190">
        <f t="shared" si="8"/>
        <v>112.49000000000001</v>
      </c>
      <c r="U42" s="190">
        <f t="shared" si="8"/>
        <v>4.8487068965517253</v>
      </c>
      <c r="V42" s="190">
        <f t="shared" si="8"/>
        <v>60.406424999999999</v>
      </c>
      <c r="W42" s="190">
        <f t="shared" si="8"/>
        <v>0</v>
      </c>
      <c r="X42" s="190">
        <f t="shared" si="8"/>
        <v>2.8122500000000001</v>
      </c>
      <c r="Y42" s="190">
        <f t="shared" si="8"/>
        <v>7993.7835750000004</v>
      </c>
      <c r="Z42" s="190">
        <f t="shared" si="8"/>
        <v>0</v>
      </c>
      <c r="AA42" s="190">
        <f t="shared" si="8"/>
        <v>104.82904310344827</v>
      </c>
      <c r="AB42" s="166"/>
    </row>
    <row r="43" spans="1:28" ht="15.75" x14ac:dyDescent="0.25">
      <c r="A43" s="93" t="s">
        <v>101</v>
      </c>
      <c r="B43" s="97">
        <f>+B37+B39+B41</f>
        <v>61.67</v>
      </c>
      <c r="C43" s="95"/>
      <c r="D43" s="94"/>
      <c r="E43" s="96"/>
      <c r="F43" s="94"/>
      <c r="G43" s="94"/>
      <c r="H43" s="98"/>
      <c r="I43" s="99">
        <v>61.67</v>
      </c>
      <c r="J43" s="185">
        <f t="shared" si="0"/>
        <v>0</v>
      </c>
      <c r="K43" s="99">
        <v>61.67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685.88</v>
      </c>
      <c r="S43" s="160"/>
      <c r="T43" s="155"/>
      <c r="U43" s="189">
        <f t="shared" ref="U43:U62" si="9">((T43/U$10)*U$9)</f>
        <v>0</v>
      </c>
      <c r="V43" s="189">
        <f t="shared" ref="V43:V62" si="10">R43*V$10</f>
        <v>5.1440999999999999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680.73590000000002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353.36910000000006</v>
      </c>
      <c r="C44" s="95"/>
      <c r="D44" s="94"/>
      <c r="E44" s="96"/>
      <c r="F44" s="94"/>
      <c r="G44" s="94"/>
      <c r="H44" s="98"/>
      <c r="I44" s="99">
        <v>353.37</v>
      </c>
      <c r="J44" s="185">
        <f t="shared" si="0"/>
        <v>-8.9999999994461177E-4</v>
      </c>
      <c r="K44" s="99">
        <v>353.37</v>
      </c>
      <c r="L44" s="187">
        <f>K44-B44</f>
        <v>8.9999999994461177E-4</v>
      </c>
      <c r="M44" s="107"/>
      <c r="N44" s="104">
        <v>2</v>
      </c>
      <c r="O44" s="167" t="s">
        <v>69</v>
      </c>
      <c r="P44" s="158"/>
      <c r="Q44" s="158"/>
      <c r="R44" s="160">
        <v>53.26</v>
      </c>
      <c r="S44" s="160"/>
      <c r="T44" s="155">
        <v>1.89</v>
      </c>
      <c r="U44" s="189">
        <f t="shared" si="9"/>
        <v>8.146551724137932E-2</v>
      </c>
      <c r="V44" s="189">
        <f t="shared" si="10"/>
        <v>0.39944999999999997</v>
      </c>
      <c r="W44" s="189">
        <f t="shared" si="11"/>
        <v>0</v>
      </c>
      <c r="X44" s="189">
        <f t="shared" si="12"/>
        <v>4.725E-2</v>
      </c>
      <c r="Y44" s="189">
        <f t="shared" si="13"/>
        <v>52.860549999999996</v>
      </c>
      <c r="Z44" s="189">
        <f t="shared" si="13"/>
        <v>0</v>
      </c>
      <c r="AA44" s="189">
        <f t="shared" si="14"/>
        <v>1.7612844827586205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8054.1899999999987</v>
      </c>
      <c r="C46" s="116">
        <v>7.4999999999999997E-3</v>
      </c>
      <c r="D46" s="117">
        <f>B46*C46</f>
        <v>60.406424999999984</v>
      </c>
      <c r="E46" s="172">
        <v>0</v>
      </c>
      <c r="F46" s="117">
        <f t="shared" ref="F46:F50" si="15">D46*E46</f>
        <v>0</v>
      </c>
      <c r="G46" s="117">
        <f t="shared" ref="G46:G51" si="16">B46-D46-F46</f>
        <v>7993.7835749999986</v>
      </c>
      <c r="H46" s="173">
        <f>B$6+1</f>
        <v>44767</v>
      </c>
      <c r="I46" s="174">
        <v>8054.19</v>
      </c>
      <c r="J46" s="81">
        <f t="shared" si="0"/>
        <v>0</v>
      </c>
      <c r="K46" s="80"/>
      <c r="L46" s="186">
        <f t="shared" ref="L46:L64" si="17">+G46-K46</f>
        <v>7993.7835749999986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739.14</v>
      </c>
      <c r="C47" s="116">
        <v>7.4999999999999997E-3</v>
      </c>
      <c r="D47" s="117">
        <f t="shared" ref="D47:D50" si="18">B47*C47</f>
        <v>5.5435499999999998</v>
      </c>
      <c r="E47" s="172">
        <v>0</v>
      </c>
      <c r="F47" s="117">
        <f t="shared" si="15"/>
        <v>0</v>
      </c>
      <c r="G47" s="117">
        <f t="shared" si="16"/>
        <v>733.59645</v>
      </c>
      <c r="H47" s="173">
        <f>B$6+1</f>
        <v>44767</v>
      </c>
      <c r="I47" s="175">
        <v>739.14</v>
      </c>
      <c r="J47" s="81">
        <f t="shared" si="0"/>
        <v>0</v>
      </c>
      <c r="K47" s="80"/>
      <c r="L47" s="186">
        <f t="shared" si="17"/>
        <v>733.59645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173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211</v>
      </c>
      <c r="B49" s="117">
        <f>R75</f>
        <v>5306.01</v>
      </c>
      <c r="C49" s="116">
        <v>7.4999999999999997E-3</v>
      </c>
      <c r="D49" s="117">
        <f t="shared" si="18"/>
        <v>39.795074999999997</v>
      </c>
      <c r="E49" s="172">
        <v>0</v>
      </c>
      <c r="F49" s="117">
        <f t="shared" si="15"/>
        <v>0</v>
      </c>
      <c r="G49" s="117">
        <f t="shared" si="16"/>
        <v>5266.2149250000002</v>
      </c>
      <c r="H49" s="173">
        <f t="shared" si="19"/>
        <v>44767</v>
      </c>
      <c r="I49" s="176">
        <v>4991.01</v>
      </c>
      <c r="J49" s="81">
        <f t="shared" si="0"/>
        <v>315</v>
      </c>
      <c r="K49" s="80"/>
      <c r="L49" s="186">
        <f t="shared" si="17"/>
        <v>5266.2149250000002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1640.31</v>
      </c>
      <c r="C50" s="116">
        <v>7.4999999999999997E-3</v>
      </c>
      <c r="D50" s="117">
        <f t="shared" si="18"/>
        <v>12.302325</v>
      </c>
      <c r="E50" s="172">
        <v>0</v>
      </c>
      <c r="F50" s="117">
        <f t="shared" si="15"/>
        <v>0</v>
      </c>
      <c r="G50" s="117">
        <f t="shared" si="16"/>
        <v>1628.0076749999998</v>
      </c>
      <c r="H50" s="173">
        <f t="shared" si="19"/>
        <v>44767</v>
      </c>
      <c r="I50" s="175"/>
      <c r="J50" s="81">
        <f t="shared" si="0"/>
        <v>1640.31</v>
      </c>
      <c r="K50" s="80"/>
      <c r="L50" s="186">
        <f t="shared" si="17"/>
        <v>1628.0076749999998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147.1</v>
      </c>
      <c r="C51" s="116">
        <v>1.4999999999999999E-2</v>
      </c>
      <c r="D51" s="117">
        <f>+B51*C51</f>
        <v>2.2064999999999997</v>
      </c>
      <c r="E51" s="172">
        <v>0</v>
      </c>
      <c r="F51" s="117">
        <f>D51*E51</f>
        <v>0</v>
      </c>
      <c r="G51" s="117">
        <f t="shared" si="16"/>
        <v>144.89349999999999</v>
      </c>
      <c r="H51" s="173">
        <f t="shared" si="19"/>
        <v>44767</v>
      </c>
      <c r="I51" s="175">
        <v>1787.34</v>
      </c>
      <c r="J51" s="81">
        <f t="shared" si="0"/>
        <v>-1640.24</v>
      </c>
      <c r="K51" s="80"/>
      <c r="L51" s="186">
        <f t="shared" si="17"/>
        <v>144.89349999999999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112.49000000000001</v>
      </c>
      <c r="C52" s="116">
        <v>2.5000000000000001E-2</v>
      </c>
      <c r="D52" s="117">
        <f>B52*C52</f>
        <v>2.8122500000000006</v>
      </c>
      <c r="E52" s="172">
        <v>0.05</v>
      </c>
      <c r="F52" s="117">
        <f>(B52/E$10)*E52</f>
        <v>4.8487068965517253</v>
      </c>
      <c r="G52" s="117">
        <f>B52-D52-F52</f>
        <v>104.82904310344827</v>
      </c>
      <c r="H52" s="188">
        <f t="shared" si="19"/>
        <v>44767</v>
      </c>
      <c r="I52" s="176">
        <v>112.49</v>
      </c>
      <c r="J52" s="81">
        <f t="shared" si="0"/>
        <v>0</v>
      </c>
      <c r="K52" s="80"/>
      <c r="L52" s="186">
        <f>K52-G52</f>
        <v>-104.82904310344827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1.89</v>
      </c>
      <c r="C53" s="116">
        <v>2.5000000000000001E-2</v>
      </c>
      <c r="D53" s="117">
        <f t="shared" ref="D53:D56" si="20">B53*C53</f>
        <v>4.725E-2</v>
      </c>
      <c r="E53" s="172">
        <v>0.05</v>
      </c>
      <c r="F53" s="117">
        <f t="shared" ref="F53:F56" si="21">(B53/E$10)*E53</f>
        <v>8.146551724137932E-2</v>
      </c>
      <c r="G53" s="117">
        <f t="shared" ref="G53:G58" si="22">B53-D53-F53</f>
        <v>1.7612844827586205</v>
      </c>
      <c r="H53" s="188">
        <f t="shared" si="19"/>
        <v>44767</v>
      </c>
      <c r="I53" s="176">
        <v>1.89</v>
      </c>
      <c r="J53" s="81">
        <f t="shared" si="0"/>
        <v>0</v>
      </c>
      <c r="K53" s="80"/>
      <c r="L53" s="186">
        <f t="shared" si="17"/>
        <v>1.7612844827586205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236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236</v>
      </c>
      <c r="B56" s="117">
        <f>T75</f>
        <v>224.4</v>
      </c>
      <c r="C56" s="116">
        <v>2.5000000000000001E-2</v>
      </c>
      <c r="D56" s="117">
        <f t="shared" si="20"/>
        <v>5.61</v>
      </c>
      <c r="E56" s="172">
        <v>0.05</v>
      </c>
      <c r="F56" s="117">
        <f t="shared" si="21"/>
        <v>9.6724137931034502</v>
      </c>
      <c r="G56" s="117">
        <f t="shared" si="22"/>
        <v>209.11758620689653</v>
      </c>
      <c r="H56" s="173">
        <f t="shared" si="19"/>
        <v>44767</v>
      </c>
      <c r="I56" s="176">
        <v>224.4</v>
      </c>
      <c r="J56" s="81">
        <f t="shared" si="0"/>
        <v>0</v>
      </c>
      <c r="K56" s="80"/>
      <c r="L56" s="186">
        <f t="shared" si="17"/>
        <v>209.11758620689653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128.723375</v>
      </c>
      <c r="E61" s="177"/>
      <c r="F61" s="57">
        <f>SUM(F46:F58)</f>
        <v>14.602586206896554</v>
      </c>
      <c r="G61" s="57">
        <f>SUM(G46:G58)</f>
        <v>16082.204038793101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16082.204038793101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315</v>
      </c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315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739.14</v>
      </c>
      <c r="S63" s="191">
        <f>SUM(S43:S62)</f>
        <v>0</v>
      </c>
      <c r="T63" s="191">
        <f>SUM(T43:T62)</f>
        <v>1.89</v>
      </c>
      <c r="U63" s="191">
        <f t="shared" ref="U63:X63" si="25">SUM(U43:U62)</f>
        <v>8.146551724137932E-2</v>
      </c>
      <c r="V63" s="191">
        <f t="shared" si="25"/>
        <v>5.5435499999999998</v>
      </c>
      <c r="W63" s="191">
        <f t="shared" si="25"/>
        <v>0</v>
      </c>
      <c r="X63" s="191">
        <f t="shared" si="25"/>
        <v>4.725E-2</v>
      </c>
      <c r="Y63" s="191">
        <f>SUM(Y43:Y62)</f>
        <v>733.59645</v>
      </c>
      <c r="Z63" s="191">
        <f t="shared" ref="Z63:AA63" si="26">SUM(Z43:Z62)</f>
        <v>0</v>
      </c>
      <c r="AA63" s="191">
        <f t="shared" si="26"/>
        <v>1.7612844827586205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32164.408077586202</v>
      </c>
      <c r="H64" s="184"/>
      <c r="I64" s="175"/>
      <c r="J64" s="81">
        <f t="shared" si="0"/>
        <v>0</v>
      </c>
      <c r="K64" s="80"/>
      <c r="L64" s="186">
        <f t="shared" si="17"/>
        <v>32164.408077586202</v>
      </c>
      <c r="M64" s="130"/>
      <c r="N64" s="87">
        <v>1</v>
      </c>
      <c r="O64" s="122" t="s">
        <v>191</v>
      </c>
      <c r="P64" s="225"/>
      <c r="Q64" s="225"/>
      <c r="R64" s="221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32969.984699999994</v>
      </c>
      <c r="G65" s="22"/>
      <c r="L65" s="132"/>
      <c r="M65" s="131"/>
      <c r="N65" s="87">
        <v>2</v>
      </c>
      <c r="O65" s="122" t="s">
        <v>191</v>
      </c>
      <c r="P65" s="225"/>
      <c r="Q65" s="225"/>
      <c r="R65" s="221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191</v>
      </c>
      <c r="P66" s="225"/>
      <c r="Q66" s="225"/>
      <c r="R66" s="221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169</v>
      </c>
      <c r="P68" s="87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32765.88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171</v>
      </c>
      <c r="O69" s="312"/>
      <c r="P69" s="313"/>
      <c r="Q69" s="31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-32765.88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 t="s">
        <v>265</v>
      </c>
      <c r="Q70" s="225">
        <v>1001</v>
      </c>
      <c r="R70" s="221">
        <v>1538.2</v>
      </c>
      <c r="S70" s="225"/>
      <c r="T70" s="225">
        <v>145.56</v>
      </c>
      <c r="U70" s="189">
        <f t="shared" ref="U70:U74" si="34">((T70/U$10)*U$9)</f>
        <v>6.2741379310344838</v>
      </c>
      <c r="V70" s="189">
        <f t="shared" ref="V70:V74" si="35">R70*V$10</f>
        <v>11.5365</v>
      </c>
      <c r="W70" s="189">
        <f t="shared" ref="W70:W74" si="36">+S70*V$10</f>
        <v>0</v>
      </c>
      <c r="X70" s="189">
        <f t="shared" ref="X70:X74" si="37">+T70*X$10</f>
        <v>3.6390000000000002</v>
      </c>
      <c r="Y70" s="189">
        <f t="shared" ref="Y70:Z74" si="38">R70-V70</f>
        <v>1526.6635000000001</v>
      </c>
      <c r="Z70" s="189">
        <f t="shared" si="38"/>
        <v>0</v>
      </c>
      <c r="AA70" s="189">
        <f t="shared" ref="AA70:AA74" si="39">T70-U70-X70</f>
        <v>135.6468620689655</v>
      </c>
      <c r="AB70" s="87"/>
    </row>
    <row r="71" spans="1:30" ht="28.5" customHeight="1" thickBot="1" x14ac:dyDescent="0.3">
      <c r="A71" s="25" t="s">
        <v>56</v>
      </c>
      <c r="B71" s="70">
        <f>(B65-B69)-B72</f>
        <v>204.10469999999259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208</v>
      </c>
      <c r="P71" s="225">
        <v>25</v>
      </c>
      <c r="Q71" s="225">
        <v>2001</v>
      </c>
      <c r="R71" s="221">
        <v>944.7</v>
      </c>
      <c r="S71" s="225"/>
      <c r="T71" s="225"/>
      <c r="U71" s="189">
        <f t="shared" si="34"/>
        <v>0</v>
      </c>
      <c r="V71" s="189">
        <f t="shared" si="35"/>
        <v>7.0852500000000003</v>
      </c>
      <c r="W71" s="189">
        <f t="shared" si="36"/>
        <v>0</v>
      </c>
      <c r="X71" s="189">
        <f t="shared" si="37"/>
        <v>0</v>
      </c>
      <c r="Y71" s="189">
        <f t="shared" si="38"/>
        <v>937.61475000000007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>
        <v>180</v>
      </c>
      <c r="Q72" s="225">
        <v>2001</v>
      </c>
      <c r="R72" s="221">
        <v>947.75</v>
      </c>
      <c r="S72" s="225"/>
      <c r="T72" s="225"/>
      <c r="U72" s="189">
        <f t="shared" si="34"/>
        <v>0</v>
      </c>
      <c r="V72" s="189">
        <f t="shared" si="35"/>
        <v>7.1081249999999994</v>
      </c>
      <c r="W72" s="189">
        <f t="shared" si="36"/>
        <v>0</v>
      </c>
      <c r="X72" s="189">
        <f t="shared" si="37"/>
        <v>0</v>
      </c>
      <c r="Y72" s="189">
        <f t="shared" si="38"/>
        <v>940.64187500000003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 t="s">
        <v>266</v>
      </c>
      <c r="Q73" s="225">
        <v>1001</v>
      </c>
      <c r="R73" s="221">
        <v>1560.36</v>
      </c>
      <c r="S73" s="225"/>
      <c r="T73" s="225">
        <v>78.84</v>
      </c>
      <c r="U73" s="189">
        <f t="shared" si="34"/>
        <v>3.3982758620689659</v>
      </c>
      <c r="V73" s="189">
        <f t="shared" si="35"/>
        <v>11.702699999999998</v>
      </c>
      <c r="W73" s="189">
        <f t="shared" si="36"/>
        <v>0</v>
      </c>
      <c r="X73" s="189">
        <f t="shared" si="37"/>
        <v>1.9710000000000001</v>
      </c>
      <c r="Y73" s="189">
        <f t="shared" si="38"/>
        <v>1548.6572999999999</v>
      </c>
      <c r="Z73" s="189">
        <f t="shared" si="38"/>
        <v>0</v>
      </c>
      <c r="AA73" s="189">
        <f t="shared" si="39"/>
        <v>73.470724137931029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40+80+35+60+30+10+60</f>
        <v>315</v>
      </c>
      <c r="S74" s="225"/>
      <c r="T74" s="225"/>
      <c r="U74" s="189">
        <f t="shared" si="34"/>
        <v>0</v>
      </c>
      <c r="V74" s="189">
        <f t="shared" si="35"/>
        <v>2.3624999999999998</v>
      </c>
      <c r="W74" s="189">
        <f t="shared" si="36"/>
        <v>0</v>
      </c>
      <c r="X74" s="189">
        <f t="shared" si="37"/>
        <v>0</v>
      </c>
      <c r="Y74" s="189">
        <f t="shared" si="38"/>
        <v>312.63749999999999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172</v>
      </c>
      <c r="O75" s="312"/>
      <c r="P75" s="313"/>
      <c r="Q75" s="313"/>
      <c r="R75" s="192">
        <f>SUM(R70:R74)</f>
        <v>5306.01</v>
      </c>
      <c r="S75" s="192"/>
      <c r="T75" s="192">
        <f>SUM(T70:T74)</f>
        <v>224.4</v>
      </c>
      <c r="U75" s="192">
        <f>SUM(U70:U74)</f>
        <v>9.6724137931034502</v>
      </c>
      <c r="V75" s="192">
        <f t="shared" ref="V75:AA75" si="41">SUM(V70:V74)</f>
        <v>39.795074999999997</v>
      </c>
      <c r="W75" s="192">
        <f t="shared" si="41"/>
        <v>0</v>
      </c>
      <c r="X75" s="192">
        <f t="shared" si="41"/>
        <v>5.61</v>
      </c>
      <c r="Y75" s="192">
        <f t="shared" si="41"/>
        <v>5266.2149250000002</v>
      </c>
      <c r="Z75" s="192">
        <f t="shared" si="41"/>
        <v>0</v>
      </c>
      <c r="AA75" s="193">
        <f t="shared" si="41"/>
        <v>209.11758620689653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182.76</v>
      </c>
      <c r="Q78" s="87">
        <v>2.0299999999999998</v>
      </c>
      <c r="R78" s="82">
        <v>7.4999999999999997E-3</v>
      </c>
      <c r="S78" s="194">
        <f>+(P78+Q78)*R78</f>
        <v>1.3859249999999999</v>
      </c>
      <c r="T78" s="254">
        <f>+(P78+Q78)-S78</f>
        <v>183.40407500000001</v>
      </c>
      <c r="U78" s="211">
        <v>15.56</v>
      </c>
      <c r="V78" s="112"/>
      <c r="W78" s="113">
        <v>1.4999999999999999E-2</v>
      </c>
      <c r="X78" s="196">
        <f>+(U78+V78)*W78</f>
        <v>0.2334</v>
      </c>
      <c r="Y78" s="254">
        <f>+(U78+V78)-X78</f>
        <v>15.326600000000001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>
        <v>10.19</v>
      </c>
      <c r="R79" s="82">
        <v>7.4999999999999997E-3</v>
      </c>
      <c r="S79" s="194">
        <f t="shared" ref="S79:S97" si="43">+(P79+Q79)*R79</f>
        <v>7.6424999999999993E-2</v>
      </c>
      <c r="T79" s="254">
        <f t="shared" ref="T79:T97" si="44">+(P79+Q79)-S79</f>
        <v>10.113574999999999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7.7</v>
      </c>
      <c r="Q80" s="87"/>
      <c r="R80" s="82">
        <v>7.4999999999999997E-3</v>
      </c>
      <c r="S80" s="194">
        <f t="shared" si="43"/>
        <v>5.7749999999999996E-2</v>
      </c>
      <c r="T80" s="219">
        <f t="shared" si="44"/>
        <v>7.6422499999999998</v>
      </c>
      <c r="U80" s="211">
        <v>29.63</v>
      </c>
      <c r="V80" s="112"/>
      <c r="W80" s="113">
        <v>1.4999999999999999E-2</v>
      </c>
      <c r="X80" s="196">
        <f t="shared" si="45"/>
        <v>0.44444999999999996</v>
      </c>
      <c r="Y80" s="254">
        <f t="shared" si="46"/>
        <v>29.185549999999999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>
        <v>127.39</v>
      </c>
      <c r="R81" s="82">
        <v>7.4999999999999997E-3</v>
      </c>
      <c r="S81" s="194">
        <f t="shared" si="43"/>
        <v>0.95542499999999997</v>
      </c>
      <c r="T81" s="219">
        <f t="shared" si="44"/>
        <v>126.434575</v>
      </c>
      <c r="U81" s="211"/>
      <c r="V81" s="112"/>
      <c r="W81" s="113">
        <v>1.4999999999999999E-2</v>
      </c>
      <c r="X81" s="196">
        <f t="shared" si="45"/>
        <v>0</v>
      </c>
      <c r="Y81" s="25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48.2</v>
      </c>
      <c r="Q82" s="87">
        <v>43.05</v>
      </c>
      <c r="R82" s="82">
        <v>7.4999999999999997E-3</v>
      </c>
      <c r="S82" s="194">
        <f t="shared" si="43"/>
        <v>0.68437499999999996</v>
      </c>
      <c r="T82" s="219">
        <f t="shared" si="44"/>
        <v>90.565624999999997</v>
      </c>
      <c r="U82" s="112">
        <v>3.46</v>
      </c>
      <c r="V82" s="112"/>
      <c r="W82" s="113">
        <v>1.4999999999999999E-2</v>
      </c>
      <c r="X82" s="196">
        <f t="shared" si="45"/>
        <v>5.1899999999999995E-2</v>
      </c>
      <c r="Y82" s="254">
        <f t="shared" si="46"/>
        <v>3.4081000000000001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111.88</v>
      </c>
      <c r="Q83" s="87"/>
      <c r="R83" s="82">
        <v>7.4999999999999997E-3</v>
      </c>
      <c r="S83" s="194">
        <f t="shared" si="43"/>
        <v>0.83909999999999996</v>
      </c>
      <c r="T83" s="254">
        <f t="shared" si="44"/>
        <v>111.04089999999999</v>
      </c>
      <c r="U83" s="112">
        <v>1</v>
      </c>
      <c r="V83" s="112"/>
      <c r="W83" s="113">
        <v>1.4999999999999999E-2</v>
      </c>
      <c r="X83" s="196">
        <f t="shared" si="45"/>
        <v>1.4999999999999999E-2</v>
      </c>
      <c r="Y83" s="254">
        <f t="shared" si="46"/>
        <v>0.98499999999999999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55.19</v>
      </c>
      <c r="Q84" s="87">
        <v>196.73</v>
      </c>
      <c r="R84" s="82">
        <v>7.4999999999999997E-3</v>
      </c>
      <c r="S84" s="194">
        <f t="shared" si="43"/>
        <v>1.8893999999999997</v>
      </c>
      <c r="T84" s="254">
        <f t="shared" si="44"/>
        <v>250.03059999999999</v>
      </c>
      <c r="U84" s="112">
        <v>54.49</v>
      </c>
      <c r="V84" s="112"/>
      <c r="W84" s="113">
        <v>1.4999999999999999E-2</v>
      </c>
      <c r="X84" s="196">
        <f t="shared" si="45"/>
        <v>0.81735000000000002</v>
      </c>
      <c r="Y84" s="254">
        <f t="shared" si="46"/>
        <v>53.672650000000004</v>
      </c>
      <c r="Z84" s="87"/>
      <c r="AA84" s="189" t="s">
        <v>164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54.81</v>
      </c>
      <c r="Q85" s="87"/>
      <c r="R85" s="82">
        <v>7.4999999999999997E-3</v>
      </c>
      <c r="S85" s="194">
        <f t="shared" si="43"/>
        <v>0.41107500000000002</v>
      </c>
      <c r="T85" s="219">
        <f t="shared" si="44"/>
        <v>54.398925000000006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120.19</v>
      </c>
      <c r="Q86" s="87">
        <v>23.96</v>
      </c>
      <c r="R86" s="82">
        <v>7.4999999999999997E-3</v>
      </c>
      <c r="S86" s="194">
        <f t="shared" si="43"/>
        <v>1.0811250000000001</v>
      </c>
      <c r="T86" s="234">
        <f t="shared" si="44"/>
        <v>143.06887499999999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30.07</v>
      </c>
      <c r="Q87" s="87"/>
      <c r="R87" s="82">
        <v>7.4999999999999997E-3</v>
      </c>
      <c r="S87" s="194">
        <f t="shared" si="43"/>
        <v>0.225525</v>
      </c>
      <c r="T87" s="216">
        <f t="shared" si="44"/>
        <v>29.844474999999999</v>
      </c>
      <c r="U87" s="112">
        <v>21.15</v>
      </c>
      <c r="V87" s="112"/>
      <c r="W87" s="113">
        <v>1.4999999999999999E-2</v>
      </c>
      <c r="X87" s="196">
        <f t="shared" si="45"/>
        <v>0.31724999999999998</v>
      </c>
      <c r="Y87" s="254">
        <f t="shared" si="46"/>
        <v>20.832749999999997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>
        <v>450.19</v>
      </c>
      <c r="Q88" s="87">
        <v>175.97</v>
      </c>
      <c r="R88" s="82">
        <v>7.4999999999999997E-3</v>
      </c>
      <c r="S88" s="194">
        <f t="shared" si="43"/>
        <v>4.6961999999999993</v>
      </c>
      <c r="T88" s="234">
        <f t="shared" si="44"/>
        <v>621.46379999999999</v>
      </c>
      <c r="U88" s="112">
        <v>21.81</v>
      </c>
      <c r="V88" s="112"/>
      <c r="W88" s="113">
        <v>1.4999999999999999E-2</v>
      </c>
      <c r="X88" s="196">
        <f t="shared" si="45"/>
        <v>0.32715</v>
      </c>
      <c r="Y88" s="254">
        <f t="shared" si="46"/>
        <v>21.482849999999999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1060.99</v>
      </c>
      <c r="Q98" s="195">
        <f>SUM(Q78:Q97)</f>
        <v>579.31999999999994</v>
      </c>
      <c r="R98" s="111"/>
      <c r="S98" s="195">
        <f>SUM(S78:S97)</f>
        <v>12.302325</v>
      </c>
      <c r="T98" s="195">
        <f>SUM(T78:T97)</f>
        <v>1628.0076749999998</v>
      </c>
      <c r="U98" s="114">
        <f>SUM(U78:U97)</f>
        <v>147.1</v>
      </c>
      <c r="V98" s="114">
        <f>SUM(V78:V97)</f>
        <v>0</v>
      </c>
      <c r="W98" s="112"/>
      <c r="X98" s="197">
        <f>SUM(X78:X97)</f>
        <v>2.2065000000000001</v>
      </c>
      <c r="Y98" s="197">
        <f>SUM(Y78:Y97)</f>
        <v>144.89350000000002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8">
        <f>P78+U78+Q78</f>
        <v>200.35</v>
      </c>
      <c r="R100" s="84"/>
    </row>
    <row r="101" spans="14:30" x14ac:dyDescent="0.25">
      <c r="N101" s="85"/>
      <c r="P101" s="84"/>
      <c r="Q101" s="218">
        <f t="shared" ref="Q101:Q106" si="50">P79+Q79+U79</f>
        <v>10.19</v>
      </c>
      <c r="R101" s="84"/>
    </row>
    <row r="102" spans="14:30" x14ac:dyDescent="0.25">
      <c r="N102" s="85"/>
      <c r="P102" s="84"/>
      <c r="Q102" s="215">
        <f t="shared" si="50"/>
        <v>37.33</v>
      </c>
      <c r="R102" s="84"/>
    </row>
    <row r="103" spans="14:30" x14ac:dyDescent="0.25">
      <c r="N103" s="85"/>
      <c r="P103" s="84"/>
      <c r="Q103" s="218">
        <f t="shared" si="50"/>
        <v>127.39</v>
      </c>
      <c r="R103" s="84"/>
    </row>
    <row r="104" spans="14:30" x14ac:dyDescent="0.25">
      <c r="N104" s="85"/>
      <c r="P104" s="84"/>
      <c r="Q104" s="218">
        <f t="shared" si="50"/>
        <v>94.71</v>
      </c>
      <c r="R104" s="84"/>
    </row>
    <row r="105" spans="14:30" x14ac:dyDescent="0.25">
      <c r="N105" s="85"/>
      <c r="P105" s="84"/>
      <c r="Q105" s="246">
        <f t="shared" si="50"/>
        <v>112.88</v>
      </c>
      <c r="R105" s="84"/>
    </row>
    <row r="106" spans="14:30" x14ac:dyDescent="0.25">
      <c r="N106" s="85"/>
      <c r="P106" s="84"/>
      <c r="Q106" s="246">
        <f t="shared" si="50"/>
        <v>306.40999999999997</v>
      </c>
      <c r="R106" s="84"/>
    </row>
    <row r="107" spans="14:30" x14ac:dyDescent="0.25">
      <c r="N107" s="85"/>
      <c r="P107" s="84"/>
      <c r="Q107" s="84">
        <f>P85+Q85+U85</f>
        <v>54.81</v>
      </c>
      <c r="R107" s="84"/>
    </row>
    <row r="108" spans="14:30" x14ac:dyDescent="0.25">
      <c r="N108" s="85"/>
      <c r="P108" s="84"/>
      <c r="Q108" s="84">
        <f>P86+Q86+U86</f>
        <v>144.15</v>
      </c>
      <c r="R108" s="84"/>
    </row>
    <row r="109" spans="14:30" x14ac:dyDescent="0.25">
      <c r="N109" s="85"/>
      <c r="P109" s="84"/>
      <c r="Q109" s="84">
        <f>P87+Q87+U87</f>
        <v>51.22</v>
      </c>
      <c r="R109" s="84"/>
    </row>
    <row r="110" spans="14:30" x14ac:dyDescent="0.25">
      <c r="N110" s="85"/>
      <c r="P110" s="84"/>
      <c r="Q110" s="84">
        <f>P88+Q88+U88</f>
        <v>647.96999999999991</v>
      </c>
      <c r="R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7" zoomScale="90" zoomScaleNormal="90" workbookViewId="0">
      <selection activeCell="Y82" sqref="Y8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1919.5</v>
      </c>
      <c r="C12" s="15"/>
      <c r="D12" s="56"/>
      <c r="E12" s="16"/>
      <c r="F12" s="56"/>
      <c r="G12" s="56"/>
      <c r="H12" s="17"/>
      <c r="I12" s="83">
        <v>1919.5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194</v>
      </c>
      <c r="Q12" s="158">
        <v>11</v>
      </c>
      <c r="R12" s="159">
        <v>808.4</v>
      </c>
      <c r="S12" s="160"/>
      <c r="T12" s="160">
        <v>23.38</v>
      </c>
      <c r="U12" s="189">
        <f>((T12/U$10)*U$9)</f>
        <v>1.0077586206896552</v>
      </c>
      <c r="V12" s="189">
        <f>R12*V$10</f>
        <v>6.0629999999999997</v>
      </c>
      <c r="W12" s="189">
        <f>+S12*V$10</f>
        <v>0</v>
      </c>
      <c r="X12" s="189">
        <f>+T12*X$10</f>
        <v>0.58450000000000002</v>
      </c>
      <c r="Y12" s="189">
        <f>R12-V12</f>
        <v>802.33699999999999</v>
      </c>
      <c r="Z12" s="189">
        <f>S12-W12</f>
        <v>0</v>
      </c>
      <c r="AA12" s="189">
        <f>T12-U12-X12</f>
        <v>21.787741379310347</v>
      </c>
      <c r="AB12" s="156"/>
    </row>
    <row r="13" spans="1:28" ht="15.75" x14ac:dyDescent="0.25">
      <c r="A13" s="86" t="s">
        <v>74</v>
      </c>
      <c r="B13" s="89">
        <v>1681</v>
      </c>
      <c r="C13" s="15"/>
      <c r="D13" s="56"/>
      <c r="E13" s="16"/>
      <c r="F13" s="56"/>
      <c r="G13" s="56"/>
      <c r="H13" s="17"/>
      <c r="I13" s="83">
        <v>1681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578</v>
      </c>
      <c r="Q13" s="158">
        <v>2</v>
      </c>
      <c r="R13" s="159">
        <v>964.52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7.2338999999999993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957.28610000000003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9632.130000000001</v>
      </c>
      <c r="C14" s="15"/>
      <c r="D14" s="56"/>
      <c r="E14" s="16"/>
      <c r="F14" s="56"/>
      <c r="G14" s="56"/>
      <c r="H14" s="17"/>
      <c r="I14" s="83">
        <v>9632.1299999999992</v>
      </c>
      <c r="J14" s="81">
        <f t="shared" si="0"/>
        <v>0</v>
      </c>
      <c r="K14" s="80"/>
      <c r="L14" s="213" t="s">
        <v>164</v>
      </c>
      <c r="M14" s="107"/>
      <c r="N14" s="104">
        <v>3</v>
      </c>
      <c r="O14" s="152" t="s">
        <v>68</v>
      </c>
      <c r="P14" s="158">
        <v>579</v>
      </c>
      <c r="Q14" s="158">
        <v>2</v>
      </c>
      <c r="R14" s="159">
        <v>649.28</v>
      </c>
      <c r="S14" s="160"/>
      <c r="T14" s="161">
        <v>17.96</v>
      </c>
      <c r="U14" s="189">
        <f t="shared" si="2"/>
        <v>0.77413793103448292</v>
      </c>
      <c r="V14" s="189">
        <f t="shared" si="3"/>
        <v>4.8695999999999993</v>
      </c>
      <c r="W14" s="189">
        <f t="shared" si="4"/>
        <v>0</v>
      </c>
      <c r="X14" s="189">
        <f t="shared" si="5"/>
        <v>0.44900000000000007</v>
      </c>
      <c r="Y14" s="189">
        <f t="shared" si="6"/>
        <v>644.41039999999998</v>
      </c>
      <c r="Z14" s="189">
        <f t="shared" si="6"/>
        <v>0</v>
      </c>
      <c r="AA14" s="189">
        <f t="shared" si="7"/>
        <v>16.736862068965518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558</v>
      </c>
      <c r="Q15" s="158">
        <v>4</v>
      </c>
      <c r="R15" s="159">
        <v>904.84</v>
      </c>
      <c r="S15" s="160"/>
      <c r="T15" s="161">
        <v>18.05</v>
      </c>
      <c r="U15" s="189">
        <f t="shared" si="2"/>
        <v>0.7780172413793105</v>
      </c>
      <c r="V15" s="189">
        <f t="shared" si="3"/>
        <v>6.7862999999999998</v>
      </c>
      <c r="W15" s="189">
        <f t="shared" si="4"/>
        <v>0</v>
      </c>
      <c r="X15" s="189">
        <f t="shared" si="5"/>
        <v>0.45125000000000004</v>
      </c>
      <c r="Y15" s="189">
        <f t="shared" si="6"/>
        <v>898.05370000000005</v>
      </c>
      <c r="Z15" s="189">
        <f t="shared" si="6"/>
        <v>0</v>
      </c>
      <c r="AA15" s="189">
        <f t="shared" si="7"/>
        <v>16.820732758620689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643</v>
      </c>
      <c r="Q16" s="158">
        <v>18</v>
      </c>
      <c r="R16" s="159">
        <v>534.36</v>
      </c>
      <c r="S16" s="160"/>
      <c r="T16" s="161"/>
      <c r="U16" s="189">
        <f t="shared" si="2"/>
        <v>0</v>
      </c>
      <c r="V16" s="189">
        <f t="shared" si="3"/>
        <v>4.0076999999999998</v>
      </c>
      <c r="W16" s="189">
        <f t="shared" si="4"/>
        <v>0</v>
      </c>
      <c r="X16" s="189">
        <f t="shared" si="5"/>
        <v>0</v>
      </c>
      <c r="Y16" s="189">
        <f t="shared" si="6"/>
        <v>530.35230000000001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644</v>
      </c>
      <c r="Q17" s="158">
        <v>18</v>
      </c>
      <c r="R17" s="159">
        <v>587.95000000000005</v>
      </c>
      <c r="S17" s="160"/>
      <c r="T17" s="161"/>
      <c r="U17" s="189">
        <f t="shared" si="2"/>
        <v>0</v>
      </c>
      <c r="V17" s="189">
        <f t="shared" si="3"/>
        <v>4.4096250000000001</v>
      </c>
      <c r="W17" s="189">
        <f t="shared" si="4"/>
        <v>0</v>
      </c>
      <c r="X17" s="189">
        <f t="shared" si="5"/>
        <v>0</v>
      </c>
      <c r="Y17" s="189">
        <f t="shared" si="6"/>
        <v>583.54037500000004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1681</v>
      </c>
      <c r="C19" s="95"/>
      <c r="D19" s="94"/>
      <c r="E19" s="96"/>
      <c r="F19" s="94"/>
      <c r="G19" s="94"/>
      <c r="H19" s="98"/>
      <c r="I19" s="99">
        <v>1681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9632.130000000001</v>
      </c>
      <c r="C20" s="95"/>
      <c r="D20" s="94"/>
      <c r="E20" s="96"/>
      <c r="F20" s="94"/>
      <c r="G20" s="94"/>
      <c r="H20" s="98"/>
      <c r="I20" s="99">
        <v>9632.1299999999992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19.829999999999998</v>
      </c>
      <c r="C29" s="100"/>
      <c r="D29" s="66"/>
      <c r="E29" s="67"/>
      <c r="F29" s="66"/>
      <c r="G29" s="66"/>
      <c r="H29" s="102"/>
      <c r="I29" s="79">
        <v>19.829999999999998</v>
      </c>
      <c r="J29" s="81">
        <f t="shared" si="0"/>
        <v>0</v>
      </c>
      <c r="K29" s="80">
        <v>19.829999999999998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113.6259</v>
      </c>
      <c r="C30" s="100"/>
      <c r="D30" s="66"/>
      <c r="E30" s="67"/>
      <c r="F30" s="66"/>
      <c r="G30" s="66"/>
      <c r="H30" s="102"/>
      <c r="I30" s="79">
        <v>113.63</v>
      </c>
      <c r="J30" s="81">
        <f t="shared" si="0"/>
        <v>-4.0999999999939973E-3</v>
      </c>
      <c r="K30" s="80">
        <v>113.63</v>
      </c>
      <c r="L30" s="186">
        <f>K30-B30</f>
        <v>4.0999999999939973E-3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19.829999999999998</v>
      </c>
      <c r="C35" s="95"/>
      <c r="D35" s="94"/>
      <c r="E35" s="96"/>
      <c r="F35" s="94"/>
      <c r="G35" s="94"/>
      <c r="H35" s="98"/>
      <c r="I35" s="99">
        <v>19.829999999999998</v>
      </c>
      <c r="J35" s="185">
        <f t="shared" si="0"/>
        <v>0</v>
      </c>
      <c r="K35" s="99">
        <v>19.829999999999998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113.6259</v>
      </c>
      <c r="C36" s="95"/>
      <c r="D36" s="94"/>
      <c r="E36" s="96"/>
      <c r="F36" s="94"/>
      <c r="G36" s="94"/>
      <c r="H36" s="98"/>
      <c r="I36" s="99">
        <v>113.63</v>
      </c>
      <c r="J36" s="185">
        <f t="shared" si="0"/>
        <v>-4.0999999999939973E-3</v>
      </c>
      <c r="K36" s="99">
        <v>113.63</v>
      </c>
      <c r="L36" s="187">
        <f t="shared" si="8"/>
        <v>4.0999999999939973E-3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39.69</v>
      </c>
      <c r="C37" s="100"/>
      <c r="D37" s="66"/>
      <c r="E37" s="67"/>
      <c r="F37" s="66"/>
      <c r="G37" s="66"/>
      <c r="H37" s="102"/>
      <c r="I37" s="79">
        <v>39.69</v>
      </c>
      <c r="J37" s="81">
        <f t="shared" si="0"/>
        <v>0</v>
      </c>
      <c r="K37" s="80">
        <f>17.23+10.14+12.32</f>
        <v>39.69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227.4237</v>
      </c>
      <c r="C38" s="100"/>
      <c r="D38" s="66"/>
      <c r="E38" s="67"/>
      <c r="F38" s="66"/>
      <c r="G38" s="66"/>
      <c r="H38" s="102"/>
      <c r="I38" s="79">
        <v>227.42</v>
      </c>
      <c r="J38" s="81">
        <f t="shared" si="0"/>
        <v>3.7000000000091404E-3</v>
      </c>
      <c r="K38" s="80">
        <v>227.42</v>
      </c>
      <c r="L38" s="186">
        <f t="shared" si="8"/>
        <v>-3.7000000000091404E-3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4449.3500000000004</v>
      </c>
      <c r="S42" s="190">
        <f t="shared" si="9"/>
        <v>0</v>
      </c>
      <c r="T42" s="190">
        <f t="shared" si="9"/>
        <v>59.39</v>
      </c>
      <c r="U42" s="190">
        <f t="shared" si="9"/>
        <v>2.5599137931034486</v>
      </c>
      <c r="V42" s="190">
        <f t="shared" si="9"/>
        <v>33.370125000000002</v>
      </c>
      <c r="W42" s="190">
        <f t="shared" si="9"/>
        <v>0</v>
      </c>
      <c r="X42" s="190">
        <f t="shared" si="9"/>
        <v>1.48475</v>
      </c>
      <c r="Y42" s="190">
        <f t="shared" si="9"/>
        <v>4415.979875</v>
      </c>
      <c r="Z42" s="190">
        <f t="shared" si="9"/>
        <v>0</v>
      </c>
      <c r="AA42" s="190">
        <f t="shared" si="9"/>
        <v>55.345336206896562</v>
      </c>
      <c r="AB42" s="166"/>
    </row>
    <row r="43" spans="1:28" ht="15.75" x14ac:dyDescent="0.25">
      <c r="A43" s="93" t="s">
        <v>101</v>
      </c>
      <c r="B43" s="97">
        <f>+B37+B39+B41</f>
        <v>39.69</v>
      </c>
      <c r="C43" s="95"/>
      <c r="D43" s="94"/>
      <c r="E43" s="96"/>
      <c r="F43" s="94"/>
      <c r="G43" s="94"/>
      <c r="H43" s="98"/>
      <c r="I43" s="99">
        <v>39.69</v>
      </c>
      <c r="J43" s="185">
        <f t="shared" si="0"/>
        <v>0</v>
      </c>
      <c r="K43" s="99">
        <v>39.69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551.5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4.1362499999999995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547.36374999999998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227.4237</v>
      </c>
      <c r="C44" s="95"/>
      <c r="D44" s="94"/>
      <c r="E44" s="96"/>
      <c r="F44" s="94"/>
      <c r="G44" s="94"/>
      <c r="H44" s="98"/>
      <c r="I44" s="99">
        <v>227.42</v>
      </c>
      <c r="J44" s="185">
        <f t="shared" si="0"/>
        <v>3.7000000000091404E-3</v>
      </c>
      <c r="K44" s="99">
        <v>227.42</v>
      </c>
      <c r="L44" s="187">
        <f>K44-B44</f>
        <v>-3.7000000000091404E-3</v>
      </c>
      <c r="M44" s="107"/>
      <c r="N44" s="104">
        <v>2</v>
      </c>
      <c r="O44" s="167" t="s">
        <v>69</v>
      </c>
      <c r="P44" s="158"/>
      <c r="Q44" s="158"/>
      <c r="R44" s="160">
        <v>1178.5999999999999</v>
      </c>
      <c r="S44" s="160"/>
      <c r="T44" s="155">
        <v>48</v>
      </c>
      <c r="U44" s="189">
        <f t="shared" si="10"/>
        <v>2.0689655172413794</v>
      </c>
      <c r="V44" s="189">
        <f t="shared" si="11"/>
        <v>8.8394999999999992</v>
      </c>
      <c r="W44" s="189">
        <f t="shared" si="12"/>
        <v>0</v>
      </c>
      <c r="X44" s="189">
        <f t="shared" si="13"/>
        <v>1.2000000000000002</v>
      </c>
      <c r="Y44" s="189">
        <f t="shared" si="14"/>
        <v>1169.7604999999999</v>
      </c>
      <c r="Z44" s="189">
        <f t="shared" si="14"/>
        <v>0</v>
      </c>
      <c r="AA44" s="189">
        <f t="shared" si="15"/>
        <v>44.731034482758616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4449.3500000000004</v>
      </c>
      <c r="C46" s="116">
        <v>7.4999999999999997E-3</v>
      </c>
      <c r="D46" s="117">
        <f>B46*C46</f>
        <v>33.370125000000002</v>
      </c>
      <c r="E46" s="172">
        <v>0</v>
      </c>
      <c r="F46" s="117">
        <f t="shared" ref="F46:F50" si="16">D46*E46</f>
        <v>0</v>
      </c>
      <c r="G46" s="117">
        <f t="shared" ref="G46:G51" si="17">B46-D46-F46</f>
        <v>4415.979875</v>
      </c>
      <c r="H46" s="173">
        <f>B$6+1</f>
        <v>44768</v>
      </c>
      <c r="I46" s="174">
        <v>4449.3500000000004</v>
      </c>
      <c r="J46" s="81">
        <f t="shared" si="0"/>
        <v>0</v>
      </c>
      <c r="K46" s="80"/>
      <c r="L46" s="186">
        <f t="shared" ref="L46:L64" si="18">+G46-K46</f>
        <v>4415.979875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1730.1</v>
      </c>
      <c r="C47" s="116">
        <v>7.4999999999999997E-3</v>
      </c>
      <c r="D47" s="117">
        <f t="shared" ref="D47:D50" si="19">B47*C47</f>
        <v>12.97575</v>
      </c>
      <c r="E47" s="172">
        <v>0</v>
      </c>
      <c r="F47" s="117">
        <f t="shared" si="16"/>
        <v>0</v>
      </c>
      <c r="G47" s="117">
        <f t="shared" si="17"/>
        <v>1717.1242499999998</v>
      </c>
      <c r="H47" s="173">
        <f>B$6+1</f>
        <v>44768</v>
      </c>
      <c r="I47" s="175">
        <v>1730.1</v>
      </c>
      <c r="J47" s="81">
        <f t="shared" si="0"/>
        <v>0</v>
      </c>
      <c r="K47" s="80"/>
      <c r="L47" s="186">
        <f t="shared" si="18"/>
        <v>1717.1242499999998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173</v>
      </c>
      <c r="B48" s="117">
        <f>R69</f>
        <v>101.14</v>
      </c>
      <c r="C48" s="116">
        <v>1.4999999999999999E-2</v>
      </c>
      <c r="D48" s="117">
        <f t="shared" si="19"/>
        <v>1.5170999999999999</v>
      </c>
      <c r="E48" s="172">
        <v>0</v>
      </c>
      <c r="F48" s="117">
        <f t="shared" si="16"/>
        <v>0</v>
      </c>
      <c r="G48" s="117">
        <f t="shared" si="17"/>
        <v>99.622900000000001</v>
      </c>
      <c r="H48" s="173">
        <f t="shared" ref="H48:H61" si="20">B$6+1</f>
        <v>44768</v>
      </c>
      <c r="I48" s="176">
        <v>101.14</v>
      </c>
      <c r="J48" s="81">
        <f t="shared" si="0"/>
        <v>0</v>
      </c>
      <c r="K48" s="80"/>
      <c r="L48" s="186">
        <f t="shared" si="18"/>
        <v>99.622900000000001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211</v>
      </c>
      <c r="B49" s="117">
        <f>R75</f>
        <v>5438.99</v>
      </c>
      <c r="C49" s="116">
        <v>7.4999999999999997E-3</v>
      </c>
      <c r="D49" s="117">
        <f t="shared" si="19"/>
        <v>40.792424999999994</v>
      </c>
      <c r="E49" s="172">
        <v>0</v>
      </c>
      <c r="F49" s="117">
        <f t="shared" si="16"/>
        <v>0</v>
      </c>
      <c r="G49" s="117">
        <f t="shared" si="17"/>
        <v>5398.1975750000001</v>
      </c>
      <c r="H49" s="173">
        <f t="shared" si="20"/>
        <v>44768</v>
      </c>
      <c r="I49" s="176">
        <v>5078.99</v>
      </c>
      <c r="J49" s="81">
        <f t="shared" si="0"/>
        <v>360</v>
      </c>
      <c r="K49" s="80"/>
      <c r="L49" s="186">
        <f t="shared" si="18"/>
        <v>5398.1975750000001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2692.49</v>
      </c>
      <c r="C50" s="116">
        <v>7.4999999999999997E-3</v>
      </c>
      <c r="D50" s="117">
        <f t="shared" si="19"/>
        <v>20.193674999999999</v>
      </c>
      <c r="E50" s="172">
        <v>0</v>
      </c>
      <c r="F50" s="117">
        <f t="shared" si="16"/>
        <v>0</v>
      </c>
      <c r="G50" s="117">
        <f t="shared" si="17"/>
        <v>2672.2963249999998</v>
      </c>
      <c r="H50" s="173">
        <f t="shared" si="20"/>
        <v>44768</v>
      </c>
      <c r="I50" s="175">
        <v>3083.73</v>
      </c>
      <c r="J50" s="81">
        <f t="shared" si="0"/>
        <v>-391.24000000000024</v>
      </c>
      <c r="K50" s="80"/>
      <c r="L50" s="186">
        <f t="shared" si="18"/>
        <v>2672.2963249999998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391.24</v>
      </c>
      <c r="C51" s="116">
        <v>1.4999999999999999E-2</v>
      </c>
      <c r="D51" s="117">
        <f>+B51*C51</f>
        <v>5.8685999999999998</v>
      </c>
      <c r="E51" s="172">
        <v>0</v>
      </c>
      <c r="F51" s="117">
        <f>D51*E51</f>
        <v>0</v>
      </c>
      <c r="G51" s="117">
        <f t="shared" si="17"/>
        <v>385.37139999999999</v>
      </c>
      <c r="H51" s="173">
        <f t="shared" si="20"/>
        <v>44768</v>
      </c>
      <c r="I51" s="175"/>
      <c r="J51" s="81">
        <f t="shared" si="0"/>
        <v>391.24</v>
      </c>
      <c r="K51" s="80"/>
      <c r="L51" s="186">
        <f t="shared" si="18"/>
        <v>385.37139999999999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59.39</v>
      </c>
      <c r="C52" s="116">
        <v>2.5000000000000001E-2</v>
      </c>
      <c r="D52" s="117">
        <f>B52*C52</f>
        <v>1.48475</v>
      </c>
      <c r="E52" s="172">
        <v>0.05</v>
      </c>
      <c r="F52" s="117">
        <f>(B52/E$10)*E52</f>
        <v>2.5599137931034486</v>
      </c>
      <c r="G52" s="117">
        <f>B52-D52-F52</f>
        <v>55.345336206896555</v>
      </c>
      <c r="H52" s="188">
        <f t="shared" si="20"/>
        <v>44768</v>
      </c>
      <c r="I52" s="176">
        <v>59.39</v>
      </c>
      <c r="J52" s="81">
        <f t="shared" si="0"/>
        <v>0</v>
      </c>
      <c r="K52" s="80"/>
      <c r="L52" s="186">
        <f t="shared" si="18"/>
        <v>55.345336206896555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48</v>
      </c>
      <c r="C53" s="116">
        <v>2.5000000000000001E-2</v>
      </c>
      <c r="D53" s="117">
        <f t="shared" ref="D53:D56" si="21">B53*C53</f>
        <v>1.2000000000000002</v>
      </c>
      <c r="E53" s="172">
        <v>0.05</v>
      </c>
      <c r="F53" s="117">
        <f t="shared" ref="F53:F56" si="22">(B53/E$10)*E53</f>
        <v>2.0689655172413794</v>
      </c>
      <c r="G53" s="117">
        <f t="shared" ref="G53:G58" si="23">B53-D53-F53</f>
        <v>44.731034482758616</v>
      </c>
      <c r="H53" s="188">
        <f t="shared" si="20"/>
        <v>44768</v>
      </c>
      <c r="I53" s="176">
        <v>48</v>
      </c>
      <c r="J53" s="81">
        <f t="shared" si="0"/>
        <v>0</v>
      </c>
      <c r="K53" s="80"/>
      <c r="L53" s="186">
        <f t="shared" si="18"/>
        <v>44.731034482758616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217.74</v>
      </c>
      <c r="C56" s="116">
        <v>2.5000000000000001E-2</v>
      </c>
      <c r="D56" s="117">
        <f t="shared" si="21"/>
        <v>5.4435000000000002</v>
      </c>
      <c r="E56" s="172">
        <v>0.05</v>
      </c>
      <c r="F56" s="117">
        <f t="shared" si="22"/>
        <v>9.3853448275862075</v>
      </c>
      <c r="G56" s="117">
        <f t="shared" si="23"/>
        <v>202.9111551724138</v>
      </c>
      <c r="H56" s="173">
        <f t="shared" si="20"/>
        <v>44768</v>
      </c>
      <c r="I56" s="176">
        <v>217.74</v>
      </c>
      <c r="J56" s="81">
        <f t="shared" si="0"/>
        <v>0</v>
      </c>
      <c r="K56" s="80"/>
      <c r="L56" s="186">
        <f t="shared" si="18"/>
        <v>202.9111551724138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 t="s">
        <v>164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122.84592499999999</v>
      </c>
      <c r="E61" s="177"/>
      <c r="F61" s="57">
        <f>SUM(F46:F58)</f>
        <v>14.014224137931036</v>
      </c>
      <c r="G61" s="57">
        <f>SUM(G46:G58)</f>
        <v>14991.579850862068</v>
      </c>
      <c r="H61" s="173">
        <f t="shared" si="20"/>
        <v>44768</v>
      </c>
      <c r="I61" s="175"/>
      <c r="J61" s="81">
        <f t="shared" si="0"/>
        <v>0</v>
      </c>
      <c r="K61" s="80"/>
      <c r="L61" s="186">
        <f t="shared" si="18"/>
        <v>14991.579850862068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360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1730.1</v>
      </c>
      <c r="S63" s="191">
        <f>SUM(S43:S62)</f>
        <v>0</v>
      </c>
      <c r="T63" s="191">
        <f>SUM(T43:T62)</f>
        <v>48</v>
      </c>
      <c r="U63" s="191">
        <f t="shared" ref="U63:X63" si="26">SUM(U43:U62)</f>
        <v>2.0689655172413794</v>
      </c>
      <c r="V63" s="191">
        <f t="shared" si="26"/>
        <v>12.975749999999998</v>
      </c>
      <c r="W63" s="191">
        <f t="shared" si="26"/>
        <v>0</v>
      </c>
      <c r="X63" s="191">
        <f t="shared" si="26"/>
        <v>1.2000000000000002</v>
      </c>
      <c r="Y63" s="191">
        <f>SUM(Y43:Y62)</f>
        <v>1717.1242499999998</v>
      </c>
      <c r="Z63" s="191">
        <f t="shared" ref="Z63:AA63" si="27">SUM(Z43:Z62)</f>
        <v>0</v>
      </c>
      <c r="AA63" s="191">
        <f t="shared" si="27"/>
        <v>44.731034482758616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29983.159701724137</v>
      </c>
      <c r="H64" s="184"/>
      <c r="I64" s="175"/>
      <c r="J64" s="81">
        <f t="shared" si="0"/>
        <v>0</v>
      </c>
      <c r="K64" s="80"/>
      <c r="L64" s="186">
        <f t="shared" si="18"/>
        <v>29983.159701724137</v>
      </c>
      <c r="M64" s="130"/>
      <c r="N64" s="87">
        <v>1</v>
      </c>
      <c r="O64" s="122" t="s">
        <v>237</v>
      </c>
      <c r="P64" s="225">
        <v>5968</v>
      </c>
      <c r="Q64" s="225"/>
      <c r="R64" s="221">
        <v>101.14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0.75854999999999995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100.38145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26661.119599999998</v>
      </c>
      <c r="G65" s="22"/>
      <c r="L65" s="132"/>
      <c r="M65" s="131"/>
      <c r="N65" s="87">
        <v>2</v>
      </c>
      <c r="O65" s="122" t="s">
        <v>169</v>
      </c>
      <c r="P65" s="225"/>
      <c r="Q65" s="225"/>
      <c r="R65" s="221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225"/>
      <c r="Q66" s="225"/>
      <c r="R66" s="221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169</v>
      </c>
      <c r="P67" s="225"/>
      <c r="Q67" s="225"/>
      <c r="R67" s="221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26359.52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169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26625.85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101.14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0.75854999999999995</v>
      </c>
      <c r="W69" s="192">
        <f t="shared" si="34"/>
        <v>0</v>
      </c>
      <c r="X69" s="192">
        <f t="shared" si="34"/>
        <v>0</v>
      </c>
      <c r="Y69" s="192">
        <f t="shared" si="34"/>
        <v>100.38145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26359.52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228</v>
      </c>
      <c r="P70" s="87">
        <v>176</v>
      </c>
      <c r="Q70" s="87">
        <v>2001</v>
      </c>
      <c r="R70" s="137">
        <v>1627.29</v>
      </c>
      <c r="S70" s="87"/>
      <c r="T70" s="87">
        <v>19.829999999999998</v>
      </c>
      <c r="U70" s="189">
        <f t="shared" ref="U70:U74" si="35">((T70/U$10)*U$9)</f>
        <v>0.85474137931034488</v>
      </c>
      <c r="V70" s="189">
        <f t="shared" ref="V70:V74" si="36">R70*V$10</f>
        <v>12.204675</v>
      </c>
      <c r="W70" s="189">
        <f t="shared" ref="W70:W74" si="37">+S70*V$10</f>
        <v>0</v>
      </c>
      <c r="X70" s="189">
        <f t="shared" ref="X70:X74" si="38">+T70*X$10</f>
        <v>0.49574999999999997</v>
      </c>
      <c r="Y70" s="189">
        <f t="shared" ref="Y70:Z74" si="39">R70-V70</f>
        <v>1615.085325</v>
      </c>
      <c r="Z70" s="189">
        <f t="shared" si="39"/>
        <v>0</v>
      </c>
      <c r="AA70" s="189">
        <f t="shared" ref="AA70:AA74" si="40">T70-U70-X70</f>
        <v>18.479508620689653</v>
      </c>
      <c r="AB70" s="87"/>
    </row>
    <row r="71" spans="1:30" ht="28.5" customHeight="1" thickBot="1" x14ac:dyDescent="0.3">
      <c r="A71" s="25" t="s">
        <v>56</v>
      </c>
      <c r="B71" s="70">
        <f>(B65-B69)-B72</f>
        <v>35.269599999999627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228</v>
      </c>
      <c r="P71" s="87">
        <v>26</v>
      </c>
      <c r="Q71" s="87">
        <v>2001</v>
      </c>
      <c r="R71" s="137">
        <v>1.36</v>
      </c>
      <c r="S71" s="87"/>
      <c r="T71" s="137"/>
      <c r="U71" s="189">
        <f t="shared" si="35"/>
        <v>0</v>
      </c>
      <c r="V71" s="189">
        <f t="shared" si="36"/>
        <v>1.0200000000000001E-2</v>
      </c>
      <c r="W71" s="189">
        <f t="shared" si="37"/>
        <v>0</v>
      </c>
      <c r="X71" s="189">
        <f t="shared" si="38"/>
        <v>0</v>
      </c>
      <c r="Y71" s="189">
        <f t="shared" si="39"/>
        <v>1.3498000000000001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228</v>
      </c>
      <c r="P72" s="87">
        <v>6</v>
      </c>
      <c r="Q72" s="87">
        <v>1001</v>
      </c>
      <c r="R72" s="137">
        <v>617.65</v>
      </c>
      <c r="S72" s="87"/>
      <c r="T72" s="137">
        <v>197.91</v>
      </c>
      <c r="U72" s="189">
        <f t="shared" si="35"/>
        <v>8.5306034482758619</v>
      </c>
      <c r="V72" s="189">
        <f t="shared" si="36"/>
        <v>4.6323749999999997</v>
      </c>
      <c r="W72" s="189">
        <f t="shared" si="37"/>
        <v>0</v>
      </c>
      <c r="X72" s="189">
        <f t="shared" si="38"/>
        <v>4.9477500000000001</v>
      </c>
      <c r="Y72" s="189">
        <f t="shared" si="39"/>
        <v>613.01762499999995</v>
      </c>
      <c r="Z72" s="189">
        <f t="shared" si="39"/>
        <v>0</v>
      </c>
      <c r="AA72" s="189">
        <f t="shared" si="40"/>
        <v>184.43164655172413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228</v>
      </c>
      <c r="P73" s="87" t="s">
        <v>267</v>
      </c>
      <c r="Q73" s="87">
        <v>2001</v>
      </c>
      <c r="R73" s="137">
        <f>205.2+2627.49</f>
        <v>2832.6899999999996</v>
      </c>
      <c r="S73" s="87"/>
      <c r="T73" s="87"/>
      <c r="U73" s="189">
        <f t="shared" si="35"/>
        <v>0</v>
      </c>
      <c r="V73" s="189">
        <f t="shared" si="36"/>
        <v>21.245174999999996</v>
      </c>
      <c r="W73" s="189">
        <f t="shared" si="37"/>
        <v>0</v>
      </c>
      <c r="X73" s="189">
        <f t="shared" si="38"/>
        <v>0</v>
      </c>
      <c r="Y73" s="189">
        <f t="shared" si="39"/>
        <v>2811.4448249999996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80+60+40+105+75</f>
        <v>360</v>
      </c>
      <c r="S74" s="87"/>
      <c r="T74" s="137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5438.99</v>
      </c>
      <c r="S75" s="192"/>
      <c r="T75" s="192">
        <f>SUM(T70:T74)</f>
        <v>217.74</v>
      </c>
      <c r="U75" s="192">
        <f>SUM(U70:U74)</f>
        <v>9.3853448275862075</v>
      </c>
      <c r="V75" s="192">
        <f t="shared" ref="V75:AA75" si="42">SUM(V70:V74)</f>
        <v>40.792424999999994</v>
      </c>
      <c r="W75" s="192">
        <f t="shared" si="42"/>
        <v>0</v>
      </c>
      <c r="X75" s="192">
        <f t="shared" si="42"/>
        <v>5.4435000000000002</v>
      </c>
      <c r="Y75" s="192">
        <f t="shared" si="42"/>
        <v>5398.1975749999992</v>
      </c>
      <c r="Z75" s="192">
        <f t="shared" si="42"/>
        <v>0</v>
      </c>
      <c r="AA75" s="193">
        <f t="shared" si="42"/>
        <v>202.91115517241377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15.75" x14ac:dyDescent="0.25">
      <c r="E77" s="228" t="s">
        <v>71</v>
      </c>
      <c r="F77" s="334"/>
      <c r="G77" s="334"/>
      <c r="H77" s="224" t="s">
        <v>158</v>
      </c>
      <c r="I77" s="228" t="s">
        <v>165</v>
      </c>
      <c r="J77" s="228" t="s">
        <v>166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E78" s="228"/>
      <c r="F78" s="225"/>
      <c r="G78" s="225"/>
      <c r="H78" s="226"/>
      <c r="I78" s="87"/>
      <c r="J78" s="87"/>
      <c r="N78" s="87">
        <v>1</v>
      </c>
      <c r="O78" s="87" t="s">
        <v>110</v>
      </c>
      <c r="P78" s="137">
        <v>115.69</v>
      </c>
      <c r="Q78" s="137">
        <v>20.6</v>
      </c>
      <c r="R78" s="82">
        <v>7.4999999999999997E-3</v>
      </c>
      <c r="S78" s="194">
        <f>+(P78+Q78)*R78</f>
        <v>1.0221749999999998</v>
      </c>
      <c r="T78" s="219">
        <f>+(P78+Q78)-S78</f>
        <v>135.26782499999999</v>
      </c>
      <c r="U78" s="211">
        <v>100.34</v>
      </c>
      <c r="V78" s="112"/>
      <c r="W78" s="113">
        <v>1.4999999999999999E-2</v>
      </c>
      <c r="X78" s="196">
        <f>+(U78+V78)*W78</f>
        <v>1.5051000000000001</v>
      </c>
      <c r="Y78" s="254">
        <f>+(U78+V78)-X78</f>
        <v>98.834900000000005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28"/>
      <c r="F79" s="225"/>
      <c r="G79" s="63"/>
      <c r="H79" s="227"/>
      <c r="I79" s="87"/>
      <c r="J79" s="87"/>
      <c r="N79" s="87">
        <v>2</v>
      </c>
      <c r="O79" s="87" t="s">
        <v>110</v>
      </c>
      <c r="P79" s="137">
        <v>216.81</v>
      </c>
      <c r="Q79" s="137">
        <v>104.24</v>
      </c>
      <c r="R79" s="82">
        <v>7.4999999999999997E-3</v>
      </c>
      <c r="S79" s="194">
        <f t="shared" ref="S79:S97" si="44">+(P79+Q79)*R79</f>
        <v>2.4078750000000002</v>
      </c>
      <c r="T79" s="219">
        <f t="shared" ref="T79:T97" si="45">+(P79+Q79)-S79</f>
        <v>318.64212500000002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15.75" x14ac:dyDescent="0.25">
      <c r="E80" s="228"/>
      <c r="F80" s="87"/>
      <c r="G80" s="137"/>
      <c r="H80" s="230"/>
      <c r="I80" s="87"/>
      <c r="J80" s="87"/>
      <c r="N80" s="87">
        <v>3</v>
      </c>
      <c r="O80" s="87" t="s">
        <v>110</v>
      </c>
      <c r="P80" s="137">
        <v>170.18</v>
      </c>
      <c r="Q80" s="137">
        <v>22.49</v>
      </c>
      <c r="R80" s="82">
        <v>7.4999999999999997E-3</v>
      </c>
      <c r="S80" s="194">
        <f t="shared" si="44"/>
        <v>1.445025</v>
      </c>
      <c r="T80" s="219">
        <f t="shared" si="45"/>
        <v>191.22497500000003</v>
      </c>
      <c r="U80" s="211">
        <v>6.6</v>
      </c>
      <c r="V80" s="112"/>
      <c r="W80" s="113">
        <v>1.4999999999999999E-2</v>
      </c>
      <c r="X80" s="196">
        <f t="shared" si="46"/>
        <v>9.8999999999999991E-2</v>
      </c>
      <c r="Y80" s="254">
        <f t="shared" si="47"/>
        <v>6.5009999999999994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5:30" ht="15.75" x14ac:dyDescent="0.25">
      <c r="E81" s="228"/>
      <c r="F81" s="87"/>
      <c r="G81" s="137"/>
      <c r="H81" s="223"/>
      <c r="I81" s="87"/>
      <c r="J81" s="87"/>
      <c r="N81" s="87">
        <v>4</v>
      </c>
      <c r="O81" s="87" t="s">
        <v>110</v>
      </c>
      <c r="P81" s="137">
        <v>335.57</v>
      </c>
      <c r="Q81" s="137">
        <v>29.17</v>
      </c>
      <c r="R81" s="82">
        <v>7.4999999999999997E-3</v>
      </c>
      <c r="S81" s="194">
        <f t="shared" si="44"/>
        <v>2.7355499999999999</v>
      </c>
      <c r="T81" s="219">
        <f t="shared" si="45"/>
        <v>362.00445000000002</v>
      </c>
      <c r="U81" s="211">
        <v>54.05</v>
      </c>
      <c r="V81" s="112"/>
      <c r="W81" s="113">
        <v>1.4999999999999999E-2</v>
      </c>
      <c r="X81" s="196">
        <f t="shared" si="46"/>
        <v>0.81074999999999997</v>
      </c>
      <c r="Y81" s="254">
        <f t="shared" si="47"/>
        <v>53.239249999999998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5:30" ht="15.75" x14ac:dyDescent="0.25">
      <c r="E82" s="228"/>
      <c r="F82" s="87"/>
      <c r="G82" s="137"/>
      <c r="H82" s="87"/>
      <c r="I82" s="87"/>
      <c r="J82" s="87"/>
      <c r="N82" s="87">
        <v>5</v>
      </c>
      <c r="O82" s="87" t="s">
        <v>110</v>
      </c>
      <c r="P82" s="137">
        <v>123.25</v>
      </c>
      <c r="Q82" s="137">
        <v>3.14</v>
      </c>
      <c r="R82" s="82">
        <v>7.4999999999999997E-3</v>
      </c>
      <c r="S82" s="194">
        <f t="shared" si="44"/>
        <v>0.94792500000000002</v>
      </c>
      <c r="T82" s="219">
        <f t="shared" si="45"/>
        <v>125.442075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5:30" ht="15.75" x14ac:dyDescent="0.25">
      <c r="E83" s="229"/>
      <c r="F83" s="87"/>
      <c r="G83" s="137"/>
      <c r="H83" s="87"/>
      <c r="I83" s="87"/>
      <c r="J83" s="87"/>
      <c r="N83" s="87">
        <v>6</v>
      </c>
      <c r="O83" s="87" t="s">
        <v>110</v>
      </c>
      <c r="P83" s="137">
        <v>623.53</v>
      </c>
      <c r="Q83" s="137">
        <v>198.36</v>
      </c>
      <c r="R83" s="82">
        <v>7.4999999999999997E-3</v>
      </c>
      <c r="S83" s="194">
        <f t="shared" si="44"/>
        <v>6.1641749999999993</v>
      </c>
      <c r="T83" s="219">
        <f t="shared" si="45"/>
        <v>815.72582499999999</v>
      </c>
      <c r="U83" s="211">
        <v>103.94</v>
      </c>
      <c r="V83" s="112"/>
      <c r="W83" s="113">
        <v>1.4999999999999999E-2</v>
      </c>
      <c r="X83" s="196">
        <f t="shared" si="46"/>
        <v>1.5590999999999999</v>
      </c>
      <c r="Y83" s="254">
        <f>+(U83+V83)-X83</f>
        <v>102.3809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5:30" ht="15.75" x14ac:dyDescent="0.25">
      <c r="E84" s="228"/>
      <c r="F84" s="87"/>
      <c r="G84" s="87"/>
      <c r="H84" s="89"/>
      <c r="I84" s="87"/>
      <c r="J84" s="87"/>
      <c r="N84" s="87">
        <v>7</v>
      </c>
      <c r="O84" s="87" t="s">
        <v>110</v>
      </c>
      <c r="P84" s="137">
        <v>296.49</v>
      </c>
      <c r="Q84" s="87">
        <v>37.94</v>
      </c>
      <c r="R84" s="82">
        <v>7.4999999999999997E-3</v>
      </c>
      <c r="S84" s="194">
        <f t="shared" si="44"/>
        <v>2.5082249999999999</v>
      </c>
      <c r="T84" s="219">
        <f t="shared" si="45"/>
        <v>331.92177500000003</v>
      </c>
      <c r="U84" s="112">
        <v>66.64</v>
      </c>
      <c r="V84" s="112"/>
      <c r="W84" s="113">
        <v>1.4999999999999999E-2</v>
      </c>
      <c r="X84" s="196">
        <f t="shared" si="46"/>
        <v>0.99959999999999993</v>
      </c>
      <c r="Y84" s="254">
        <f t="shared" si="47"/>
        <v>65.6404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5:30" ht="15.75" x14ac:dyDescent="0.25">
      <c r="E85" s="228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17">
        <f>+(U85+V85)-X85</f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5:30" ht="15.75" x14ac:dyDescent="0.25">
      <c r="E86" s="228"/>
      <c r="F86" s="87"/>
      <c r="G86" s="81"/>
      <c r="H86" s="87"/>
      <c r="I86" s="87"/>
      <c r="J86" s="87"/>
      <c r="N86" s="87">
        <v>9</v>
      </c>
      <c r="O86" s="87" t="s">
        <v>110</v>
      </c>
      <c r="P86" s="87">
        <v>228.56</v>
      </c>
      <c r="Q86" s="87">
        <v>166.47</v>
      </c>
      <c r="R86" s="82">
        <v>7.4999999999999997E-3</v>
      </c>
      <c r="S86" s="194">
        <f t="shared" si="44"/>
        <v>2.9627249999999998</v>
      </c>
      <c r="T86" s="219">
        <f t="shared" si="45"/>
        <v>392.067275</v>
      </c>
      <c r="U86" s="112">
        <v>59.67</v>
      </c>
      <c r="V86" s="112"/>
      <c r="W86" s="113">
        <v>1.4999999999999999E-2</v>
      </c>
      <c r="X86" s="196">
        <f t="shared" si="46"/>
        <v>0.89505000000000001</v>
      </c>
      <c r="Y86" s="254">
        <f t="shared" si="47"/>
        <v>58.774950000000004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5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2110.08</v>
      </c>
      <c r="Q98" s="195">
        <f>SUM(Q78:Q97)</f>
        <v>582.41</v>
      </c>
      <c r="R98" s="111"/>
      <c r="S98" s="195">
        <f>SUM(S78:S97)</f>
        <v>20.193674999999999</v>
      </c>
      <c r="T98" s="195">
        <f>SUM(T78:T97)</f>
        <v>2672.2963249999998</v>
      </c>
      <c r="U98" s="114">
        <f>SUM(U78:U97)</f>
        <v>391.24</v>
      </c>
      <c r="V98" s="114">
        <f>SUM(V78:V97)</f>
        <v>0</v>
      </c>
      <c r="W98" s="112"/>
      <c r="X98" s="197">
        <f>SUM(X78:X97)</f>
        <v>5.8685999999999998</v>
      </c>
      <c r="Y98" s="197">
        <f>SUM(Y78:Y97)</f>
        <v>385.37139999999999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236.63</v>
      </c>
    </row>
    <row r="101" spans="14:30" x14ac:dyDescent="0.25">
      <c r="N101" s="85"/>
      <c r="P101" s="215">
        <f>P79+Q79+U79</f>
        <v>321.05</v>
      </c>
    </row>
    <row r="102" spans="14:30" x14ac:dyDescent="0.25">
      <c r="N102" s="85"/>
      <c r="P102" s="215">
        <f>P80+U80+Q80</f>
        <v>199.27</v>
      </c>
    </row>
    <row r="103" spans="14:30" x14ac:dyDescent="0.25">
      <c r="N103" s="85"/>
      <c r="P103" s="215">
        <f>P81+Q81+U81</f>
        <v>418.79</v>
      </c>
    </row>
    <row r="104" spans="14:30" x14ac:dyDescent="0.25">
      <c r="N104" s="85"/>
      <c r="P104" s="215">
        <f>P82+U82+Q82</f>
        <v>126.39</v>
      </c>
    </row>
    <row r="105" spans="14:30" x14ac:dyDescent="0.25">
      <c r="N105" s="85"/>
      <c r="P105" s="215">
        <f>P83+Q83+U83</f>
        <v>925.82999999999993</v>
      </c>
    </row>
    <row r="106" spans="14:30" x14ac:dyDescent="0.25">
      <c r="N106" s="85"/>
      <c r="P106" s="218">
        <f>P84+Q84+U84</f>
        <v>401.07</v>
      </c>
    </row>
    <row r="107" spans="14:30" x14ac:dyDescent="0.25">
      <c r="N107" s="85"/>
      <c r="P107" s="241">
        <f>P85+Q85+U85</f>
        <v>0</v>
      </c>
    </row>
    <row r="108" spans="14:30" x14ac:dyDescent="0.25">
      <c r="N108" s="85"/>
      <c r="P108" s="84">
        <f>P86+Q86+U86</f>
        <v>454.7</v>
      </c>
    </row>
    <row r="109" spans="14:30" x14ac:dyDescent="0.25">
      <c r="N109" s="85"/>
      <c r="P109" s="84">
        <f>P87+Q87+U87</f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A77" sqref="A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44738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5.74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5.75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892</v>
      </c>
      <c r="C12" s="15"/>
      <c r="D12" s="56"/>
      <c r="E12" s="16"/>
      <c r="F12" s="56"/>
      <c r="G12" s="56"/>
      <c r="H12" s="17"/>
      <c r="I12" s="83">
        <v>892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195</v>
      </c>
      <c r="Q12" s="158">
        <v>11</v>
      </c>
      <c r="R12" s="159">
        <v>1141.5999999999999</v>
      </c>
      <c r="S12" s="160"/>
      <c r="T12" s="160">
        <v>55.04</v>
      </c>
      <c r="U12" s="189">
        <f>((T12/U$10)*U$9)</f>
        <v>2.3724137931034486</v>
      </c>
      <c r="V12" s="189">
        <f>R12*V$10</f>
        <v>8.5619999999999994</v>
      </c>
      <c r="W12" s="189">
        <f>+S12*V$10</f>
        <v>0</v>
      </c>
      <c r="X12" s="189">
        <f>+T12*X$10</f>
        <v>1.3760000000000001</v>
      </c>
      <c r="Y12" s="189">
        <f>R12-V12</f>
        <v>1133.038</v>
      </c>
      <c r="Z12" s="189">
        <f>S12-W12</f>
        <v>0</v>
      </c>
      <c r="AA12" s="189">
        <f>T12-U12-X12</f>
        <v>51.291586206896554</v>
      </c>
      <c r="AB12" s="156"/>
    </row>
    <row r="13" spans="1:28" ht="15.75" x14ac:dyDescent="0.25">
      <c r="A13" s="86" t="s">
        <v>74</v>
      </c>
      <c r="B13" s="89">
        <v>928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928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196</v>
      </c>
      <c r="Q13" s="158">
        <v>11</v>
      </c>
      <c r="R13" s="159">
        <v>2485.66</v>
      </c>
      <c r="S13" s="160"/>
      <c r="T13" s="161">
        <v>66.739999999999995</v>
      </c>
      <c r="U13" s="189">
        <f t="shared" ref="U13:U41" si="2">((T13/U$10)*U$9)</f>
        <v>2.8767241379310349</v>
      </c>
      <c r="V13" s="189">
        <f t="shared" ref="V13:V41" si="3">R13*V$10</f>
        <v>18.642449999999997</v>
      </c>
      <c r="W13" s="189">
        <f t="shared" ref="W13:W41" si="4">+S13*V$10</f>
        <v>0</v>
      </c>
      <c r="X13" s="189">
        <f t="shared" ref="X13:X41" si="5">+T13*X$10</f>
        <v>1.6684999999999999</v>
      </c>
      <c r="Y13" s="189">
        <f t="shared" ref="Y13:Z41" si="6">R13-V13</f>
        <v>2467.01755</v>
      </c>
      <c r="Z13" s="189">
        <f t="shared" si="6"/>
        <v>0</v>
      </c>
      <c r="AA13" s="189">
        <f t="shared" ref="AA13:AA41" si="7">T13-U13-X13</f>
        <v>62.194775862068958</v>
      </c>
      <c r="AB13" s="156"/>
    </row>
    <row r="14" spans="1:28" ht="15.75" x14ac:dyDescent="0.25">
      <c r="A14" s="86" t="s">
        <v>81</v>
      </c>
      <c r="B14" s="57">
        <f>B13*B8</f>
        <v>5317.4400000000005</v>
      </c>
      <c r="C14" s="15"/>
      <c r="D14" s="56"/>
      <c r="E14" s="16"/>
      <c r="F14" s="56"/>
      <c r="G14" s="56"/>
      <c r="H14" s="17"/>
      <c r="I14" s="83"/>
      <c r="J14" s="81">
        <f t="shared" si="0"/>
        <v>5317.4400000000005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580</v>
      </c>
      <c r="Q14" s="158">
        <v>2</v>
      </c>
      <c r="R14" s="159">
        <v>648.91999999999996</v>
      </c>
      <c r="S14" s="160"/>
      <c r="T14" s="161"/>
      <c r="U14" s="189">
        <f t="shared" si="2"/>
        <v>0</v>
      </c>
      <c r="V14" s="189">
        <f t="shared" si="3"/>
        <v>4.8668999999999993</v>
      </c>
      <c r="W14" s="189">
        <f t="shared" si="4"/>
        <v>0</v>
      </c>
      <c r="X14" s="189">
        <f t="shared" si="5"/>
        <v>0</v>
      </c>
      <c r="Y14" s="189">
        <f t="shared" si="6"/>
        <v>644.05309999999997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69</v>
      </c>
      <c r="C15" s="15"/>
      <c r="D15" s="56"/>
      <c r="E15" s="16"/>
      <c r="F15" s="56"/>
      <c r="G15" s="56"/>
      <c r="H15" s="17"/>
      <c r="I15" s="83"/>
      <c r="J15" s="81">
        <f t="shared" si="0"/>
        <v>69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559</v>
      </c>
      <c r="Q15" s="158">
        <v>4</v>
      </c>
      <c r="R15" s="159">
        <v>476.82</v>
      </c>
      <c r="S15" s="160"/>
      <c r="T15" s="161"/>
      <c r="U15" s="189">
        <f t="shared" si="2"/>
        <v>0</v>
      </c>
      <c r="V15" s="189">
        <f t="shared" si="3"/>
        <v>3.5761499999999997</v>
      </c>
      <c r="W15" s="189">
        <f t="shared" si="4"/>
        <v>0</v>
      </c>
      <c r="X15" s="189">
        <f t="shared" si="5"/>
        <v>0</v>
      </c>
      <c r="Y15" s="189">
        <f t="shared" si="6"/>
        <v>473.24385000000001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396.06</v>
      </c>
      <c r="C16" s="15"/>
      <c r="D16" s="56"/>
      <c r="E16" s="16"/>
      <c r="F16" s="56"/>
      <c r="G16" s="56"/>
      <c r="H16" s="17"/>
      <c r="I16" s="83"/>
      <c r="J16" s="81">
        <f t="shared" si="0"/>
        <v>396.06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560</v>
      </c>
      <c r="Q16" s="158">
        <v>4</v>
      </c>
      <c r="R16" s="159">
        <v>2135.5</v>
      </c>
      <c r="S16" s="160"/>
      <c r="T16" s="161">
        <v>256.8</v>
      </c>
      <c r="U16" s="189">
        <f t="shared" si="2"/>
        <v>11.068965517241381</v>
      </c>
      <c r="V16" s="189">
        <f t="shared" si="3"/>
        <v>16.016249999999999</v>
      </c>
      <c r="W16" s="189">
        <f t="shared" si="4"/>
        <v>0</v>
      </c>
      <c r="X16" s="189">
        <f t="shared" si="5"/>
        <v>6.4200000000000008</v>
      </c>
      <c r="Y16" s="189">
        <f t="shared" si="6"/>
        <v>2119.4837499999999</v>
      </c>
      <c r="Z16" s="189">
        <f t="shared" si="6"/>
        <v>0</v>
      </c>
      <c r="AA16" s="189">
        <f t="shared" si="7"/>
        <v>239.31103448275863</v>
      </c>
      <c r="AB16" s="156"/>
    </row>
    <row r="17" spans="1:28" ht="15.75" x14ac:dyDescent="0.25">
      <c r="A17" s="86" t="s">
        <v>78</v>
      </c>
      <c r="B17" s="56">
        <v>848</v>
      </c>
      <c r="C17" s="15"/>
      <c r="D17" s="56"/>
      <c r="E17" s="16"/>
      <c r="F17" s="56"/>
      <c r="G17" s="56"/>
      <c r="H17" s="17"/>
      <c r="I17" s="83"/>
      <c r="J17" s="81">
        <f t="shared" si="0"/>
        <v>848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645</v>
      </c>
      <c r="Q17" s="158">
        <v>18</v>
      </c>
      <c r="R17" s="159">
        <v>1138.8699999999999</v>
      </c>
      <c r="S17" s="160"/>
      <c r="T17" s="161">
        <v>156.18</v>
      </c>
      <c r="U17" s="189">
        <f t="shared" si="2"/>
        <v>6.7318965517241383</v>
      </c>
      <c r="V17" s="189">
        <f t="shared" si="3"/>
        <v>8.5415249999999983</v>
      </c>
      <c r="W17" s="189">
        <f t="shared" si="4"/>
        <v>0</v>
      </c>
      <c r="X17" s="189">
        <f t="shared" si="5"/>
        <v>3.9045000000000005</v>
      </c>
      <c r="Y17" s="189">
        <f t="shared" si="6"/>
        <v>1130.3284749999998</v>
      </c>
      <c r="Z17" s="189">
        <f t="shared" si="6"/>
        <v>0</v>
      </c>
      <c r="AA17" s="189">
        <f t="shared" si="7"/>
        <v>145.54360344827586</v>
      </c>
      <c r="AB17" s="156"/>
    </row>
    <row r="18" spans="1:28" ht="15.75" x14ac:dyDescent="0.25">
      <c r="A18" s="86" t="s">
        <v>81</v>
      </c>
      <c r="B18" s="57">
        <f>B17*B10</f>
        <v>4876</v>
      </c>
      <c r="C18" s="15"/>
      <c r="D18" s="56"/>
      <c r="E18" s="16"/>
      <c r="F18" s="56"/>
      <c r="G18" s="56"/>
      <c r="H18" s="17"/>
      <c r="I18" s="83"/>
      <c r="J18" s="81">
        <f t="shared" si="0"/>
        <v>4876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646</v>
      </c>
      <c r="Q18" s="158">
        <v>18</v>
      </c>
      <c r="R18" s="159">
        <v>1846.58</v>
      </c>
      <c r="S18" s="160"/>
      <c r="T18" s="161"/>
      <c r="U18" s="189">
        <f t="shared" si="2"/>
        <v>0</v>
      </c>
      <c r="V18" s="189">
        <f t="shared" si="3"/>
        <v>13.849349999999999</v>
      </c>
      <c r="W18" s="189">
        <f t="shared" si="4"/>
        <v>0</v>
      </c>
      <c r="X18" s="189">
        <f t="shared" si="5"/>
        <v>0</v>
      </c>
      <c r="Y18" s="189">
        <f t="shared" si="6"/>
        <v>1832.73065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1845</v>
      </c>
      <c r="C19" s="95"/>
      <c r="D19" s="94"/>
      <c r="E19" s="96"/>
      <c r="F19" s="94"/>
      <c r="G19" s="94"/>
      <c r="H19" s="98"/>
      <c r="I19" s="99"/>
      <c r="J19" s="185">
        <f>B19-I19</f>
        <v>1845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10589.5</v>
      </c>
      <c r="C20" s="95"/>
      <c r="D20" s="94"/>
      <c r="E20" s="96"/>
      <c r="F20" s="94"/>
      <c r="G20" s="94"/>
      <c r="H20" s="98"/>
      <c r="I20" s="99">
        <v>10608.75</v>
      </c>
      <c r="J20" s="185">
        <f t="shared" si="0"/>
        <v>-19.25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>
        <v>10.11</v>
      </c>
      <c r="J29" s="81">
        <f t="shared" si="0"/>
        <v>-10.11</v>
      </c>
      <c r="K29" s="80">
        <v>10.11</v>
      </c>
      <c r="L29" s="186">
        <f>K29-B29</f>
        <v>10.11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>
        <v>55.71</v>
      </c>
      <c r="J30" s="81">
        <f t="shared" si="0"/>
        <v>-55.71</v>
      </c>
      <c r="K30" s="80">
        <v>55.71</v>
      </c>
      <c r="L30" s="186">
        <f>K30-B30</f>
        <v>55.71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>
        <v>10.11</v>
      </c>
      <c r="C33" s="100"/>
      <c r="D33" s="66"/>
      <c r="E33" s="67"/>
      <c r="F33" s="66"/>
      <c r="G33" s="66"/>
      <c r="H33" s="102"/>
      <c r="I33" s="79"/>
      <c r="J33" s="81">
        <f t="shared" si="0"/>
        <v>10.11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58.132499999999993</v>
      </c>
      <c r="C34" s="100"/>
      <c r="D34" s="66"/>
      <c r="E34" s="67"/>
      <c r="F34" s="66"/>
      <c r="G34" s="66"/>
      <c r="H34" s="102"/>
      <c r="I34" s="79"/>
      <c r="J34" s="81">
        <f t="shared" si="0"/>
        <v>58.132499999999993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10.11</v>
      </c>
      <c r="C35" s="95"/>
      <c r="D35" s="94"/>
      <c r="E35" s="96"/>
      <c r="F35" s="94"/>
      <c r="G35" s="94"/>
      <c r="H35" s="98"/>
      <c r="I35" s="99">
        <v>10.11</v>
      </c>
      <c r="J35" s="185">
        <f t="shared" si="0"/>
        <v>0</v>
      </c>
      <c r="K35" s="99">
        <v>10.11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58.132499999999993</v>
      </c>
      <c r="C36" s="95"/>
      <c r="D36" s="94"/>
      <c r="E36" s="96"/>
      <c r="F36" s="94"/>
      <c r="G36" s="94"/>
      <c r="H36" s="98"/>
      <c r="I36" s="99">
        <v>55.71</v>
      </c>
      <c r="J36" s="185">
        <f t="shared" si="0"/>
        <v>2.4224999999999923</v>
      </c>
      <c r="K36" s="99">
        <v>55.71</v>
      </c>
      <c r="L36" s="187">
        <f t="shared" si="8"/>
        <v>-2.4224999999999923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19.170000000000002</v>
      </c>
      <c r="C37" s="100"/>
      <c r="D37" s="66"/>
      <c r="E37" s="67"/>
      <c r="F37" s="66"/>
      <c r="G37" s="66"/>
      <c r="H37" s="102"/>
      <c r="I37" s="79">
        <v>95.93</v>
      </c>
      <c r="J37" s="81">
        <f t="shared" si="0"/>
        <v>-76.760000000000005</v>
      </c>
      <c r="K37" s="80">
        <v>95.93</v>
      </c>
      <c r="L37" s="186">
        <f t="shared" si="8"/>
        <v>76.760000000000005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109.84410000000001</v>
      </c>
      <c r="C38" s="100"/>
      <c r="D38" s="66"/>
      <c r="E38" s="67"/>
      <c r="F38" s="66"/>
      <c r="G38" s="66"/>
      <c r="H38" s="102"/>
      <c r="I38" s="79">
        <v>528.57000000000005</v>
      </c>
      <c r="J38" s="81">
        <f t="shared" si="0"/>
        <v>-418.72590000000002</v>
      </c>
      <c r="K38" s="80">
        <v>528.57000000000005</v>
      </c>
      <c r="L38" s="186">
        <f t="shared" si="8"/>
        <v>418.72590000000002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>
        <v>76.760000000000005</v>
      </c>
      <c r="C41" s="100"/>
      <c r="D41" s="66"/>
      <c r="E41" s="67"/>
      <c r="F41" s="66"/>
      <c r="G41" s="66"/>
      <c r="H41" s="102"/>
      <c r="I41" s="79"/>
      <c r="J41" s="81">
        <f t="shared" si="0"/>
        <v>76.760000000000005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441.37</v>
      </c>
      <c r="C42" s="100"/>
      <c r="D42" s="66"/>
      <c r="E42" s="67"/>
      <c r="F42" s="66"/>
      <c r="G42" s="66"/>
      <c r="H42" s="102"/>
      <c r="I42" s="79"/>
      <c r="J42" s="81">
        <f t="shared" si="0"/>
        <v>441.37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9873.9499999999989</v>
      </c>
      <c r="S42" s="190">
        <f t="shared" si="9"/>
        <v>0</v>
      </c>
      <c r="T42" s="190">
        <f t="shared" si="9"/>
        <v>534.76</v>
      </c>
      <c r="U42" s="190">
        <f t="shared" si="9"/>
        <v>23.05</v>
      </c>
      <c r="V42" s="190">
        <f t="shared" si="9"/>
        <v>74.054624999999987</v>
      </c>
      <c r="W42" s="190">
        <f t="shared" si="9"/>
        <v>0</v>
      </c>
      <c r="X42" s="190">
        <f t="shared" si="9"/>
        <v>13.369000000000002</v>
      </c>
      <c r="Y42" s="190">
        <f t="shared" si="9"/>
        <v>9799.8953750000001</v>
      </c>
      <c r="Z42" s="190">
        <f t="shared" si="9"/>
        <v>0</v>
      </c>
      <c r="AA42" s="190">
        <f t="shared" si="9"/>
        <v>498.34100000000001</v>
      </c>
      <c r="AB42" s="166"/>
    </row>
    <row r="43" spans="1:28" ht="15.75" x14ac:dyDescent="0.25">
      <c r="A43" s="93" t="s">
        <v>101</v>
      </c>
      <c r="B43" s="97">
        <f>+B37+B39+B41</f>
        <v>95.93</v>
      </c>
      <c r="C43" s="95"/>
      <c r="D43" s="94"/>
      <c r="E43" s="96"/>
      <c r="F43" s="94"/>
      <c r="G43" s="94"/>
      <c r="H43" s="98"/>
      <c r="I43" s="99"/>
      <c r="J43" s="185">
        <f t="shared" si="0"/>
        <v>95.93</v>
      </c>
      <c r="K43" s="99">
        <v>95.93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421.72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3.1629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418.55710000000005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551.21410000000003</v>
      </c>
      <c r="C44" s="95"/>
      <c r="D44" s="94"/>
      <c r="E44" s="96"/>
      <c r="F44" s="94"/>
      <c r="G44" s="94"/>
      <c r="H44" s="98"/>
      <c r="I44" s="99">
        <v>95.93</v>
      </c>
      <c r="J44" s="185">
        <f t="shared" si="0"/>
        <v>455.28410000000002</v>
      </c>
      <c r="K44" s="99">
        <v>528.57000000000005</v>
      </c>
      <c r="L44" s="187">
        <f>K44-B44</f>
        <v>-22.64409999999998</v>
      </c>
      <c r="M44" s="107"/>
      <c r="N44" s="104">
        <v>2</v>
      </c>
      <c r="O44" s="167" t="s">
        <v>69</v>
      </c>
      <c r="P44" s="158"/>
      <c r="Q44" s="158"/>
      <c r="R44" s="160">
        <v>250.85</v>
      </c>
      <c r="S44" s="160"/>
      <c r="T44" s="155"/>
      <c r="U44" s="189">
        <f t="shared" si="10"/>
        <v>0</v>
      </c>
      <c r="V44" s="189">
        <f t="shared" si="11"/>
        <v>1.8813749999999998</v>
      </c>
      <c r="W44" s="189">
        <f t="shared" si="12"/>
        <v>0</v>
      </c>
      <c r="X44" s="189">
        <f t="shared" si="13"/>
        <v>0</v>
      </c>
      <c r="Y44" s="189">
        <f t="shared" si="14"/>
        <v>248.968625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9873.9499999999989</v>
      </c>
      <c r="C46" s="116">
        <v>7.4999999999999997E-3</v>
      </c>
      <c r="D46" s="117">
        <f>B46*C46</f>
        <v>74.054624999999987</v>
      </c>
      <c r="E46" s="172">
        <v>0</v>
      </c>
      <c r="F46" s="117">
        <f t="shared" ref="F46:F50" si="16">D46*E46</f>
        <v>0</v>
      </c>
      <c r="G46" s="117">
        <f t="shared" ref="G46:G51" si="17">B46-D46-F46</f>
        <v>9799.8953749999982</v>
      </c>
      <c r="H46" s="173">
        <f>B$6+1</f>
        <v>44739</v>
      </c>
      <c r="I46" s="174">
        <v>9873.9500000000007</v>
      </c>
      <c r="J46" s="81">
        <f t="shared" si="0"/>
        <v>0</v>
      </c>
      <c r="K46" s="80"/>
      <c r="L46" s="186">
        <f t="shared" ref="L46:L64" si="18">+G46-K46</f>
        <v>9799.8953749999982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672.57</v>
      </c>
      <c r="C47" s="116">
        <v>7.4999999999999997E-3</v>
      </c>
      <c r="D47" s="117">
        <f t="shared" ref="D47:D50" si="19">B47*C47</f>
        <v>5.0442749999999998</v>
      </c>
      <c r="E47" s="172">
        <v>0</v>
      </c>
      <c r="F47" s="117">
        <f t="shared" si="16"/>
        <v>0</v>
      </c>
      <c r="G47" s="117">
        <f t="shared" si="17"/>
        <v>667.52572500000008</v>
      </c>
      <c r="H47" s="173">
        <f>B$6+1</f>
        <v>44739</v>
      </c>
      <c r="I47" s="175">
        <v>672.57</v>
      </c>
      <c r="J47" s="81">
        <f t="shared" si="0"/>
        <v>0</v>
      </c>
      <c r="K47" s="80"/>
      <c r="L47" s="186">
        <f t="shared" si="18"/>
        <v>667.52572500000008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100.65</v>
      </c>
      <c r="C48" s="116">
        <v>1.4999999999999999E-2</v>
      </c>
      <c r="D48" s="117">
        <f t="shared" si="19"/>
        <v>1.5097499999999999</v>
      </c>
      <c r="E48" s="172">
        <v>0</v>
      </c>
      <c r="F48" s="117">
        <f t="shared" si="16"/>
        <v>0</v>
      </c>
      <c r="G48" s="117">
        <f t="shared" si="17"/>
        <v>99.140250000000009</v>
      </c>
      <c r="H48" s="173">
        <f t="shared" ref="H48:H61" si="20">B$6+1</f>
        <v>44739</v>
      </c>
      <c r="I48" s="176">
        <v>100.65</v>
      </c>
      <c r="J48" s="81">
        <f t="shared" si="0"/>
        <v>0</v>
      </c>
      <c r="K48" s="80"/>
      <c r="L48" s="186">
        <f t="shared" si="18"/>
        <v>99.140250000000009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198</v>
      </c>
      <c r="B49" s="117">
        <f>R75</f>
        <v>2974.23</v>
      </c>
      <c r="C49" s="116">
        <v>7.4999999999999997E-3</v>
      </c>
      <c r="D49" s="117">
        <f t="shared" si="19"/>
        <v>22.306725</v>
      </c>
      <c r="E49" s="172">
        <v>0</v>
      </c>
      <c r="F49" s="117">
        <f t="shared" si="16"/>
        <v>0</v>
      </c>
      <c r="G49" s="117">
        <f t="shared" si="17"/>
        <v>2951.9232750000001</v>
      </c>
      <c r="H49" s="173">
        <f t="shared" si="20"/>
        <v>44739</v>
      </c>
      <c r="I49" s="176">
        <v>2481.4</v>
      </c>
      <c r="J49" s="81">
        <f t="shared" si="0"/>
        <v>492.82999999999993</v>
      </c>
      <c r="K49" s="80"/>
      <c r="L49" s="186">
        <f t="shared" si="18"/>
        <v>2951.9232750000001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1547.5700000000002</v>
      </c>
      <c r="C50" s="116">
        <v>7.4999999999999997E-3</v>
      </c>
      <c r="D50" s="117">
        <f t="shared" si="19"/>
        <v>11.606775000000001</v>
      </c>
      <c r="E50" s="172">
        <v>0</v>
      </c>
      <c r="F50" s="117">
        <f t="shared" si="16"/>
        <v>0</v>
      </c>
      <c r="G50" s="117">
        <f t="shared" si="17"/>
        <v>1535.9632250000002</v>
      </c>
      <c r="H50" s="173">
        <f t="shared" si="20"/>
        <v>44739</v>
      </c>
      <c r="I50" s="175">
        <v>2168.88</v>
      </c>
      <c r="J50" s="81">
        <f t="shared" si="0"/>
        <v>-621.30999999999995</v>
      </c>
      <c r="K50" s="80"/>
      <c r="L50" s="186">
        <f t="shared" si="18"/>
        <v>1535.9632250000002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621.30999999999995</v>
      </c>
      <c r="C51" s="116">
        <v>1.4999999999999999E-2</v>
      </c>
      <c r="D51" s="117">
        <f>+B51*C51</f>
        <v>9.3196499999999993</v>
      </c>
      <c r="E51" s="172">
        <v>0</v>
      </c>
      <c r="F51" s="117">
        <f>D51*E51</f>
        <v>0</v>
      </c>
      <c r="G51" s="117">
        <f t="shared" si="17"/>
        <v>611.99034999999992</v>
      </c>
      <c r="H51" s="173">
        <f t="shared" si="20"/>
        <v>44739</v>
      </c>
      <c r="I51" s="175"/>
      <c r="J51" s="81">
        <f t="shared" si="0"/>
        <v>621.30999999999995</v>
      </c>
      <c r="K51" s="80"/>
      <c r="L51" s="186">
        <f t="shared" si="18"/>
        <v>611.99034999999992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534.76</v>
      </c>
      <c r="C52" s="116">
        <v>2.5000000000000001E-2</v>
      </c>
      <c r="D52" s="117">
        <f>B52*C52</f>
        <v>13.369</v>
      </c>
      <c r="E52" s="172">
        <v>0.05</v>
      </c>
      <c r="F52" s="117">
        <f>(B52/E$10)*E52</f>
        <v>23.05</v>
      </c>
      <c r="G52" s="117">
        <f>B52-D52-F52</f>
        <v>498.34099999999995</v>
      </c>
      <c r="H52" s="188">
        <f t="shared" si="20"/>
        <v>44739</v>
      </c>
      <c r="I52" s="176">
        <v>534.76</v>
      </c>
      <c r="J52" s="81">
        <f t="shared" si="0"/>
        <v>0</v>
      </c>
      <c r="K52" s="80"/>
      <c r="L52" s="186">
        <f t="shared" si="18"/>
        <v>498.34099999999995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44739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44739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44739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174</v>
      </c>
      <c r="B56" s="117">
        <f>T75</f>
        <v>183.66</v>
      </c>
      <c r="C56" s="116">
        <v>2.5000000000000001E-2</v>
      </c>
      <c r="D56" s="117">
        <f t="shared" si="21"/>
        <v>4.5914999999999999</v>
      </c>
      <c r="E56" s="172">
        <v>0.05</v>
      </c>
      <c r="F56" s="117">
        <f t="shared" si="22"/>
        <v>7.916379310344829</v>
      </c>
      <c r="G56" s="117">
        <f t="shared" si="23"/>
        <v>171.15212068965516</v>
      </c>
      <c r="H56" s="173">
        <f t="shared" si="20"/>
        <v>44739</v>
      </c>
      <c r="I56" s="176">
        <v>183.66</v>
      </c>
      <c r="J56" s="81">
        <f t="shared" si="0"/>
        <v>0</v>
      </c>
      <c r="K56" s="80"/>
      <c r="L56" s="186">
        <f t="shared" si="18"/>
        <v>171.15212068965516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44741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44743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44768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141.80229999999997</v>
      </c>
      <c r="E61" s="177"/>
      <c r="F61" s="57">
        <f>SUM(F46:F58)</f>
        <v>30.966379310344831</v>
      </c>
      <c r="G61" s="57">
        <f>SUM(G46:G58)</f>
        <v>16335.931320689653</v>
      </c>
      <c r="H61" s="173">
        <f t="shared" si="20"/>
        <v>44739</v>
      </c>
      <c r="I61" s="175"/>
      <c r="J61" s="81">
        <f t="shared" si="0"/>
        <v>0</v>
      </c>
      <c r="K61" s="80"/>
      <c r="L61" s="186">
        <f t="shared" si="18"/>
        <v>16335.931320689653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235</v>
      </c>
      <c r="C62" s="18"/>
      <c r="D62" s="101"/>
      <c r="E62" s="178"/>
      <c r="F62" s="101"/>
      <c r="G62" s="57"/>
      <c r="H62" s="173">
        <f>B$6+1</f>
        <v>44739</v>
      </c>
      <c r="I62" s="176"/>
      <c r="J62" s="81">
        <f t="shared" si="0"/>
        <v>235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672.57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5.0442749999999998</v>
      </c>
      <c r="W63" s="191">
        <f t="shared" si="26"/>
        <v>0</v>
      </c>
      <c r="X63" s="191">
        <f t="shared" si="26"/>
        <v>0</v>
      </c>
      <c r="Y63" s="191">
        <f>SUM(Y43:Y62)</f>
        <v>667.52572500000008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32671.862641379306</v>
      </c>
      <c r="H64" s="184"/>
      <c r="I64" s="175"/>
      <c r="J64" s="81">
        <f t="shared" si="0"/>
        <v>0</v>
      </c>
      <c r="K64" s="80"/>
      <c r="L64" s="186">
        <f t="shared" si="18"/>
        <v>32671.862641379306</v>
      </c>
      <c r="M64" s="130"/>
      <c r="N64" s="87">
        <v>1</v>
      </c>
      <c r="O64" s="122" t="s">
        <v>229</v>
      </c>
      <c r="P64" s="87">
        <v>8830</v>
      </c>
      <c r="Q64" s="225"/>
      <c r="R64" s="221">
        <v>5.73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4.2974999999999999E-2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5.6870250000000002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28364.546599999998</v>
      </c>
      <c r="G65" s="22"/>
      <c r="L65" s="132"/>
      <c r="M65" s="131"/>
      <c r="N65" s="87">
        <v>2</v>
      </c>
      <c r="O65" s="122" t="s">
        <v>229</v>
      </c>
      <c r="P65" s="87"/>
      <c r="Q65" s="225"/>
      <c r="R65" s="221">
        <v>4.3600000000000003</v>
      </c>
      <c r="S65" s="87"/>
      <c r="T65" s="87"/>
      <c r="U65" s="189">
        <f t="shared" si="28"/>
        <v>0</v>
      </c>
      <c r="V65" s="189">
        <f t="shared" si="29"/>
        <v>3.27E-2</v>
      </c>
      <c r="W65" s="189">
        <f t="shared" si="30"/>
        <v>0</v>
      </c>
      <c r="X65" s="189">
        <f t="shared" si="31"/>
        <v>0</v>
      </c>
      <c r="Y65" s="189">
        <f t="shared" si="32"/>
        <v>4.3273000000000001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229</v>
      </c>
      <c r="P66" s="87"/>
      <c r="Q66" s="225"/>
      <c r="R66" s="225">
        <v>11.56</v>
      </c>
      <c r="S66" s="87"/>
      <c r="T66" s="87"/>
      <c r="U66" s="189">
        <f t="shared" si="28"/>
        <v>0</v>
      </c>
      <c r="V66" s="189">
        <f t="shared" si="29"/>
        <v>8.6699999999999999E-2</v>
      </c>
      <c r="W66" s="189">
        <f t="shared" si="30"/>
        <v>0</v>
      </c>
      <c r="X66" s="189">
        <f t="shared" si="31"/>
        <v>0</v>
      </c>
      <c r="Y66" s="189">
        <f t="shared" si="32"/>
        <v>11.4733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229</v>
      </c>
      <c r="P67" s="87"/>
      <c r="Q67" s="225"/>
      <c r="R67" s="225">
        <v>79</v>
      </c>
      <c r="S67" s="87"/>
      <c r="T67" s="87"/>
      <c r="U67" s="189">
        <f t="shared" si="28"/>
        <v>0</v>
      </c>
      <c r="V67" s="189">
        <f t="shared" si="29"/>
        <v>0.59250000000000003</v>
      </c>
      <c r="W67" s="189">
        <f t="shared" si="30"/>
        <v>0</v>
      </c>
      <c r="X67" s="189">
        <f t="shared" si="31"/>
        <v>0</v>
      </c>
      <c r="Y67" s="189">
        <f t="shared" si="32"/>
        <v>78.407499999999999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229</v>
      </c>
      <c r="P68" s="87"/>
      <c r="Q68" s="87"/>
      <c r="R68" s="225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28021.040000000001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100.65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0.75487499999999996</v>
      </c>
      <c r="W69" s="192">
        <f t="shared" si="34"/>
        <v>0</v>
      </c>
      <c r="X69" s="192">
        <f t="shared" si="34"/>
        <v>0</v>
      </c>
      <c r="Y69" s="192">
        <f t="shared" si="34"/>
        <v>99.895125000000007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228</v>
      </c>
      <c r="P70" s="87" t="s">
        <v>268</v>
      </c>
      <c r="Q70" s="87">
        <v>1001</v>
      </c>
      <c r="R70" s="236">
        <v>1992.99</v>
      </c>
      <c r="S70" s="87"/>
      <c r="T70" s="240">
        <v>183.66</v>
      </c>
      <c r="U70" s="189">
        <f t="shared" ref="U70:U74" si="35">((T70/U$10)*U$9)</f>
        <v>7.916379310344829</v>
      </c>
      <c r="V70" s="189">
        <f t="shared" ref="V70:V74" si="36">R70*V$10</f>
        <v>14.947424999999999</v>
      </c>
      <c r="W70" s="189">
        <f t="shared" ref="W70:W74" si="37">+S70*V$10</f>
        <v>0</v>
      </c>
      <c r="X70" s="189">
        <f t="shared" ref="X70:X74" si="38">+T70*X$10</f>
        <v>4.5914999999999999</v>
      </c>
      <c r="Y70" s="189">
        <f t="shared" ref="Y70:Z74" si="39">R70-V70</f>
        <v>1978.0425749999999</v>
      </c>
      <c r="Z70" s="189">
        <f t="shared" si="39"/>
        <v>0</v>
      </c>
      <c r="AA70" s="189">
        <f t="shared" ref="AA70:AA74" si="40">T70-U70-X70</f>
        <v>171.15212068965516</v>
      </c>
      <c r="AB70" s="87"/>
    </row>
    <row r="71" spans="1:30" ht="28.5" customHeight="1" thickBot="1" x14ac:dyDescent="0.3">
      <c r="A71" s="25" t="s">
        <v>56</v>
      </c>
      <c r="B71" s="70">
        <f>(B65-B69)-B72</f>
        <v>343.50659999999698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228</v>
      </c>
      <c r="P71" s="87">
        <v>178</v>
      </c>
      <c r="Q71" s="87">
        <v>2001</v>
      </c>
      <c r="R71" s="236">
        <v>418.56</v>
      </c>
      <c r="S71" s="87"/>
      <c r="T71" s="87"/>
      <c r="U71" s="189">
        <f t="shared" si="35"/>
        <v>0</v>
      </c>
      <c r="V71" s="189">
        <f t="shared" si="36"/>
        <v>3.1391999999999998</v>
      </c>
      <c r="W71" s="189">
        <f t="shared" si="37"/>
        <v>0</v>
      </c>
      <c r="X71" s="189">
        <f t="shared" si="38"/>
        <v>0</v>
      </c>
      <c r="Y71" s="189">
        <f t="shared" si="39"/>
        <v>415.42079999999999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228</v>
      </c>
      <c r="P72" s="87">
        <v>184</v>
      </c>
      <c r="Q72" s="87">
        <v>2001</v>
      </c>
      <c r="R72" s="236">
        <v>284.89</v>
      </c>
      <c r="S72" s="87"/>
      <c r="T72" s="87"/>
      <c r="U72" s="189">
        <f t="shared" si="35"/>
        <v>0</v>
      </c>
      <c r="V72" s="189">
        <f t="shared" si="36"/>
        <v>2.1366749999999999</v>
      </c>
      <c r="W72" s="189">
        <f t="shared" si="37"/>
        <v>0</v>
      </c>
      <c r="X72" s="189">
        <f t="shared" si="38"/>
        <v>0</v>
      </c>
      <c r="Y72" s="189">
        <f t="shared" si="39"/>
        <v>282.75332499999996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228</v>
      </c>
      <c r="P73" s="87">
        <v>185</v>
      </c>
      <c r="Q73" s="87">
        <v>2001</v>
      </c>
      <c r="R73" s="236">
        <v>42.79</v>
      </c>
      <c r="S73" s="87"/>
      <c r="T73" s="137"/>
      <c r="U73" s="189">
        <f t="shared" si="35"/>
        <v>0</v>
      </c>
      <c r="V73" s="189">
        <f t="shared" si="36"/>
        <v>0.32092499999999996</v>
      </c>
      <c r="W73" s="189">
        <f t="shared" si="37"/>
        <v>0</v>
      </c>
      <c r="X73" s="189">
        <f t="shared" si="38"/>
        <v>0</v>
      </c>
      <c r="Y73" s="189">
        <f t="shared" si="39"/>
        <v>42.469074999999997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65+60+20+10+80</f>
        <v>235</v>
      </c>
      <c r="S74" s="87"/>
      <c r="T74" s="87"/>
      <c r="U74" s="189">
        <f t="shared" si="35"/>
        <v>0</v>
      </c>
      <c r="V74" s="189">
        <f t="shared" si="36"/>
        <v>1.7625</v>
      </c>
      <c r="W74" s="189">
        <f t="shared" si="37"/>
        <v>0</v>
      </c>
      <c r="X74" s="189">
        <f t="shared" si="38"/>
        <v>0</v>
      </c>
      <c r="Y74" s="189">
        <f t="shared" si="39"/>
        <v>233.23750000000001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2974.23</v>
      </c>
      <c r="S75" s="192"/>
      <c r="T75" s="192">
        <f>SUM(T70:T74)</f>
        <v>183.66</v>
      </c>
      <c r="U75" s="192">
        <f>SUM(U70:U74)</f>
        <v>7.916379310344829</v>
      </c>
      <c r="V75" s="192">
        <f t="shared" ref="V75:AA75" si="42">SUM(V70:V74)</f>
        <v>22.306724999999997</v>
      </c>
      <c r="W75" s="192">
        <f t="shared" si="42"/>
        <v>0</v>
      </c>
      <c r="X75" s="192">
        <f t="shared" si="42"/>
        <v>4.5914999999999999</v>
      </c>
      <c r="Y75" s="192">
        <f t="shared" si="42"/>
        <v>2951.9232750000001</v>
      </c>
      <c r="Z75" s="192">
        <f t="shared" si="42"/>
        <v>0</v>
      </c>
      <c r="AA75" s="193">
        <f t="shared" si="42"/>
        <v>171.15212068965516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283.36</v>
      </c>
      <c r="Q78" s="87">
        <v>49.63</v>
      </c>
      <c r="R78" s="82">
        <v>7.4999999999999997E-3</v>
      </c>
      <c r="S78" s="194">
        <f>+(P78+Q78)*R78</f>
        <v>2.4974249999999998</v>
      </c>
      <c r="T78" s="219">
        <f>+(P78+Q78)-S78</f>
        <v>330.49257499999999</v>
      </c>
      <c r="U78" s="211">
        <v>67.739999999999995</v>
      </c>
      <c r="V78" s="112"/>
      <c r="W78" s="113">
        <v>1.4999999999999999E-2</v>
      </c>
      <c r="X78" s="196">
        <f>+(U78+V78)*W78</f>
        <v>1.0160999999999998</v>
      </c>
      <c r="Y78" s="217">
        <f>+(U78+V78)-X78</f>
        <v>66.7239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279.89</v>
      </c>
      <c r="Q79" s="87">
        <v>29.62</v>
      </c>
      <c r="R79" s="82">
        <v>7.4999999999999997E-3</v>
      </c>
      <c r="S79" s="194">
        <f t="shared" ref="S79:S97" si="44">+(P79+Q79)*R79</f>
        <v>2.3213249999999999</v>
      </c>
      <c r="T79" s="219">
        <f t="shared" ref="T79:T97" si="45">+(P79+Q79)-S79</f>
        <v>307.18867499999999</v>
      </c>
      <c r="U79" s="211">
        <v>97.22</v>
      </c>
      <c r="V79" s="112"/>
      <c r="W79" s="113">
        <v>1.4999999999999999E-2</v>
      </c>
      <c r="X79" s="196">
        <f t="shared" ref="X79:X97" si="46">+(U79+V79)*W79</f>
        <v>1.4582999999999999</v>
      </c>
      <c r="Y79" s="217">
        <f t="shared" ref="Y79:Y97" si="47">+(U79+V79)-X79</f>
        <v>95.761700000000005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21.06</v>
      </c>
      <c r="Q80" s="137"/>
      <c r="R80" s="82">
        <v>7.4999999999999997E-3</v>
      </c>
      <c r="S80" s="194">
        <f t="shared" si="44"/>
        <v>0.15794999999999998</v>
      </c>
      <c r="T80" s="219">
        <f t="shared" si="45"/>
        <v>20.902049999999999</v>
      </c>
      <c r="U80" s="211">
        <v>98.61</v>
      </c>
      <c r="V80" s="112"/>
      <c r="W80" s="113">
        <v>1.4999999999999999E-2</v>
      </c>
      <c r="X80" s="196">
        <f t="shared" si="46"/>
        <v>1.47915</v>
      </c>
      <c r="Y80" s="217">
        <f t="shared" si="47"/>
        <v>97.130849999999995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230.74</v>
      </c>
      <c r="Q81" s="137">
        <v>0</v>
      </c>
      <c r="R81" s="82">
        <v>7.4999999999999997E-3</v>
      </c>
      <c r="S81" s="194">
        <f t="shared" si="44"/>
        <v>1.73055</v>
      </c>
      <c r="T81" s="219">
        <f t="shared" si="45"/>
        <v>229.00945000000002</v>
      </c>
      <c r="U81" s="211">
        <v>58.2</v>
      </c>
      <c r="V81" s="112"/>
      <c r="W81" s="113">
        <v>1.4999999999999999E-2</v>
      </c>
      <c r="X81" s="196">
        <f t="shared" si="46"/>
        <v>0.873</v>
      </c>
      <c r="Y81" s="217">
        <f t="shared" si="47"/>
        <v>57.327000000000005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119.25</v>
      </c>
      <c r="Q82" s="87">
        <v>36.020000000000003</v>
      </c>
      <c r="R82" s="82">
        <v>7.4999999999999997E-3</v>
      </c>
      <c r="S82" s="194">
        <f t="shared" si="44"/>
        <v>1.164525</v>
      </c>
      <c r="T82" s="219">
        <f t="shared" si="45"/>
        <v>154.10547500000001</v>
      </c>
      <c r="U82" s="211">
        <v>57.94</v>
      </c>
      <c r="V82" s="112"/>
      <c r="W82" s="113">
        <v>1.4999999999999999E-2</v>
      </c>
      <c r="X82" s="196">
        <f t="shared" si="46"/>
        <v>0.86909999999999998</v>
      </c>
      <c r="Y82" s="217">
        <f t="shared" si="47"/>
        <v>57.070899999999995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266.35000000000002</v>
      </c>
      <c r="Q83" s="87">
        <v>4.5199999999999996</v>
      </c>
      <c r="R83" s="82">
        <v>7.4999999999999997E-3</v>
      </c>
      <c r="S83" s="194">
        <f t="shared" si="44"/>
        <v>2.0315249999999998</v>
      </c>
      <c r="T83" s="219">
        <f t="shared" si="45"/>
        <v>268.83847500000002</v>
      </c>
      <c r="U83" s="112">
        <v>94.65</v>
      </c>
      <c r="V83" s="112"/>
      <c r="W83" s="113">
        <v>1.4999999999999999E-2</v>
      </c>
      <c r="X83" s="196">
        <f t="shared" si="46"/>
        <v>1.4197500000000001</v>
      </c>
      <c r="Y83" s="217">
        <f t="shared" si="47"/>
        <v>93.230250000000012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>
        <v>23.06</v>
      </c>
      <c r="V84" s="112"/>
      <c r="W84" s="113">
        <v>1.4999999999999999E-2</v>
      </c>
      <c r="X84" s="196">
        <f t="shared" si="46"/>
        <v>0.34589999999999999</v>
      </c>
      <c r="Y84" s="217">
        <f t="shared" si="47"/>
        <v>22.714099999999998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12.7</v>
      </c>
      <c r="Q85" s="87">
        <v>26.33</v>
      </c>
      <c r="R85" s="82">
        <v>7.4999999999999997E-3</v>
      </c>
      <c r="S85" s="194">
        <f t="shared" si="44"/>
        <v>0.29272500000000001</v>
      </c>
      <c r="T85" s="219">
        <f t="shared" si="45"/>
        <v>38.737275000000004</v>
      </c>
      <c r="U85" s="112">
        <v>2.5299999999999998</v>
      </c>
      <c r="V85" s="112"/>
      <c r="W85" s="113">
        <v>1.4999999999999999E-2</v>
      </c>
      <c r="X85" s="196">
        <f t="shared" si="46"/>
        <v>3.7949999999999998E-2</v>
      </c>
      <c r="Y85" s="217">
        <f t="shared" si="47"/>
        <v>2.4920499999999999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48.02</v>
      </c>
      <c r="Q86" s="87"/>
      <c r="R86" s="82">
        <v>7.4999999999999997E-3</v>
      </c>
      <c r="S86" s="194">
        <f t="shared" si="44"/>
        <v>0.36015000000000003</v>
      </c>
      <c r="T86" s="219">
        <f t="shared" si="45"/>
        <v>47.659850000000006</v>
      </c>
      <c r="U86" s="211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36.44</v>
      </c>
      <c r="Q87" s="87">
        <v>103.64</v>
      </c>
      <c r="R87" s="82">
        <v>7.4999999999999997E-3</v>
      </c>
      <c r="S87" s="194">
        <f t="shared" si="44"/>
        <v>1.0505999999999998</v>
      </c>
      <c r="T87" s="219">
        <f t="shared" si="45"/>
        <v>139.02939999999998</v>
      </c>
      <c r="U87" s="112">
        <v>121.36</v>
      </c>
      <c r="V87" s="112"/>
      <c r="W87" s="113">
        <v>1.4999999999999999E-2</v>
      </c>
      <c r="X87" s="196">
        <f t="shared" si="46"/>
        <v>1.8204</v>
      </c>
      <c r="Y87" s="217">
        <f t="shared" si="47"/>
        <v>119.53959999999999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19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217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1297.8100000000002</v>
      </c>
      <c r="Q98" s="195">
        <f>SUM(Q78:Q97)</f>
        <v>249.76</v>
      </c>
      <c r="R98" s="111"/>
      <c r="S98" s="195">
        <f>SUM(S78:S97)</f>
        <v>11.606775000000001</v>
      </c>
      <c r="T98" s="195">
        <f>SUM(T78:T97)</f>
        <v>1535.963225</v>
      </c>
      <c r="U98" s="114">
        <f>SUM(U78:U97)</f>
        <v>621.30999999999995</v>
      </c>
      <c r="V98" s="114">
        <f>SUM(V78:V97)</f>
        <v>0</v>
      </c>
      <c r="W98" s="112"/>
      <c r="X98" s="197">
        <f>SUM(X78:X97)</f>
        <v>9.3196500000000011</v>
      </c>
      <c r="Y98" s="197">
        <f>SUM(Y78:Y97)</f>
        <v>611.99034999999992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 t="shared" ref="Q100:Q101" si="51">P78+Q78+U78</f>
        <v>400.73</v>
      </c>
      <c r="R100" s="84"/>
    </row>
    <row r="101" spans="14:30" x14ac:dyDescent="0.25">
      <c r="N101" s="85"/>
      <c r="P101" s="84"/>
      <c r="Q101" s="215">
        <f t="shared" si="51"/>
        <v>406.73</v>
      </c>
      <c r="R101" s="84"/>
    </row>
    <row r="102" spans="14:30" x14ac:dyDescent="0.25">
      <c r="N102" s="85"/>
      <c r="P102" s="84"/>
      <c r="Q102" s="215">
        <f>P80+Q80+U80</f>
        <v>119.67</v>
      </c>
      <c r="R102" s="84"/>
    </row>
    <row r="103" spans="14:30" x14ac:dyDescent="0.25">
      <c r="N103" s="85"/>
      <c r="P103" s="84"/>
      <c r="Q103" s="215">
        <f>P81+Q81+U81</f>
        <v>288.94</v>
      </c>
      <c r="R103" s="84"/>
    </row>
    <row r="104" spans="14:30" x14ac:dyDescent="0.25">
      <c r="N104" s="85"/>
      <c r="P104" s="84"/>
      <c r="Q104" s="215">
        <f>P82+Q82+U82</f>
        <v>213.21</v>
      </c>
      <c r="R104" s="84"/>
    </row>
    <row r="105" spans="14:30" x14ac:dyDescent="0.25">
      <c r="N105" s="85"/>
      <c r="P105" s="84"/>
      <c r="Q105" s="215">
        <f>P83+Q83+U83</f>
        <v>365.52</v>
      </c>
      <c r="R105" s="84"/>
      <c r="T105" s="85">
        <v>464.36</v>
      </c>
      <c r="U105" s="85">
        <v>62.77</v>
      </c>
      <c r="V105" s="85">
        <v>123.89</v>
      </c>
    </row>
    <row r="106" spans="14:30" x14ac:dyDescent="0.25">
      <c r="N106" s="85"/>
      <c r="P106" s="84"/>
      <c r="Q106" s="215">
        <f t="shared" ref="Q106:Q109" si="52">P84+Q84+U84</f>
        <v>23.06</v>
      </c>
      <c r="R106" s="84"/>
    </row>
    <row r="107" spans="14:30" x14ac:dyDescent="0.25">
      <c r="N107" s="85"/>
      <c r="P107" s="84"/>
      <c r="Q107" s="215">
        <f>P85+Q85+U85</f>
        <v>41.56</v>
      </c>
      <c r="R107" s="84"/>
    </row>
    <row r="108" spans="14:30" x14ac:dyDescent="0.25">
      <c r="N108" s="85"/>
      <c r="Q108" s="215">
        <f>P86+Q86+U86</f>
        <v>48.02</v>
      </c>
    </row>
    <row r="109" spans="14:30" x14ac:dyDescent="0.25">
      <c r="N109" s="85"/>
      <c r="Q109" s="215">
        <f t="shared" si="52"/>
        <v>261.44</v>
      </c>
    </row>
    <row r="110" spans="14:30" x14ac:dyDescent="0.25">
      <c r="N110" s="85"/>
      <c r="Q110" s="233">
        <f>P88+Q88+U88</f>
        <v>0</v>
      </c>
    </row>
    <row r="111" spans="14:30" x14ac:dyDescent="0.25">
      <c r="N111" s="85"/>
      <c r="Q111" s="85">
        <f>P90+Q90+U90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C70" sqref="C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44769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5.75</v>
      </c>
      <c r="C8" s="85" t="s">
        <v>92</v>
      </c>
      <c r="D8" s="108"/>
    </row>
    <row r="9" spans="1:28" x14ac:dyDescent="0.25">
      <c r="A9" s="7" t="s">
        <v>76</v>
      </c>
      <c r="B9" s="108">
        <v>5.77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1156.5</v>
      </c>
      <c r="C12" s="15"/>
      <c r="D12" s="56"/>
      <c r="E12" s="16"/>
      <c r="F12" s="56"/>
      <c r="G12" s="56"/>
      <c r="H12" s="17"/>
      <c r="I12" s="83">
        <v>1156.5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197</v>
      </c>
      <c r="Q12" s="158">
        <v>11</v>
      </c>
      <c r="R12" s="244">
        <v>844.98</v>
      </c>
      <c r="S12" s="160"/>
      <c r="T12" s="160">
        <v>176.77</v>
      </c>
      <c r="U12" s="189">
        <f>((T12/U$10)*U$9)</f>
        <v>7.6193965517241402</v>
      </c>
      <c r="V12" s="189">
        <f>R12*V$10</f>
        <v>6.3373499999999998</v>
      </c>
      <c r="W12" s="189">
        <f>+S12*V$10</f>
        <v>0</v>
      </c>
      <c r="X12" s="189">
        <f>+T12*X$10</f>
        <v>4.4192500000000008</v>
      </c>
      <c r="Y12" s="189">
        <f>R12-V12</f>
        <v>838.64265</v>
      </c>
      <c r="Z12" s="189">
        <f>S12-W12</f>
        <v>0</v>
      </c>
      <c r="AA12" s="189">
        <f>T12-U12-X12</f>
        <v>164.73135344827585</v>
      </c>
      <c r="AB12" s="156"/>
    </row>
    <row r="13" spans="1:28" ht="15.75" x14ac:dyDescent="0.25">
      <c r="A13" s="86" t="s">
        <v>74</v>
      </c>
      <c r="B13" s="89">
        <v>1377</v>
      </c>
      <c r="C13" s="15"/>
      <c r="D13" s="56"/>
      <c r="E13" s="16"/>
      <c r="F13" s="56"/>
      <c r="G13" s="56"/>
      <c r="H13" s="17"/>
      <c r="I13" s="83">
        <v>1377</v>
      </c>
      <c r="J13" s="257">
        <f>B13-I13</f>
        <v>0</v>
      </c>
      <c r="K13" s="75"/>
      <c r="L13" s="186">
        <f t="shared" ref="L13:L42" si="0">+G13-K13</f>
        <v>0</v>
      </c>
      <c r="M13" s="106"/>
      <c r="N13" s="104">
        <v>2</v>
      </c>
      <c r="O13" s="152" t="s">
        <v>68</v>
      </c>
      <c r="P13" s="158">
        <v>198</v>
      </c>
      <c r="Q13" s="158">
        <v>11</v>
      </c>
      <c r="R13" s="244">
        <v>871.16</v>
      </c>
      <c r="S13" s="160"/>
      <c r="T13" s="161">
        <v>16.510000000000002</v>
      </c>
      <c r="U13" s="189">
        <f t="shared" ref="U13:U41" si="1">((T13/U$10)*U$9)</f>
        <v>0.71163793103448292</v>
      </c>
      <c r="V13" s="189">
        <f t="shared" ref="V13:V41" si="2">R13*V$10</f>
        <v>6.5336999999999996</v>
      </c>
      <c r="W13" s="189">
        <f t="shared" ref="W13:W41" si="3">+S13*V$10</f>
        <v>0</v>
      </c>
      <c r="X13" s="189">
        <f t="shared" ref="X13:X41" si="4">+T13*X$10</f>
        <v>0.41275000000000006</v>
      </c>
      <c r="Y13" s="189">
        <f t="shared" ref="Y13:Z41" si="5">R13-V13</f>
        <v>864.62630000000001</v>
      </c>
      <c r="Z13" s="189">
        <f t="shared" si="5"/>
        <v>0</v>
      </c>
      <c r="AA13" s="189">
        <f t="shared" ref="AA13:AA41" si="6">T13-U13-X13</f>
        <v>15.385612068965518</v>
      </c>
      <c r="AB13" s="156"/>
    </row>
    <row r="14" spans="1:28" ht="15.75" x14ac:dyDescent="0.25">
      <c r="A14" s="86" t="s">
        <v>81</v>
      </c>
      <c r="B14" s="57">
        <f>B13*B8</f>
        <v>7917.75</v>
      </c>
      <c r="C14" s="15"/>
      <c r="D14" s="56"/>
      <c r="E14" s="16"/>
      <c r="F14" s="56"/>
      <c r="G14" s="56"/>
      <c r="H14" s="17"/>
      <c r="I14" s="83">
        <v>7917.75</v>
      </c>
      <c r="J14" s="81">
        <f>B14-I14</f>
        <v>0</v>
      </c>
      <c r="K14" s="80"/>
      <c r="L14" s="186">
        <f t="shared" si="0"/>
        <v>0</v>
      </c>
      <c r="M14" s="107"/>
      <c r="N14" s="104">
        <v>3</v>
      </c>
      <c r="O14" s="152" t="s">
        <v>68</v>
      </c>
      <c r="P14" s="158">
        <v>581</v>
      </c>
      <c r="Q14" s="158">
        <v>2</v>
      </c>
      <c r="R14" s="244">
        <v>358.08</v>
      </c>
      <c r="S14" s="160"/>
      <c r="T14" s="161"/>
      <c r="U14" s="189">
        <f t="shared" si="1"/>
        <v>0</v>
      </c>
      <c r="V14" s="189">
        <f t="shared" si="2"/>
        <v>2.6856</v>
      </c>
      <c r="W14" s="189">
        <f t="shared" si="3"/>
        <v>0</v>
      </c>
      <c r="X14" s="189">
        <f t="shared" si="4"/>
        <v>0</v>
      </c>
      <c r="Y14" s="189">
        <f t="shared" si="5"/>
        <v>355.39439999999996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77</v>
      </c>
      <c r="B15" s="56">
        <v>262</v>
      </c>
      <c r="C15" s="15"/>
      <c r="D15" s="56"/>
      <c r="E15" s="16"/>
      <c r="F15" s="56"/>
      <c r="G15" s="56"/>
      <c r="H15" s="17"/>
      <c r="I15" s="83">
        <v>262</v>
      </c>
      <c r="J15" s="81">
        <f t="shared" ref="J15:J64" si="7">B15-I15</f>
        <v>0</v>
      </c>
      <c r="K15" s="80"/>
      <c r="L15" s="186">
        <f t="shared" si="0"/>
        <v>0</v>
      </c>
      <c r="M15" s="107"/>
      <c r="N15" s="104">
        <v>4</v>
      </c>
      <c r="O15" s="152" t="s">
        <v>68</v>
      </c>
      <c r="P15" s="158">
        <v>582</v>
      </c>
      <c r="Q15" s="158">
        <v>2</v>
      </c>
      <c r="R15" s="244">
        <v>579.39</v>
      </c>
      <c r="S15" s="160"/>
      <c r="T15" s="161"/>
      <c r="U15" s="189">
        <f t="shared" si="1"/>
        <v>0</v>
      </c>
      <c r="V15" s="189">
        <f t="shared" si="2"/>
        <v>4.3454249999999996</v>
      </c>
      <c r="W15" s="189">
        <f t="shared" si="3"/>
        <v>0</v>
      </c>
      <c r="X15" s="189">
        <f t="shared" si="4"/>
        <v>0</v>
      </c>
      <c r="Y15" s="189">
        <f t="shared" si="5"/>
        <v>575.04457500000001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81</v>
      </c>
      <c r="B16" s="57">
        <f>B15*B9</f>
        <v>1511.7399999999998</v>
      </c>
      <c r="C16" s="15"/>
      <c r="D16" s="56"/>
      <c r="E16" s="16"/>
      <c r="F16" s="56"/>
      <c r="G16" s="56"/>
      <c r="H16" s="17"/>
      <c r="I16" s="83">
        <v>1511.741</v>
      </c>
      <c r="J16" s="81">
        <f t="shared" si="7"/>
        <v>-1.0000000002037268E-3</v>
      </c>
      <c r="K16" s="80"/>
      <c r="L16" s="186">
        <f t="shared" si="0"/>
        <v>0</v>
      </c>
      <c r="M16" s="107"/>
      <c r="N16" s="104">
        <v>5</v>
      </c>
      <c r="O16" s="152" t="s">
        <v>68</v>
      </c>
      <c r="P16" s="158">
        <v>561</v>
      </c>
      <c r="Q16" s="158">
        <v>4</v>
      </c>
      <c r="R16" s="244">
        <v>671.46</v>
      </c>
      <c r="S16" s="160"/>
      <c r="T16" s="161"/>
      <c r="U16" s="189">
        <f t="shared" si="1"/>
        <v>0</v>
      </c>
      <c r="V16" s="189">
        <f t="shared" si="2"/>
        <v>5.0359499999999997</v>
      </c>
      <c r="W16" s="189">
        <f t="shared" si="3"/>
        <v>0</v>
      </c>
      <c r="X16" s="189">
        <f t="shared" si="4"/>
        <v>0</v>
      </c>
      <c r="Y16" s="189">
        <f t="shared" si="5"/>
        <v>666.42405000000008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68</v>
      </c>
      <c r="P17" s="158">
        <v>562</v>
      </c>
      <c r="Q17" s="158">
        <v>4</v>
      </c>
      <c r="R17" s="244">
        <v>2242.3000000000002</v>
      </c>
      <c r="S17" s="160"/>
      <c r="T17" s="161">
        <v>39.380000000000003</v>
      </c>
      <c r="U17" s="189">
        <f t="shared" si="1"/>
        <v>1.6974137931034485</v>
      </c>
      <c r="V17" s="189">
        <f t="shared" si="2"/>
        <v>16.817250000000001</v>
      </c>
      <c r="W17" s="189">
        <f t="shared" si="3"/>
        <v>0</v>
      </c>
      <c r="X17" s="189">
        <f t="shared" si="4"/>
        <v>0.98450000000000015</v>
      </c>
      <c r="Y17" s="189">
        <f t="shared" si="5"/>
        <v>2225.4827500000001</v>
      </c>
      <c r="Z17" s="189">
        <f t="shared" si="5"/>
        <v>0</v>
      </c>
      <c r="AA17" s="189">
        <f t="shared" si="6"/>
        <v>36.698086206896555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68</v>
      </c>
      <c r="P18" s="158">
        <v>647</v>
      </c>
      <c r="Q18" s="158">
        <v>18</v>
      </c>
      <c r="R18" s="244">
        <v>701.58</v>
      </c>
      <c r="S18" s="160"/>
      <c r="T18" s="161"/>
      <c r="U18" s="189">
        <f t="shared" si="1"/>
        <v>0</v>
      </c>
      <c r="V18" s="189">
        <f t="shared" si="2"/>
        <v>5.2618499999999999</v>
      </c>
      <c r="W18" s="189">
        <f t="shared" si="3"/>
        <v>0</v>
      </c>
      <c r="X18" s="189">
        <f t="shared" si="4"/>
        <v>0</v>
      </c>
      <c r="Y18" s="189">
        <f t="shared" si="5"/>
        <v>696.31815000000006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79</v>
      </c>
      <c r="B19" s="97">
        <f>B13+B15</f>
        <v>1639</v>
      </c>
      <c r="C19" s="95"/>
      <c r="D19" s="94"/>
      <c r="E19" s="96"/>
      <c r="F19" s="94"/>
      <c r="G19" s="94"/>
      <c r="H19" s="98"/>
      <c r="I19" s="99">
        <v>1639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68</v>
      </c>
      <c r="P19" s="158">
        <v>648</v>
      </c>
      <c r="Q19" s="158">
        <v>18</v>
      </c>
      <c r="R19" s="244">
        <v>693.18</v>
      </c>
      <c r="S19" s="160"/>
      <c r="T19" s="161">
        <v>7.59</v>
      </c>
      <c r="U19" s="189">
        <f t="shared" si="1"/>
        <v>0.3271551724137931</v>
      </c>
      <c r="V19" s="189">
        <f t="shared" si="2"/>
        <v>5.1988499999999993</v>
      </c>
      <c r="W19" s="189">
        <f t="shared" si="3"/>
        <v>0</v>
      </c>
      <c r="X19" s="189">
        <f t="shared" si="4"/>
        <v>0.18975</v>
      </c>
      <c r="Y19" s="189">
        <f t="shared" si="5"/>
        <v>687.98114999999996</v>
      </c>
      <c r="Z19" s="189">
        <f t="shared" si="5"/>
        <v>0</v>
      </c>
      <c r="AA19" s="189">
        <f t="shared" si="6"/>
        <v>7.0730948275862069</v>
      </c>
      <c r="AB19" s="156"/>
    </row>
    <row r="20" spans="1:28" ht="15.75" x14ac:dyDescent="0.25">
      <c r="A20" s="93" t="s">
        <v>80</v>
      </c>
      <c r="B20" s="97">
        <f>+B14+B16+B18</f>
        <v>9429.49</v>
      </c>
      <c r="C20" s="95"/>
      <c r="D20" s="94"/>
      <c r="E20" s="96"/>
      <c r="F20" s="94"/>
      <c r="G20" s="94"/>
      <c r="H20" s="98"/>
      <c r="I20" s="99">
        <v>9457.0300000000007</v>
      </c>
      <c r="J20" s="185">
        <f t="shared" si="7"/>
        <v>-27.540000000000873</v>
      </c>
      <c r="K20" s="99"/>
      <c r="L20" s="187">
        <f t="shared" si="0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41.25</v>
      </c>
      <c r="C37" s="100"/>
      <c r="D37" s="66"/>
      <c r="E37" s="67"/>
      <c r="F37" s="66"/>
      <c r="G37" s="66"/>
      <c r="H37" s="102"/>
      <c r="I37" s="79">
        <v>41.25</v>
      </c>
      <c r="J37" s="81">
        <f t="shared" si="7"/>
        <v>0</v>
      </c>
      <c r="K37" s="80">
        <f>2.69+15.71+22.85</f>
        <v>41.25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237.1875</v>
      </c>
      <c r="C38" s="100"/>
      <c r="D38" s="66"/>
      <c r="E38" s="67"/>
      <c r="F38" s="66"/>
      <c r="G38" s="66"/>
      <c r="H38" s="102"/>
      <c r="I38" s="79">
        <v>237.19</v>
      </c>
      <c r="J38" s="81">
        <f t="shared" si="7"/>
        <v>-2.4999999999977263E-3</v>
      </c>
      <c r="K38" s="80">
        <v>237.19</v>
      </c>
      <c r="L38" s="186">
        <f t="shared" si="8"/>
        <v>2.4999999999977263E-3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6962.13</v>
      </c>
      <c r="S42" s="190">
        <f t="shared" si="9"/>
        <v>0</v>
      </c>
      <c r="T42" s="190">
        <f t="shared" si="9"/>
        <v>240.25</v>
      </c>
      <c r="U42" s="190">
        <f t="shared" si="9"/>
        <v>10.355603448275865</v>
      </c>
      <c r="V42" s="190">
        <f t="shared" si="9"/>
        <v>52.215975</v>
      </c>
      <c r="W42" s="190">
        <f t="shared" si="9"/>
        <v>0</v>
      </c>
      <c r="X42" s="190">
        <f t="shared" si="9"/>
        <v>6.0062500000000014</v>
      </c>
      <c r="Y42" s="190">
        <f t="shared" si="9"/>
        <v>6909.914025</v>
      </c>
      <c r="Z42" s="190">
        <f t="shared" si="9"/>
        <v>0</v>
      </c>
      <c r="AA42" s="190">
        <f t="shared" si="9"/>
        <v>223.88814655172413</v>
      </c>
      <c r="AB42" s="166"/>
    </row>
    <row r="43" spans="1:28" ht="15.75" x14ac:dyDescent="0.25">
      <c r="A43" s="93" t="s">
        <v>101</v>
      </c>
      <c r="B43" s="97">
        <f>+B37+B39+B41</f>
        <v>41.25</v>
      </c>
      <c r="C43" s="95"/>
      <c r="D43" s="94"/>
      <c r="E43" s="96"/>
      <c r="F43" s="94"/>
      <c r="G43" s="94"/>
      <c r="H43" s="98"/>
      <c r="I43" s="99">
        <v>41.25</v>
      </c>
      <c r="J43" s="185">
        <f t="shared" si="7"/>
        <v>0</v>
      </c>
      <c r="K43" s="99">
        <v>41.25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676.64</v>
      </c>
      <c r="S43" s="160"/>
      <c r="T43" s="160">
        <v>12.88</v>
      </c>
      <c r="U43" s="189">
        <f t="shared" ref="U43:U62" si="10">((T43/U$10)*U$9)</f>
        <v>0.55517241379310356</v>
      </c>
      <c r="V43" s="189">
        <f t="shared" ref="V43:V62" si="11">R43*V$10</f>
        <v>5.0747999999999998</v>
      </c>
      <c r="W43" s="189">
        <f t="shared" ref="W43:W62" si="12">+S43*V$10</f>
        <v>0</v>
      </c>
      <c r="X43" s="189">
        <f t="shared" ref="X43:X62" si="13">+T43*X$10</f>
        <v>0.32200000000000006</v>
      </c>
      <c r="Y43" s="189">
        <f t="shared" ref="Y43:Z58" si="14">R43-V43</f>
        <v>671.5652</v>
      </c>
      <c r="Z43" s="189">
        <f t="shared" si="14"/>
        <v>0</v>
      </c>
      <c r="AA43" s="189">
        <f t="shared" ref="AA43:AA62" si="15">T43-U43-X43</f>
        <v>12.002827586206898</v>
      </c>
      <c r="AB43" s="156"/>
    </row>
    <row r="44" spans="1:28" ht="15.75" x14ac:dyDescent="0.25">
      <c r="A44" s="93" t="s">
        <v>102</v>
      </c>
      <c r="B44" s="97">
        <f>+B38+B40+B42</f>
        <v>237.1875</v>
      </c>
      <c r="C44" s="95"/>
      <c r="D44" s="94"/>
      <c r="E44" s="96"/>
      <c r="F44" s="94"/>
      <c r="G44" s="94"/>
      <c r="H44" s="98"/>
      <c r="I44" s="99">
        <v>237.19</v>
      </c>
      <c r="J44" s="185">
        <f t="shared" si="7"/>
        <v>-2.4999999999977263E-3</v>
      </c>
      <c r="K44" s="99">
        <v>237.19</v>
      </c>
      <c r="L44" s="187">
        <f>K44-B44</f>
        <v>2.4999999999977263E-3</v>
      </c>
      <c r="M44" s="107"/>
      <c r="N44" s="104">
        <v>2</v>
      </c>
      <c r="O44" s="167" t="s">
        <v>69</v>
      </c>
      <c r="P44" s="158"/>
      <c r="Q44" s="158"/>
      <c r="R44" s="160">
        <v>898.84</v>
      </c>
      <c r="S44" s="160"/>
      <c r="T44" s="160">
        <v>320.68</v>
      </c>
      <c r="U44" s="189">
        <f t="shared" si="10"/>
        <v>13.822413793103451</v>
      </c>
      <c r="V44" s="189">
        <f t="shared" si="11"/>
        <v>6.7412999999999998</v>
      </c>
      <c r="W44" s="189">
        <f t="shared" si="12"/>
        <v>0</v>
      </c>
      <c r="X44" s="189">
        <f t="shared" si="13"/>
        <v>8.0170000000000012</v>
      </c>
      <c r="Y44" s="189">
        <f t="shared" si="14"/>
        <v>892.09870000000001</v>
      </c>
      <c r="Z44" s="189">
        <f t="shared" si="14"/>
        <v>0</v>
      </c>
      <c r="AA44" s="189">
        <f t="shared" si="15"/>
        <v>298.84058620689655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6962.13</v>
      </c>
      <c r="C46" s="116">
        <v>7.4999999999999997E-3</v>
      </c>
      <c r="D46" s="117">
        <f>B46*C46</f>
        <v>52.215975</v>
      </c>
      <c r="E46" s="172">
        <v>0</v>
      </c>
      <c r="F46" s="117">
        <f t="shared" ref="F46:F50" si="16">D46*E46</f>
        <v>0</v>
      </c>
      <c r="G46" s="117">
        <f t="shared" ref="G46:G51" si="17">B46-D46-F46</f>
        <v>6909.914025</v>
      </c>
      <c r="H46" s="173">
        <f>B$6+1</f>
        <v>44770</v>
      </c>
      <c r="I46" s="174">
        <v>6962.13</v>
      </c>
      <c r="J46" s="81">
        <f t="shared" si="7"/>
        <v>0</v>
      </c>
      <c r="K46" s="80"/>
      <c r="L46" s="186">
        <f t="shared" ref="L46:L64" si="18">+G46-K46</f>
        <v>6909.914025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1575.48</v>
      </c>
      <c r="C47" s="116">
        <v>7.4999999999999997E-3</v>
      </c>
      <c r="D47" s="117">
        <f t="shared" ref="D47:D50" si="19">B47*C47</f>
        <v>11.8161</v>
      </c>
      <c r="E47" s="172">
        <v>0</v>
      </c>
      <c r="F47" s="117">
        <f t="shared" si="16"/>
        <v>0</v>
      </c>
      <c r="G47" s="117">
        <f t="shared" si="17"/>
        <v>1563.6639</v>
      </c>
      <c r="H47" s="173">
        <f>B$6+1</f>
        <v>44770</v>
      </c>
      <c r="I47" s="175">
        <v>1575.48</v>
      </c>
      <c r="J47" s="81">
        <f t="shared" si="7"/>
        <v>0</v>
      </c>
      <c r="K47" s="80"/>
      <c r="L47" s="186">
        <f t="shared" si="18"/>
        <v>1563.6639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64.77000000000001</v>
      </c>
      <c r="C48" s="116">
        <v>7.4999999999999997E-3</v>
      </c>
      <c r="D48" s="117">
        <f t="shared" si="19"/>
        <v>0.48577500000000007</v>
      </c>
      <c r="E48" s="172">
        <v>0</v>
      </c>
      <c r="F48" s="117">
        <f t="shared" si="16"/>
        <v>0</v>
      </c>
      <c r="G48" s="117">
        <f t="shared" si="17"/>
        <v>64.284225000000006</v>
      </c>
      <c r="H48" s="173">
        <f t="shared" ref="H48:H61" si="20">B$6+1</f>
        <v>44770</v>
      </c>
      <c r="I48" s="176">
        <v>64.77</v>
      </c>
      <c r="J48" s="81">
        <f t="shared" si="7"/>
        <v>0</v>
      </c>
      <c r="K48" s="80"/>
      <c r="L48" s="186">
        <f t="shared" si="18"/>
        <v>64.284225000000006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230</v>
      </c>
      <c r="B49" s="117">
        <f>R75</f>
        <v>2523.62</v>
      </c>
      <c r="C49" s="116">
        <v>7.4999999999999997E-3</v>
      </c>
      <c r="D49" s="117">
        <f t="shared" si="19"/>
        <v>18.927149999999997</v>
      </c>
      <c r="E49" s="172">
        <v>0</v>
      </c>
      <c r="F49" s="117">
        <f t="shared" si="16"/>
        <v>0</v>
      </c>
      <c r="G49" s="117">
        <f t="shared" si="17"/>
        <v>2504.6928499999999</v>
      </c>
      <c r="H49" s="173">
        <f t="shared" si="20"/>
        <v>44770</v>
      </c>
      <c r="I49" s="176">
        <f>2159.31</f>
        <v>2159.31</v>
      </c>
      <c r="J49" s="81">
        <f t="shared" si="7"/>
        <v>364.30999999999995</v>
      </c>
      <c r="K49" s="80"/>
      <c r="L49" s="186">
        <f t="shared" si="18"/>
        <v>2504.6928499999999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2481.1800000000003</v>
      </c>
      <c r="C50" s="116">
        <v>7.4999999999999997E-3</v>
      </c>
      <c r="D50" s="117">
        <f t="shared" si="19"/>
        <v>18.60885</v>
      </c>
      <c r="E50" s="172">
        <v>0</v>
      </c>
      <c r="F50" s="117">
        <f t="shared" si="16"/>
        <v>0</v>
      </c>
      <c r="G50" s="117">
        <f t="shared" si="17"/>
        <v>2462.5711500000002</v>
      </c>
      <c r="H50" s="173">
        <f t="shared" si="20"/>
        <v>44770</v>
      </c>
      <c r="I50" s="175"/>
      <c r="J50" s="81">
        <f t="shared" si="7"/>
        <v>2481.1800000000003</v>
      </c>
      <c r="K50" s="80"/>
      <c r="L50" s="186">
        <f t="shared" si="18"/>
        <v>2462.5711500000002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1042.58</v>
      </c>
      <c r="C51" s="116">
        <v>1.4999999999999999E-2</v>
      </c>
      <c r="D51" s="117">
        <f>+B51*C51</f>
        <v>15.638699999999998</v>
      </c>
      <c r="E51" s="172">
        <v>0</v>
      </c>
      <c r="F51" s="117">
        <f>D51*E51</f>
        <v>0</v>
      </c>
      <c r="G51" s="117">
        <f t="shared" si="17"/>
        <v>1026.9413</v>
      </c>
      <c r="H51" s="173">
        <f t="shared" si="20"/>
        <v>44770</v>
      </c>
      <c r="I51" s="175">
        <v>3511.91</v>
      </c>
      <c r="J51" s="81">
        <f t="shared" si="7"/>
        <v>-2469.33</v>
      </c>
      <c r="K51" s="80"/>
      <c r="L51" s="186">
        <f t="shared" si="18"/>
        <v>1026.9413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240.25</v>
      </c>
      <c r="C52" s="116">
        <v>2.5000000000000001E-2</v>
      </c>
      <c r="D52" s="117">
        <f>B52*C52</f>
        <v>6.0062500000000005</v>
      </c>
      <c r="E52" s="172">
        <v>0.05</v>
      </c>
      <c r="F52" s="117">
        <f>(B52/E$10)*E52</f>
        <v>10.355603448275865</v>
      </c>
      <c r="G52" s="117">
        <f>B52-D52-F52</f>
        <v>223.88814655172413</v>
      </c>
      <c r="H52" s="188">
        <f t="shared" si="20"/>
        <v>44770</v>
      </c>
      <c r="I52" s="176">
        <v>560.33000000000004</v>
      </c>
      <c r="J52" s="81">
        <f t="shared" si="7"/>
        <v>-320.08000000000004</v>
      </c>
      <c r="K52" s="80"/>
      <c r="L52" s="186">
        <f t="shared" si="18"/>
        <v>223.88814655172413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333.56</v>
      </c>
      <c r="C53" s="116">
        <v>2.5000000000000001E-2</v>
      </c>
      <c r="D53" s="117">
        <f t="shared" ref="D53:D56" si="21">B53*C53</f>
        <v>8.3390000000000004</v>
      </c>
      <c r="E53" s="172">
        <v>0.05</v>
      </c>
      <c r="F53" s="117">
        <f t="shared" ref="F53:F56" si="22">(B53/E$10)*E53</f>
        <v>14.377586206896552</v>
      </c>
      <c r="G53" s="117">
        <f t="shared" ref="G53:G58" si="23">B53-D53-F53</f>
        <v>310.84341379310342</v>
      </c>
      <c r="H53" s="188">
        <f t="shared" si="20"/>
        <v>44770</v>
      </c>
      <c r="I53" s="176">
        <f>12.88</f>
        <v>12.88</v>
      </c>
      <c r="J53" s="81">
        <f t="shared" si="7"/>
        <v>320.68</v>
      </c>
      <c r="K53" s="80"/>
      <c r="L53" s="186">
        <f t="shared" si="18"/>
        <v>310.84341379310342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175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44770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44770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44770</v>
      </c>
      <c r="I56" s="176"/>
      <c r="J56" s="81">
        <f t="shared" si="7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44772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44774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44799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132.0378</v>
      </c>
      <c r="E61" s="177"/>
      <c r="F61" s="57">
        <f>SUM(F46:F58)</f>
        <v>24.733189655172417</v>
      </c>
      <c r="G61" s="57">
        <f>SUM(G46:G58)</f>
        <v>15066.799010344826</v>
      </c>
      <c r="H61" s="173">
        <f t="shared" si="20"/>
        <v>44770</v>
      </c>
      <c r="I61" s="175"/>
      <c r="J61" s="81">
        <f t="shared" si="7"/>
        <v>0</v>
      </c>
      <c r="K61" s="80"/>
      <c r="L61" s="186">
        <f t="shared" si="18"/>
        <v>15066.799010344826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f>12+365</f>
        <v>377</v>
      </c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7"/>
        <v>377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1575.48</v>
      </c>
      <c r="S63" s="191">
        <f>SUM(S43:S62)</f>
        <v>0</v>
      </c>
      <c r="T63" s="191">
        <f>SUM(T43:T62)</f>
        <v>333.56</v>
      </c>
      <c r="U63" s="191">
        <f t="shared" ref="U63:X63" si="26">SUM(U43:U62)</f>
        <v>14.377586206896554</v>
      </c>
      <c r="V63" s="191">
        <f t="shared" si="26"/>
        <v>11.816099999999999</v>
      </c>
      <c r="W63" s="191">
        <f t="shared" si="26"/>
        <v>0</v>
      </c>
      <c r="X63" s="191">
        <f t="shared" si="26"/>
        <v>8.3390000000000022</v>
      </c>
      <c r="Y63" s="191">
        <f>SUM(Y43:Y62)</f>
        <v>1563.6639</v>
      </c>
      <c r="Z63" s="191">
        <f t="shared" ref="Z63:AA63" si="27">SUM(Z43:Z62)</f>
        <v>0</v>
      </c>
      <c r="AA63" s="191">
        <f t="shared" si="27"/>
        <v>310.84341379310342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30133.598020689653</v>
      </c>
      <c r="H64" s="184"/>
      <c r="I64" s="175"/>
      <c r="J64" s="81">
        <f t="shared" si="7"/>
        <v>0</v>
      </c>
      <c r="K64" s="80"/>
      <c r="L64" s="186">
        <f t="shared" si="18"/>
        <v>30133.598020689653</v>
      </c>
      <c r="M64" s="130"/>
      <c r="N64" s="87">
        <v>1</v>
      </c>
      <c r="O64" s="122" t="s">
        <v>243</v>
      </c>
      <c r="P64" s="87"/>
      <c r="Q64" s="225"/>
      <c r="R64" s="225">
        <v>11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8.249999999999999E-2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10.9175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25669.747500000001</v>
      </c>
      <c r="G65" s="22"/>
      <c r="L65" s="132"/>
      <c r="M65" s="131"/>
      <c r="N65" s="87">
        <v>2</v>
      </c>
      <c r="O65" s="122" t="s">
        <v>243</v>
      </c>
      <c r="P65" s="87"/>
      <c r="Q65" s="225"/>
      <c r="R65" s="225">
        <v>53.77</v>
      </c>
      <c r="S65" s="225"/>
      <c r="T65" s="87"/>
      <c r="U65" s="189">
        <f t="shared" si="28"/>
        <v>0</v>
      </c>
      <c r="V65" s="189">
        <f t="shared" si="29"/>
        <v>0.40327499999999999</v>
      </c>
      <c r="W65" s="189">
        <f t="shared" si="30"/>
        <v>0</v>
      </c>
      <c r="X65" s="189">
        <f t="shared" si="31"/>
        <v>0</v>
      </c>
      <c r="Y65" s="189">
        <f t="shared" si="32"/>
        <v>53.366725000000002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243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173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25380.71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173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25647.43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64.77000000000001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0.48577499999999996</v>
      </c>
      <c r="W69" s="192">
        <f t="shared" si="34"/>
        <v>0</v>
      </c>
      <c r="X69" s="192">
        <f t="shared" si="34"/>
        <v>0</v>
      </c>
      <c r="Y69" s="192">
        <f t="shared" si="34"/>
        <v>64.284225000000006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25380.71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225">
        <v>31</v>
      </c>
      <c r="Q70" s="225">
        <v>2001</v>
      </c>
      <c r="R70" s="236">
        <v>238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1.7849999999999999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236.215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22.317500000001019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215</v>
      </c>
      <c r="P71" s="225">
        <v>187</v>
      </c>
      <c r="Q71" s="225">
        <v>2001</v>
      </c>
      <c r="R71" s="221">
        <v>1642.13</v>
      </c>
      <c r="S71" s="87"/>
      <c r="T71" s="87"/>
      <c r="U71" s="189">
        <f t="shared" si="35"/>
        <v>0</v>
      </c>
      <c r="V71" s="189">
        <f t="shared" si="36"/>
        <v>12.315975</v>
      </c>
      <c r="W71" s="189">
        <f t="shared" si="37"/>
        <v>0</v>
      </c>
      <c r="X71" s="189">
        <f t="shared" si="38"/>
        <v>0</v>
      </c>
      <c r="Y71" s="189">
        <f t="shared" si="39"/>
        <v>1629.8140250000001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215</v>
      </c>
      <c r="P72" s="225">
        <v>186</v>
      </c>
      <c r="Q72" s="225">
        <v>2001</v>
      </c>
      <c r="R72" s="236">
        <v>278.49</v>
      </c>
      <c r="S72" s="87"/>
      <c r="T72" s="87"/>
      <c r="U72" s="189">
        <f t="shared" si="35"/>
        <v>0</v>
      </c>
      <c r="V72" s="189">
        <f t="shared" si="36"/>
        <v>2.0886749999999998</v>
      </c>
      <c r="W72" s="189">
        <f t="shared" si="37"/>
        <v>0</v>
      </c>
      <c r="X72" s="189">
        <f t="shared" si="38"/>
        <v>0</v>
      </c>
      <c r="Y72" s="189">
        <f t="shared" si="39"/>
        <v>276.40132499999999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242</v>
      </c>
      <c r="P73" s="87"/>
      <c r="Q73" s="87"/>
      <c r="R73" s="13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61" t="s">
        <v>252</v>
      </c>
      <c r="P74" s="87"/>
      <c r="Q74" s="87"/>
      <c r="R74" s="222">
        <v>365</v>
      </c>
      <c r="S74" s="87"/>
      <c r="T74" s="87"/>
      <c r="U74" s="189">
        <f t="shared" si="35"/>
        <v>0</v>
      </c>
      <c r="V74" s="189">
        <f t="shared" si="36"/>
        <v>2.7374999999999998</v>
      </c>
      <c r="W74" s="189">
        <f t="shared" si="37"/>
        <v>0</v>
      </c>
      <c r="X74" s="189">
        <f t="shared" si="38"/>
        <v>0</v>
      </c>
      <c r="Y74" s="189">
        <f t="shared" si="39"/>
        <v>362.26249999999999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2523.62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18.927150000000001</v>
      </c>
      <c r="W75" s="192">
        <f t="shared" si="42"/>
        <v>0</v>
      </c>
      <c r="X75" s="192">
        <f t="shared" si="42"/>
        <v>0</v>
      </c>
      <c r="Y75" s="192">
        <f t="shared" si="42"/>
        <v>2504.6928499999999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243.56</v>
      </c>
      <c r="R78" s="82">
        <v>7.4999999999999997E-3</v>
      </c>
      <c r="S78" s="216">
        <f>+(P78+Q78)*R78</f>
        <v>1.8267</v>
      </c>
      <c r="T78" s="219">
        <f>+(P78+Q78)-S78</f>
        <v>241.73330000000001</v>
      </c>
      <c r="U78" s="211">
        <v>161.88999999999999</v>
      </c>
      <c r="V78" s="112"/>
      <c r="W78" s="113">
        <v>1.4999999999999999E-2</v>
      </c>
      <c r="X78" s="217">
        <f>+(U78+V78)*W78</f>
        <v>2.4283499999999996</v>
      </c>
      <c r="Y78" s="217">
        <f>+(U78+V78)-X78</f>
        <v>159.46164999999999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117.83</v>
      </c>
      <c r="Q79" s="137">
        <v>122.9</v>
      </c>
      <c r="R79" s="82">
        <v>7.4999999999999997E-3</v>
      </c>
      <c r="S79" s="216">
        <f t="shared" ref="S79:S97" si="44">+(P79+Q79)*R79</f>
        <v>1.8054750000000002</v>
      </c>
      <c r="T79" s="219">
        <f t="shared" ref="T79:T97" si="45">+(P79+Q79)-S79</f>
        <v>238.92452500000002</v>
      </c>
      <c r="U79" s="211">
        <v>76.13</v>
      </c>
      <c r="V79" s="112"/>
      <c r="W79" s="113">
        <v>1.4999999999999999E-2</v>
      </c>
      <c r="X79" s="217">
        <f t="shared" ref="X79:X97" si="46">+(U79+V79)*W79</f>
        <v>1.1419499999999998</v>
      </c>
      <c r="Y79" s="217">
        <f t="shared" ref="Y79:Y97" si="47">+(U79+V79)-X79</f>
        <v>74.988050000000001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58.12</v>
      </c>
      <c r="Q80" s="137"/>
      <c r="R80" s="82">
        <v>7.4999999999999997E-3</v>
      </c>
      <c r="S80" s="216">
        <f t="shared" si="44"/>
        <v>0.43589999999999995</v>
      </c>
      <c r="T80" s="219">
        <f t="shared" si="45"/>
        <v>57.684100000000001</v>
      </c>
      <c r="U80" s="211">
        <v>45.14</v>
      </c>
      <c r="V80" s="112"/>
      <c r="W80" s="113">
        <v>1.4999999999999999E-2</v>
      </c>
      <c r="X80" s="217">
        <f t="shared" si="46"/>
        <v>0.67710000000000004</v>
      </c>
      <c r="Y80" s="217">
        <f t="shared" si="47"/>
        <v>44.462899999999998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222.57</v>
      </c>
      <c r="Q81" s="87">
        <v>54.9</v>
      </c>
      <c r="R81" s="82">
        <v>7.4999999999999997E-3</v>
      </c>
      <c r="S81" s="216">
        <f t="shared" si="44"/>
        <v>2.0810249999999999</v>
      </c>
      <c r="T81" s="219">
        <f t="shared" si="45"/>
        <v>275.38897499999996</v>
      </c>
      <c r="U81" s="211">
        <v>23</v>
      </c>
      <c r="V81" s="112"/>
      <c r="W81" s="113">
        <v>1.4999999999999999E-2</v>
      </c>
      <c r="X81" s="217">
        <f t="shared" si="46"/>
        <v>0.34499999999999997</v>
      </c>
      <c r="Y81" s="217">
        <f t="shared" si="47"/>
        <v>22.655000000000001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80.52</v>
      </c>
      <c r="Q82" s="137">
        <v>102.62</v>
      </c>
      <c r="R82" s="82">
        <v>7.4999999999999997E-3</v>
      </c>
      <c r="S82" s="216">
        <f t="shared" si="44"/>
        <v>1.3735499999999998</v>
      </c>
      <c r="T82" s="219">
        <f t="shared" si="45"/>
        <v>181.76644999999999</v>
      </c>
      <c r="U82" s="211">
        <v>114.1</v>
      </c>
      <c r="V82" s="112"/>
      <c r="W82" s="113">
        <v>1.4999999999999999E-2</v>
      </c>
      <c r="X82" s="217">
        <f t="shared" si="46"/>
        <v>1.7114999999999998</v>
      </c>
      <c r="Y82" s="217">
        <f t="shared" si="47"/>
        <v>112.38849999999999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>
        <v>71.14</v>
      </c>
      <c r="V83" s="112"/>
      <c r="W83" s="113">
        <v>1.4999999999999999E-2</v>
      </c>
      <c r="X83" s="196">
        <f t="shared" si="46"/>
        <v>1.0670999999999999</v>
      </c>
      <c r="Y83" s="217">
        <f t="shared" si="47"/>
        <v>70.072900000000004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268.14</v>
      </c>
      <c r="Q84" s="87">
        <v>15</v>
      </c>
      <c r="R84" s="82">
        <v>7.4999999999999997E-3</v>
      </c>
      <c r="S84" s="194">
        <f t="shared" si="44"/>
        <v>2.1235499999999998</v>
      </c>
      <c r="T84" s="219">
        <f t="shared" si="45"/>
        <v>281.01644999999996</v>
      </c>
      <c r="U84" s="112">
        <v>226.44</v>
      </c>
      <c r="V84" s="112"/>
      <c r="W84" s="113">
        <v>1.4999999999999999E-2</v>
      </c>
      <c r="X84" s="196">
        <f t="shared" si="46"/>
        <v>3.3965999999999998</v>
      </c>
      <c r="Y84" s="217">
        <f t="shared" si="47"/>
        <v>223.04339999999999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673.84</v>
      </c>
      <c r="Q85" s="87">
        <v>13.75</v>
      </c>
      <c r="R85" s="82">
        <v>7.4999999999999997E-3</v>
      </c>
      <c r="S85" s="194">
        <f t="shared" si="44"/>
        <v>5.1569250000000002</v>
      </c>
      <c r="T85" s="219">
        <f t="shared" si="45"/>
        <v>682.43307500000003</v>
      </c>
      <c r="U85" s="112">
        <v>91.12</v>
      </c>
      <c r="V85" s="112"/>
      <c r="W85" s="113">
        <v>1.4999999999999999E-2</v>
      </c>
      <c r="X85" s="196">
        <f t="shared" si="46"/>
        <v>1.3668</v>
      </c>
      <c r="Y85" s="217">
        <f t="shared" si="47"/>
        <v>89.753200000000007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9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366.63</v>
      </c>
      <c r="Q87" s="87">
        <v>140.80000000000001</v>
      </c>
      <c r="R87" s="82">
        <v>7.4999999999999997E-3</v>
      </c>
      <c r="S87" s="194">
        <f t="shared" si="44"/>
        <v>3.8057249999999998</v>
      </c>
      <c r="T87" s="194">
        <f t="shared" si="45"/>
        <v>503.62427500000001</v>
      </c>
      <c r="U87" s="112">
        <v>233.62</v>
      </c>
      <c r="V87" s="112"/>
      <c r="W87" s="113">
        <v>1.4999999999999999E-2</v>
      </c>
      <c r="X87" s="196">
        <f t="shared" si="46"/>
        <v>3.5042999999999997</v>
      </c>
      <c r="Y87" s="196">
        <f t="shared" si="47"/>
        <v>230.1157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1787.65</v>
      </c>
      <c r="Q98" s="195">
        <f>SUM(Q78:Q97)</f>
        <v>693.53</v>
      </c>
      <c r="R98" s="111"/>
      <c r="S98" s="195">
        <f>SUM(S78:S97)</f>
        <v>18.60885</v>
      </c>
      <c r="T98" s="195">
        <f>SUM(T78:T97)</f>
        <v>2462.5711499999998</v>
      </c>
      <c r="U98" s="114">
        <f>SUM(U78:U97)</f>
        <v>1042.58</v>
      </c>
      <c r="V98" s="114">
        <f>SUM(V78:V97)</f>
        <v>0</v>
      </c>
      <c r="W98" s="112"/>
      <c r="X98" s="197">
        <f>SUM(X78:X97)</f>
        <v>15.6387</v>
      </c>
      <c r="Y98" s="197">
        <f>SUM(Y78:Y97)</f>
        <v>1026.9413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405.45</v>
      </c>
    </row>
    <row r="102" spans="14:30" x14ac:dyDescent="0.25">
      <c r="N102" s="85"/>
      <c r="P102" s="218">
        <f>P79+U79+Q79</f>
        <v>316.86</v>
      </c>
    </row>
    <row r="103" spans="14:30" x14ac:dyDescent="0.25">
      <c r="N103" s="85"/>
      <c r="P103" s="218">
        <f>P80+Q80+U80</f>
        <v>103.25999999999999</v>
      </c>
    </row>
    <row r="104" spans="14:30" x14ac:dyDescent="0.25">
      <c r="N104" s="85"/>
      <c r="P104" s="218">
        <f>P81+U81+Q81</f>
        <v>300.46999999999997</v>
      </c>
    </row>
    <row r="105" spans="14:30" x14ac:dyDescent="0.25">
      <c r="N105" s="85"/>
      <c r="P105" s="218">
        <f t="shared" ref="P105:P110" si="51">P82+Q82+U82</f>
        <v>297.24</v>
      </c>
    </row>
    <row r="106" spans="14:30" x14ac:dyDescent="0.25">
      <c r="N106" s="85"/>
      <c r="P106" s="246">
        <f t="shared" si="51"/>
        <v>71.14</v>
      </c>
    </row>
    <row r="107" spans="14:30" x14ac:dyDescent="0.25">
      <c r="N107" s="85"/>
      <c r="P107" s="246">
        <f t="shared" si="51"/>
        <v>509.58</v>
      </c>
    </row>
    <row r="108" spans="14:30" x14ac:dyDescent="0.25">
      <c r="N108" s="85"/>
      <c r="P108" s="246">
        <f t="shared" si="51"/>
        <v>778.71</v>
      </c>
    </row>
    <row r="109" spans="14:30" x14ac:dyDescent="0.25">
      <c r="N109" s="85"/>
      <c r="P109" s="233">
        <f t="shared" si="51"/>
        <v>0</v>
      </c>
    </row>
    <row r="110" spans="14:30" x14ac:dyDescent="0.25">
      <c r="N110" s="85"/>
      <c r="P110" s="85">
        <f t="shared" si="51"/>
        <v>741.05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1" zoomScale="90" zoomScaleNormal="90" workbookViewId="0">
      <selection activeCell="R73" sqref="R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18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231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44770</v>
      </c>
      <c r="D6" s="85" t="s">
        <v>22</v>
      </c>
      <c r="E6" s="8" t="s">
        <v>269</v>
      </c>
      <c r="F6" s="9"/>
      <c r="G6" s="9"/>
    </row>
    <row r="8" spans="1:28" x14ac:dyDescent="0.25">
      <c r="A8" s="7" t="s">
        <v>75</v>
      </c>
      <c r="B8" s="108">
        <v>5.77</v>
      </c>
      <c r="C8" s="85" t="s">
        <v>92</v>
      </c>
      <c r="D8" s="108"/>
    </row>
    <row r="9" spans="1:28" x14ac:dyDescent="0.25">
      <c r="A9" s="7" t="s">
        <v>76</v>
      </c>
      <c r="B9" s="108">
        <v>5.78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1377.5</v>
      </c>
      <c r="C12" s="15"/>
      <c r="D12" s="56"/>
      <c r="E12" s="16"/>
      <c r="F12" s="56"/>
      <c r="G12" s="56"/>
      <c r="H12" s="17"/>
      <c r="I12" s="83">
        <v>1377.5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199</v>
      </c>
      <c r="Q12" s="158">
        <v>11</v>
      </c>
      <c r="R12" s="159">
        <v>797.5</v>
      </c>
      <c r="S12" s="160"/>
      <c r="T12" s="160">
        <v>19.32</v>
      </c>
      <c r="U12" s="189">
        <f>((T12/U$10)*U$9)</f>
        <v>0.83275862068965523</v>
      </c>
      <c r="V12" s="189">
        <f>R12*V$10</f>
        <v>5.9812500000000002</v>
      </c>
      <c r="W12" s="189">
        <f>+S12*V$10</f>
        <v>0</v>
      </c>
      <c r="X12" s="189">
        <f>+T12*X$10</f>
        <v>0.48300000000000004</v>
      </c>
      <c r="Y12" s="189">
        <f>R12-V12</f>
        <v>791.51874999999995</v>
      </c>
      <c r="Z12" s="189">
        <f>S12-W12</f>
        <v>0</v>
      </c>
      <c r="AA12" s="189">
        <f>T12-U12-X12</f>
        <v>18.004241379310344</v>
      </c>
      <c r="AB12" s="156"/>
    </row>
    <row r="13" spans="1:28" ht="15.75" x14ac:dyDescent="0.25">
      <c r="A13" s="86" t="s">
        <v>74</v>
      </c>
      <c r="B13" s="89">
        <v>1000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1000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200</v>
      </c>
      <c r="Q13" s="158">
        <v>11</v>
      </c>
      <c r="R13" s="159">
        <v>1900.86</v>
      </c>
      <c r="S13" s="160"/>
      <c r="T13" s="161">
        <v>81.430000000000007</v>
      </c>
      <c r="U13" s="189">
        <f t="shared" ref="U13:U41" si="2">((T13/U$10)*U$9)</f>
        <v>3.5099137931034492</v>
      </c>
      <c r="V13" s="189">
        <f t="shared" ref="V13:V41" si="3">R13*V$10</f>
        <v>14.256449999999999</v>
      </c>
      <c r="W13" s="189">
        <f t="shared" ref="W13:W41" si="4">+S13*V$10</f>
        <v>0</v>
      </c>
      <c r="X13" s="189">
        <f t="shared" ref="X13:X41" si="5">+T13*X$10</f>
        <v>2.0357500000000002</v>
      </c>
      <c r="Y13" s="189">
        <f t="shared" ref="Y13:Z41" si="6">R13-V13</f>
        <v>1886.6035499999998</v>
      </c>
      <c r="Z13" s="189">
        <f t="shared" si="6"/>
        <v>0</v>
      </c>
      <c r="AA13" s="189">
        <f t="shared" ref="AA13:AA41" si="7">T13-U13-X13</f>
        <v>75.884336206896563</v>
      </c>
      <c r="AB13" s="156"/>
    </row>
    <row r="14" spans="1:28" ht="15.75" x14ac:dyDescent="0.25">
      <c r="A14" s="86" t="s">
        <v>81</v>
      </c>
      <c r="B14" s="57">
        <f>B13*B8</f>
        <v>5770</v>
      </c>
      <c r="C14" s="15"/>
      <c r="D14" s="56"/>
      <c r="E14" s="16"/>
      <c r="F14" s="56"/>
      <c r="G14" s="56"/>
      <c r="H14" s="17"/>
      <c r="I14" s="83"/>
      <c r="J14" s="81">
        <f t="shared" si="0"/>
        <v>5770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583</v>
      </c>
      <c r="Q14" s="158">
        <v>2</v>
      </c>
      <c r="R14" s="159">
        <v>942.43</v>
      </c>
      <c r="S14" s="160"/>
      <c r="T14" s="161"/>
      <c r="U14" s="189">
        <f t="shared" si="2"/>
        <v>0</v>
      </c>
      <c r="V14" s="189">
        <f t="shared" si="3"/>
        <v>7.0682249999999991</v>
      </c>
      <c r="W14" s="189">
        <f t="shared" si="4"/>
        <v>0</v>
      </c>
      <c r="X14" s="189">
        <f t="shared" si="5"/>
        <v>0</v>
      </c>
      <c r="Y14" s="189">
        <f t="shared" si="6"/>
        <v>935.36177499999997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823</v>
      </c>
      <c r="C15" s="15"/>
      <c r="D15" s="56"/>
      <c r="E15" s="16"/>
      <c r="F15" s="56"/>
      <c r="G15" s="56"/>
      <c r="H15" s="17"/>
      <c r="I15" s="83"/>
      <c r="J15" s="81">
        <f t="shared" si="0"/>
        <v>823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563</v>
      </c>
      <c r="Q15" s="158">
        <v>4</v>
      </c>
      <c r="R15" s="159">
        <v>549.34</v>
      </c>
      <c r="S15" s="160"/>
      <c r="T15" s="161">
        <v>28.34</v>
      </c>
      <c r="U15" s="189">
        <f t="shared" si="2"/>
        <v>1.2215517241379312</v>
      </c>
      <c r="V15" s="189">
        <f t="shared" si="3"/>
        <v>4.12005</v>
      </c>
      <c r="W15" s="189">
        <f t="shared" si="4"/>
        <v>0</v>
      </c>
      <c r="X15" s="189">
        <f t="shared" si="5"/>
        <v>0.70850000000000002</v>
      </c>
      <c r="Y15" s="189">
        <f t="shared" si="6"/>
        <v>545.21995000000004</v>
      </c>
      <c r="Z15" s="189">
        <f t="shared" si="6"/>
        <v>0</v>
      </c>
      <c r="AA15" s="189">
        <f t="shared" si="7"/>
        <v>26.409948275862067</v>
      </c>
      <c r="AB15" s="156"/>
    </row>
    <row r="16" spans="1:28" ht="15.75" x14ac:dyDescent="0.25">
      <c r="A16" s="86" t="s">
        <v>81</v>
      </c>
      <c r="B16" s="57">
        <f>B15*B9</f>
        <v>4756.9400000000005</v>
      </c>
      <c r="C16" s="15"/>
      <c r="D16" s="56"/>
      <c r="E16" s="16"/>
      <c r="F16" s="56"/>
      <c r="G16" s="56"/>
      <c r="H16" s="17"/>
      <c r="I16" s="83"/>
      <c r="J16" s="81">
        <f t="shared" si="0"/>
        <v>4756.9400000000005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564</v>
      </c>
      <c r="Q16" s="158">
        <v>4</v>
      </c>
      <c r="R16" s="159">
        <v>1632.09</v>
      </c>
      <c r="S16" s="160"/>
      <c r="T16" s="161">
        <v>19.53</v>
      </c>
      <c r="U16" s="189">
        <f t="shared" si="2"/>
        <v>0.84181034482758632</v>
      </c>
      <c r="V16" s="189">
        <f t="shared" si="3"/>
        <v>12.240675</v>
      </c>
      <c r="W16" s="189">
        <f t="shared" si="4"/>
        <v>0</v>
      </c>
      <c r="X16" s="189">
        <f t="shared" si="5"/>
        <v>0.48825000000000007</v>
      </c>
      <c r="Y16" s="189">
        <f t="shared" si="6"/>
        <v>1619.8493249999999</v>
      </c>
      <c r="Z16" s="189">
        <f t="shared" si="6"/>
        <v>0</v>
      </c>
      <c r="AA16" s="189">
        <f t="shared" si="7"/>
        <v>18.199939655172415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555</v>
      </c>
      <c r="Q17" s="158">
        <v>14</v>
      </c>
      <c r="R17" s="159">
        <v>1020.78</v>
      </c>
      <c r="S17" s="160"/>
      <c r="T17" s="161"/>
      <c r="U17" s="189">
        <f t="shared" si="2"/>
        <v>0</v>
      </c>
      <c r="V17" s="189">
        <f t="shared" si="3"/>
        <v>7.6558499999999992</v>
      </c>
      <c r="W17" s="189">
        <f t="shared" si="4"/>
        <v>0</v>
      </c>
      <c r="X17" s="189">
        <f t="shared" si="5"/>
        <v>0</v>
      </c>
      <c r="Y17" s="189">
        <f t="shared" si="6"/>
        <v>1013.12415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649</v>
      </c>
      <c r="Q18" s="158">
        <v>18</v>
      </c>
      <c r="R18" s="159">
        <v>1132.8900000000001</v>
      </c>
      <c r="S18" s="160"/>
      <c r="T18" s="161">
        <v>14.64</v>
      </c>
      <c r="U18" s="189">
        <f t="shared" si="2"/>
        <v>0.63103448275862073</v>
      </c>
      <c r="V18" s="189">
        <f t="shared" si="3"/>
        <v>8.4966749999999998</v>
      </c>
      <c r="W18" s="189">
        <f t="shared" si="4"/>
        <v>0</v>
      </c>
      <c r="X18" s="189">
        <f t="shared" si="5"/>
        <v>0.36600000000000005</v>
      </c>
      <c r="Y18" s="189">
        <f t="shared" si="6"/>
        <v>1124.393325</v>
      </c>
      <c r="Z18" s="189">
        <f t="shared" si="6"/>
        <v>0</v>
      </c>
      <c r="AA18" s="189">
        <f t="shared" si="7"/>
        <v>13.642965517241381</v>
      </c>
      <c r="AB18" s="156"/>
    </row>
    <row r="19" spans="1:28" ht="15.75" x14ac:dyDescent="0.25">
      <c r="A19" s="93" t="s">
        <v>79</v>
      </c>
      <c r="B19" s="97">
        <f>+B13+B15+B17</f>
        <v>1823</v>
      </c>
      <c r="C19" s="95"/>
      <c r="D19" s="94"/>
      <c r="E19" s="96"/>
      <c r="F19" s="94"/>
      <c r="G19" s="94"/>
      <c r="H19" s="98"/>
      <c r="I19" s="99">
        <v>1823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651</v>
      </c>
      <c r="Q19" s="158">
        <v>18</v>
      </c>
      <c r="R19" s="159">
        <v>348.97</v>
      </c>
      <c r="S19" s="160"/>
      <c r="T19" s="161"/>
      <c r="U19" s="189">
        <f t="shared" si="2"/>
        <v>0</v>
      </c>
      <c r="V19" s="189">
        <f t="shared" si="3"/>
        <v>2.6172750000000002</v>
      </c>
      <c r="W19" s="189">
        <f t="shared" si="4"/>
        <v>0</v>
      </c>
      <c r="X19" s="189">
        <f t="shared" si="5"/>
        <v>0</v>
      </c>
      <c r="Y19" s="189">
        <f t="shared" si="6"/>
        <v>346.35272500000002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10526.94</v>
      </c>
      <c r="C20" s="95"/>
      <c r="D20" s="94"/>
      <c r="E20" s="96"/>
      <c r="F20" s="94"/>
      <c r="G20" s="94"/>
      <c r="H20" s="98"/>
      <c r="I20" s="99">
        <v>10536.94</v>
      </c>
      <c r="J20" s="185">
        <f t="shared" si="0"/>
        <v>-10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650</v>
      </c>
      <c r="Q20" s="158">
        <v>18</v>
      </c>
      <c r="R20" s="159">
        <v>494.13</v>
      </c>
      <c r="S20" s="160"/>
      <c r="T20" s="161">
        <v>26.09</v>
      </c>
      <c r="U20" s="189">
        <f t="shared" si="2"/>
        <v>1.1245689655172415</v>
      </c>
      <c r="V20" s="189">
        <f t="shared" si="3"/>
        <v>3.705975</v>
      </c>
      <c r="W20" s="189">
        <f t="shared" si="4"/>
        <v>0</v>
      </c>
      <c r="X20" s="189">
        <f t="shared" si="5"/>
        <v>0.65225</v>
      </c>
      <c r="Y20" s="189">
        <f t="shared" si="6"/>
        <v>490.42402499999997</v>
      </c>
      <c r="Z20" s="189">
        <f t="shared" si="6"/>
        <v>0</v>
      </c>
      <c r="AA20" s="189">
        <f t="shared" si="7"/>
        <v>24.31318103448276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/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14.13</v>
      </c>
      <c r="C37" s="100"/>
      <c r="D37" s="66"/>
      <c r="E37" s="67"/>
      <c r="F37" s="66"/>
      <c r="G37" s="66"/>
      <c r="H37" s="102"/>
      <c r="I37" s="79"/>
      <c r="J37" s="81">
        <f t="shared" si="0"/>
        <v>14.13</v>
      </c>
      <c r="K37" s="80"/>
      <c r="L37" s="186">
        <f>K37-B37</f>
        <v>-14.13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81.530100000000004</v>
      </c>
      <c r="C38" s="100"/>
      <c r="D38" s="66"/>
      <c r="E38" s="67"/>
      <c r="F38" s="66"/>
      <c r="G38" s="66"/>
      <c r="H38" s="102"/>
      <c r="I38" s="79"/>
      <c r="J38" s="81">
        <f t="shared" si="0"/>
        <v>81.530100000000004</v>
      </c>
      <c r="K38" s="80"/>
      <c r="L38" s="186">
        <f>K38-B38</f>
        <v>-81.530100000000004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31.97</v>
      </c>
      <c r="C39" s="100"/>
      <c r="D39" s="66"/>
      <c r="E39" s="67"/>
      <c r="F39" s="66"/>
      <c r="G39" s="66"/>
      <c r="H39" s="102"/>
      <c r="I39" s="79"/>
      <c r="J39" s="81">
        <f t="shared" si="0"/>
        <v>31.97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184.78659999999999</v>
      </c>
      <c r="C40" s="100"/>
      <c r="D40" s="66"/>
      <c r="E40" s="67"/>
      <c r="F40" s="66"/>
      <c r="G40" s="66"/>
      <c r="H40" s="102"/>
      <c r="I40" s="79"/>
      <c r="J40" s="81">
        <f t="shared" si="0"/>
        <v>184.78659999999999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8818.989999999998</v>
      </c>
      <c r="S42" s="190">
        <f t="shared" si="8"/>
        <v>0</v>
      </c>
      <c r="T42" s="190">
        <f t="shared" si="8"/>
        <v>189.35</v>
      </c>
      <c r="U42" s="190">
        <f t="shared" si="8"/>
        <v>8.161637931034484</v>
      </c>
      <c r="V42" s="190">
        <f t="shared" si="8"/>
        <v>66.142425000000003</v>
      </c>
      <c r="W42" s="190">
        <f t="shared" si="8"/>
        <v>0</v>
      </c>
      <c r="X42" s="190">
        <f t="shared" si="8"/>
        <v>4.7337500000000006</v>
      </c>
      <c r="Y42" s="190">
        <f t="shared" si="8"/>
        <v>8752.8475749999998</v>
      </c>
      <c r="Z42" s="190">
        <f t="shared" si="8"/>
        <v>0</v>
      </c>
      <c r="AA42" s="190">
        <f t="shared" si="8"/>
        <v>176.45461206896553</v>
      </c>
      <c r="AB42" s="166"/>
    </row>
    <row r="43" spans="1:28" ht="15.75" x14ac:dyDescent="0.25">
      <c r="A43" s="93" t="s">
        <v>101</v>
      </c>
      <c r="B43" s="97">
        <f>+B37+B39+B41</f>
        <v>46.1</v>
      </c>
      <c r="C43" s="95"/>
      <c r="D43" s="94"/>
      <c r="E43" s="96"/>
      <c r="F43" s="94"/>
      <c r="G43" s="94"/>
      <c r="H43" s="98"/>
      <c r="I43" s="99">
        <v>46.21</v>
      </c>
      <c r="J43" s="185">
        <f t="shared" si="0"/>
        <v>-0.10999999999999943</v>
      </c>
      <c r="K43" s="99"/>
      <c r="L43" s="187">
        <f>K43-B43</f>
        <v>-46.1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266.31669999999997</v>
      </c>
      <c r="C44" s="95"/>
      <c r="D44" s="94"/>
      <c r="E44" s="96"/>
      <c r="F44" s="94"/>
      <c r="G44" s="94"/>
      <c r="H44" s="98"/>
      <c r="I44" s="99"/>
      <c r="J44" s="185">
        <f t="shared" si="0"/>
        <v>266.31669999999997</v>
      </c>
      <c r="K44" s="99"/>
      <c r="L44" s="187">
        <f>K44-B44</f>
        <v>-266.31669999999997</v>
      </c>
      <c r="M44" s="107"/>
      <c r="N44" s="104">
        <v>2</v>
      </c>
      <c r="O44" s="167" t="s">
        <v>69</v>
      </c>
      <c r="P44" s="158"/>
      <c r="Q44" s="158"/>
      <c r="R44" s="160">
        <v>294.45999999999998</v>
      </c>
      <c r="S44" s="160"/>
      <c r="T44" s="160">
        <v>31.34</v>
      </c>
      <c r="U44" s="189">
        <f t="shared" si="9"/>
        <v>1.3508620689655173</v>
      </c>
      <c r="V44" s="189">
        <f t="shared" si="10"/>
        <v>2.2084499999999996</v>
      </c>
      <c r="W44" s="189">
        <f t="shared" si="11"/>
        <v>0</v>
      </c>
      <c r="X44" s="189">
        <f t="shared" si="12"/>
        <v>0.78350000000000009</v>
      </c>
      <c r="Y44" s="189">
        <f t="shared" si="13"/>
        <v>292.25154999999995</v>
      </c>
      <c r="Z44" s="189">
        <f t="shared" si="13"/>
        <v>0</v>
      </c>
      <c r="AA44" s="189">
        <f t="shared" si="14"/>
        <v>29.205637931034481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1121.51</v>
      </c>
      <c r="S45" s="160">
        <v>18.100000000000001</v>
      </c>
      <c r="T45" s="160">
        <v>32.99</v>
      </c>
      <c r="U45" s="189">
        <f t="shared" si="9"/>
        <v>1.4219827586206899</v>
      </c>
      <c r="V45" s="189">
        <f t="shared" si="10"/>
        <v>8.4113249999999997</v>
      </c>
      <c r="W45" s="189">
        <f t="shared" si="11"/>
        <v>0.13575000000000001</v>
      </c>
      <c r="X45" s="189">
        <f t="shared" si="12"/>
        <v>0.82475000000000009</v>
      </c>
      <c r="Y45" s="189">
        <f t="shared" si="13"/>
        <v>1113.098675</v>
      </c>
      <c r="Z45" s="189">
        <f t="shared" si="13"/>
        <v>17.96425</v>
      </c>
      <c r="AA45" s="189">
        <f t="shared" si="14"/>
        <v>30.743267241379311</v>
      </c>
      <c r="AB45" s="156"/>
    </row>
    <row r="46" spans="1:28" ht="15.75" x14ac:dyDescent="0.25">
      <c r="A46" s="115" t="s">
        <v>27</v>
      </c>
      <c r="B46" s="117">
        <f>R42</f>
        <v>8818.989999999998</v>
      </c>
      <c r="C46" s="116">
        <v>7.4999999999999997E-3</v>
      </c>
      <c r="D46" s="117">
        <f>B46*C46</f>
        <v>66.142424999999989</v>
      </c>
      <c r="E46" s="172">
        <v>0</v>
      </c>
      <c r="F46" s="117">
        <f t="shared" ref="F46:F50" si="15">D46*E46</f>
        <v>0</v>
      </c>
      <c r="G46" s="117">
        <f t="shared" ref="G46:G51" si="16">B46-D46-F46</f>
        <v>8752.847574999998</v>
      </c>
      <c r="H46" s="173">
        <f>B$6+1</f>
        <v>44771</v>
      </c>
      <c r="I46" s="174">
        <v>8818.98</v>
      </c>
      <c r="J46" s="81">
        <f t="shared" si="0"/>
        <v>9.9999999983992893E-3</v>
      </c>
      <c r="K46" s="80"/>
      <c r="L46" s="186">
        <f t="shared" ref="L46:L64" si="17">+G46-K46</f>
        <v>8752.847574999998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1415.97</v>
      </c>
      <c r="C47" s="116">
        <v>7.4999999999999997E-3</v>
      </c>
      <c r="D47" s="117">
        <f t="shared" ref="D47:D50" si="18">B47*C47</f>
        <v>10.619775000000001</v>
      </c>
      <c r="E47" s="172">
        <v>0</v>
      </c>
      <c r="F47" s="117">
        <f t="shared" si="15"/>
        <v>0</v>
      </c>
      <c r="G47" s="117">
        <f t="shared" si="16"/>
        <v>1405.3502250000001</v>
      </c>
      <c r="H47" s="173">
        <f>B$6+1</f>
        <v>44771</v>
      </c>
      <c r="I47" s="175">
        <v>1498.31</v>
      </c>
      <c r="J47" s="81">
        <f t="shared" si="0"/>
        <v>-82.339999999999918</v>
      </c>
      <c r="K47" s="80"/>
      <c r="L47" s="186">
        <f t="shared" si="17"/>
        <v>1405.3502250000001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390.75</v>
      </c>
      <c r="C48" s="116">
        <v>1.4999999999999999E-2</v>
      </c>
      <c r="D48" s="117">
        <f t="shared" si="18"/>
        <v>5.8612500000000001</v>
      </c>
      <c r="E48" s="172">
        <v>0</v>
      </c>
      <c r="F48" s="117">
        <f t="shared" si="15"/>
        <v>0</v>
      </c>
      <c r="G48" s="117">
        <f t="shared" si="16"/>
        <v>384.88875000000002</v>
      </c>
      <c r="H48" s="173">
        <f t="shared" ref="H48:H61" si="19">B$6+1</f>
        <v>44771</v>
      </c>
      <c r="I48" s="176">
        <v>390.75</v>
      </c>
      <c r="J48" s="81">
        <f t="shared" si="0"/>
        <v>0</v>
      </c>
      <c r="K48" s="80"/>
      <c r="L48" s="186">
        <f t="shared" si="17"/>
        <v>384.88875000000002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211</v>
      </c>
      <c r="B49" s="117">
        <f>R75</f>
        <v>3310.5600000000004</v>
      </c>
      <c r="C49" s="116">
        <v>7.4999999999999997E-3</v>
      </c>
      <c r="D49" s="117">
        <f t="shared" si="18"/>
        <v>24.829200000000004</v>
      </c>
      <c r="E49" s="172">
        <v>0</v>
      </c>
      <c r="F49" s="117">
        <f t="shared" si="15"/>
        <v>0</v>
      </c>
      <c r="G49" s="117">
        <f t="shared" si="16"/>
        <v>3285.7308000000003</v>
      </c>
      <c r="H49" s="173">
        <f t="shared" si="19"/>
        <v>44771</v>
      </c>
      <c r="I49" s="176">
        <v>3310.66</v>
      </c>
      <c r="J49" s="81">
        <f t="shared" si="0"/>
        <v>-9.9999999999454303E-2</v>
      </c>
      <c r="K49" s="80"/>
      <c r="L49" s="186">
        <f t="shared" si="17"/>
        <v>3285.7308000000003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1976.42</v>
      </c>
      <c r="C50" s="116">
        <v>7.4999999999999997E-3</v>
      </c>
      <c r="D50" s="117">
        <f t="shared" si="18"/>
        <v>14.82315</v>
      </c>
      <c r="E50" s="172">
        <v>0</v>
      </c>
      <c r="F50" s="117">
        <f t="shared" si="15"/>
        <v>0</v>
      </c>
      <c r="G50" s="117">
        <f t="shared" si="16"/>
        <v>1961.5968500000001</v>
      </c>
      <c r="H50" s="173">
        <f t="shared" si="19"/>
        <v>44771</v>
      </c>
      <c r="I50" s="175">
        <v>2620.2199999999998</v>
      </c>
      <c r="J50" s="81">
        <f t="shared" si="0"/>
        <v>-643.79999999999973</v>
      </c>
      <c r="K50" s="80"/>
      <c r="L50" s="186">
        <f>K50-G50</f>
        <v>-1961.5968500000001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643.90000000000009</v>
      </c>
      <c r="C51" s="116">
        <v>1.4999999999999999E-2</v>
      </c>
      <c r="D51" s="117">
        <f>+B51*C51</f>
        <v>9.6585000000000019</v>
      </c>
      <c r="E51" s="172">
        <v>0</v>
      </c>
      <c r="F51" s="117">
        <f>D51*E51</f>
        <v>0</v>
      </c>
      <c r="G51" s="117">
        <f t="shared" si="16"/>
        <v>634.24150000000009</v>
      </c>
      <c r="H51" s="173">
        <f t="shared" si="19"/>
        <v>44771</v>
      </c>
      <c r="I51" s="175"/>
      <c r="J51" s="81">
        <f t="shared" si="0"/>
        <v>643.90000000000009</v>
      </c>
      <c r="K51" s="80"/>
      <c r="L51" s="186">
        <f t="shared" si="17"/>
        <v>634.24150000000009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189.35</v>
      </c>
      <c r="C52" s="116">
        <v>2.5000000000000001E-2</v>
      </c>
      <c r="D52" s="117">
        <f>B52*C52</f>
        <v>4.7337499999999997</v>
      </c>
      <c r="E52" s="172">
        <v>0.05</v>
      </c>
      <c r="F52" s="117">
        <f>(B52/E$10)*E52</f>
        <v>8.1616379310344822</v>
      </c>
      <c r="G52" s="117">
        <f>B52-D52-F52</f>
        <v>176.45461206896553</v>
      </c>
      <c r="H52" s="188">
        <f t="shared" si="19"/>
        <v>44771</v>
      </c>
      <c r="I52" s="176">
        <v>189.35</v>
      </c>
      <c r="J52" s="81">
        <f t="shared" si="0"/>
        <v>0</v>
      </c>
      <c r="K52" s="80"/>
      <c r="L52" s="186">
        <f t="shared" si="17"/>
        <v>176.45461206896553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64.33</v>
      </c>
      <c r="C53" s="116">
        <v>2.5000000000000001E-2</v>
      </c>
      <c r="D53" s="117">
        <f t="shared" ref="D53:D56" si="20">B53*C53</f>
        <v>1.60825</v>
      </c>
      <c r="E53" s="172">
        <v>0.05</v>
      </c>
      <c r="F53" s="117">
        <f t="shared" ref="F53:F56" si="21">(B53/E$10)*E53</f>
        <v>2.7728448275862072</v>
      </c>
      <c r="G53" s="117">
        <f t="shared" ref="G53:G58" si="22">B53-D53-F53</f>
        <v>59.948905172413795</v>
      </c>
      <c r="H53" s="188">
        <f t="shared" si="19"/>
        <v>44771</v>
      </c>
      <c r="I53" s="176"/>
      <c r="J53" s="81">
        <f t="shared" si="0"/>
        <v>64.33</v>
      </c>
      <c r="K53" s="80"/>
      <c r="L53" s="186">
        <f t="shared" si="17"/>
        <v>59.948905172413795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55.1</v>
      </c>
      <c r="C56" s="116">
        <v>2.5000000000000001E-2</v>
      </c>
      <c r="D56" s="117">
        <f t="shared" si="20"/>
        <v>1.3775000000000002</v>
      </c>
      <c r="E56" s="172">
        <v>0.05</v>
      </c>
      <c r="F56" s="117">
        <f t="shared" si="21"/>
        <v>2.3750000000000004</v>
      </c>
      <c r="G56" s="117">
        <f t="shared" si="22"/>
        <v>51.347500000000004</v>
      </c>
      <c r="H56" s="173">
        <f t="shared" si="19"/>
        <v>44771</v>
      </c>
      <c r="I56" s="176">
        <v>55.1</v>
      </c>
      <c r="J56" s="81">
        <f t="shared" si="0"/>
        <v>0</v>
      </c>
      <c r="K56" s="80"/>
      <c r="L56" s="186">
        <f t="shared" si="17"/>
        <v>51.347500000000004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18.100000000000001</v>
      </c>
      <c r="C58" s="116">
        <v>5.3E-3</v>
      </c>
      <c r="D58" s="117">
        <f>B58*C58</f>
        <v>9.5930000000000001E-2</v>
      </c>
      <c r="E58" s="172">
        <v>0</v>
      </c>
      <c r="F58" s="117">
        <f>D58*E58</f>
        <v>0</v>
      </c>
      <c r="G58" s="117">
        <f t="shared" si="22"/>
        <v>18.004070000000002</v>
      </c>
      <c r="H58" s="173">
        <f>B$6+5</f>
        <v>44775</v>
      </c>
      <c r="I58" s="175"/>
      <c r="J58" s="81">
        <f t="shared" si="0"/>
        <v>18.100000000000001</v>
      </c>
      <c r="K58" s="80"/>
      <c r="L58" s="186">
        <f t="shared" si="17"/>
        <v>18.004070000000002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139.74972999999997</v>
      </c>
      <c r="E61" s="177"/>
      <c r="F61" s="57">
        <f>SUM(F46:F58)</f>
        <v>13.309482758620689</v>
      </c>
      <c r="G61" s="57">
        <f>SUM(G46:G58)</f>
        <v>16730.410787241373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16730.410787241373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1415.97</v>
      </c>
      <c r="S63" s="191">
        <f>SUM(S43:S62)</f>
        <v>18.100000000000001</v>
      </c>
      <c r="T63" s="191">
        <f>SUM(T43:T62)</f>
        <v>64.33</v>
      </c>
      <c r="U63" s="191">
        <f t="shared" ref="U63:X63" si="25">SUM(U43:U62)</f>
        <v>2.7728448275862072</v>
      </c>
      <c r="V63" s="191">
        <f t="shared" si="25"/>
        <v>10.619774999999999</v>
      </c>
      <c r="W63" s="191">
        <f t="shared" si="25"/>
        <v>0.13575000000000001</v>
      </c>
      <c r="X63" s="191">
        <f t="shared" si="25"/>
        <v>1.6082500000000002</v>
      </c>
      <c r="Y63" s="191">
        <f>SUM(Y43:Y62)</f>
        <v>1405.3502249999999</v>
      </c>
      <c r="Z63" s="191">
        <f t="shared" ref="Z63:AA63" si="26">SUM(Z43:Z62)</f>
        <v>17.96425</v>
      </c>
      <c r="AA63" s="191">
        <f t="shared" si="26"/>
        <v>59.948905172413788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33460.821574482747</v>
      </c>
      <c r="H64" s="184"/>
      <c r="I64" s="175"/>
      <c r="J64" s="81">
        <f t="shared" si="0"/>
        <v>0</v>
      </c>
      <c r="K64" s="80"/>
      <c r="L64" s="186">
        <f t="shared" si="17"/>
        <v>33460.821574482747</v>
      </c>
      <c r="M64" s="130"/>
      <c r="N64" s="87">
        <v>1</v>
      </c>
      <c r="O64" s="122" t="s">
        <v>232</v>
      </c>
      <c r="P64" s="87"/>
      <c r="Q64" s="225" t="s">
        <v>271</v>
      </c>
      <c r="R64" s="225">
        <f>22+24.41</f>
        <v>46.41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0.34807499999999997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46.061924999999995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29054.226699999999</v>
      </c>
      <c r="G65" s="22"/>
      <c r="L65" s="132"/>
      <c r="M65" s="131"/>
      <c r="N65" s="87">
        <v>2</v>
      </c>
      <c r="O65" s="122" t="s">
        <v>232</v>
      </c>
      <c r="P65" s="87"/>
      <c r="Q65" s="225">
        <v>9587</v>
      </c>
      <c r="R65" s="221">
        <f>36.47+74.32+63.58+88.72</f>
        <v>263.09000000000003</v>
      </c>
      <c r="S65" s="225"/>
      <c r="T65" s="87"/>
      <c r="U65" s="189">
        <f t="shared" si="27"/>
        <v>0</v>
      </c>
      <c r="V65" s="189">
        <f t="shared" si="28"/>
        <v>1.9731750000000001</v>
      </c>
      <c r="W65" s="189">
        <f t="shared" si="29"/>
        <v>0</v>
      </c>
      <c r="X65" s="189">
        <f t="shared" si="30"/>
        <v>0</v>
      </c>
      <c r="Y65" s="189">
        <f t="shared" si="31"/>
        <v>261.11682500000001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232</v>
      </c>
      <c r="P66" s="87"/>
      <c r="Q66" s="225">
        <v>3739</v>
      </c>
      <c r="R66" s="225">
        <v>7.2</v>
      </c>
      <c r="S66" s="225"/>
      <c r="T66" s="87"/>
      <c r="U66" s="189">
        <f t="shared" si="27"/>
        <v>0</v>
      </c>
      <c r="V66" s="189">
        <f t="shared" si="28"/>
        <v>5.3999999999999999E-2</v>
      </c>
      <c r="W66" s="189">
        <f t="shared" si="29"/>
        <v>0</v>
      </c>
      <c r="X66" s="189">
        <f t="shared" si="30"/>
        <v>0</v>
      </c>
      <c r="Y66" s="189">
        <f t="shared" si="31"/>
        <v>7.1459999999999999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232</v>
      </c>
      <c r="P67" s="87"/>
      <c r="Q67" s="225">
        <v>1123</v>
      </c>
      <c r="R67" s="225">
        <v>27.35</v>
      </c>
      <c r="S67" s="225"/>
      <c r="T67" s="87"/>
      <c r="U67" s="189">
        <f t="shared" si="27"/>
        <v>0</v>
      </c>
      <c r="V67" s="189">
        <f t="shared" si="28"/>
        <v>0.205125</v>
      </c>
      <c r="W67" s="189">
        <f t="shared" si="29"/>
        <v>0</v>
      </c>
      <c r="X67" s="189">
        <f t="shared" si="30"/>
        <v>0</v>
      </c>
      <c r="Y67" s="189">
        <f t="shared" si="31"/>
        <v>27.144875000000003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28678.77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232</v>
      </c>
      <c r="P68" s="87"/>
      <c r="Q68" s="225" t="s">
        <v>270</v>
      </c>
      <c r="R68" s="225">
        <f>23.81+22.89</f>
        <v>46.7</v>
      </c>
      <c r="S68" s="225"/>
      <c r="T68" s="87"/>
      <c r="U68" s="189">
        <f t="shared" si="27"/>
        <v>0</v>
      </c>
      <c r="V68" s="189">
        <f t="shared" si="28"/>
        <v>0.35025000000000001</v>
      </c>
      <c r="W68" s="189">
        <f t="shared" si="29"/>
        <v>0</v>
      </c>
      <c r="X68" s="189">
        <f t="shared" si="30"/>
        <v>0</v>
      </c>
      <c r="Y68" s="189">
        <f t="shared" si="31"/>
        <v>46.34975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28972.33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390.75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2.930625</v>
      </c>
      <c r="W69" s="192">
        <f t="shared" si="33"/>
        <v>0</v>
      </c>
      <c r="X69" s="192">
        <f t="shared" si="33"/>
        <v>0</v>
      </c>
      <c r="Y69" s="192">
        <f t="shared" si="33"/>
        <v>387.81937500000004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293.56000000000131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228</v>
      </c>
      <c r="P70" s="225">
        <v>181</v>
      </c>
      <c r="Q70" s="225">
        <v>2001</v>
      </c>
      <c r="R70" s="221">
        <v>67.209999999999994</v>
      </c>
      <c r="S70" s="225"/>
      <c r="T70" s="225">
        <v>55.1</v>
      </c>
      <c r="U70" s="189">
        <f t="shared" ref="U70:U74" si="34">((T70/U$10)*U$9)</f>
        <v>2.3750000000000004</v>
      </c>
      <c r="V70" s="189">
        <f t="shared" ref="V70:V74" si="35">R70*V$10</f>
        <v>0.50407499999999994</v>
      </c>
      <c r="W70" s="189">
        <f t="shared" ref="W70:W74" si="36">+S70*V$10</f>
        <v>0</v>
      </c>
      <c r="X70" s="189">
        <f t="shared" ref="X70:X74" si="37">+T70*X$10</f>
        <v>1.3775000000000002</v>
      </c>
      <c r="Y70" s="189">
        <f t="shared" ref="Y70:Z74" si="38">R70-V70</f>
        <v>66.705924999999993</v>
      </c>
      <c r="Z70" s="189">
        <f t="shared" si="38"/>
        <v>0</v>
      </c>
      <c r="AA70" s="189">
        <f t="shared" ref="AA70:AA74" si="39">T70-U70-X70</f>
        <v>51.347500000000004</v>
      </c>
      <c r="AB70" s="87"/>
    </row>
    <row r="71" spans="1:30" ht="28.5" customHeight="1" thickBot="1" x14ac:dyDescent="0.3">
      <c r="A71" s="25" t="s">
        <v>56</v>
      </c>
      <c r="B71" s="70">
        <f>B65-B69</f>
        <v>81.896699999997509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228</v>
      </c>
      <c r="P71" s="225">
        <v>182</v>
      </c>
      <c r="Q71" s="225">
        <v>2001</v>
      </c>
      <c r="R71" s="221">
        <v>105.54</v>
      </c>
      <c r="S71" s="225"/>
      <c r="T71" s="225"/>
      <c r="U71" s="189">
        <f t="shared" si="34"/>
        <v>0</v>
      </c>
      <c r="V71" s="189">
        <f t="shared" si="35"/>
        <v>0.79154999999999998</v>
      </c>
      <c r="W71" s="189">
        <f t="shared" si="36"/>
        <v>0</v>
      </c>
      <c r="X71" s="189">
        <f t="shared" si="37"/>
        <v>0</v>
      </c>
      <c r="Y71" s="189">
        <f t="shared" si="38"/>
        <v>104.74845000000001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228</v>
      </c>
      <c r="P72" s="225">
        <v>33</v>
      </c>
      <c r="Q72" s="225">
        <v>2001</v>
      </c>
      <c r="R72" s="221">
        <v>1471.92</v>
      </c>
      <c r="S72" s="225"/>
      <c r="T72" s="221"/>
      <c r="U72" s="189">
        <f t="shared" si="34"/>
        <v>0</v>
      </c>
      <c r="V72" s="189">
        <f t="shared" si="35"/>
        <v>11.039400000000001</v>
      </c>
      <c r="W72" s="189">
        <f t="shared" si="36"/>
        <v>0</v>
      </c>
      <c r="X72" s="189">
        <f t="shared" si="37"/>
        <v>0</v>
      </c>
      <c r="Y72" s="189">
        <f t="shared" si="38"/>
        <v>1460.8806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228</v>
      </c>
      <c r="P73" s="225">
        <v>188</v>
      </c>
      <c r="Q73" s="225">
        <v>2001</v>
      </c>
      <c r="R73" s="221">
        <v>1665.89</v>
      </c>
      <c r="S73" s="225"/>
      <c r="T73" s="221"/>
      <c r="U73" s="189">
        <f t="shared" si="34"/>
        <v>0</v>
      </c>
      <c r="V73" s="189">
        <f t="shared" si="35"/>
        <v>12.494175</v>
      </c>
      <c r="W73" s="189">
        <f t="shared" si="36"/>
        <v>0</v>
      </c>
      <c r="X73" s="189">
        <f t="shared" si="37"/>
        <v>0</v>
      </c>
      <c r="Y73" s="189">
        <f t="shared" si="38"/>
        <v>1653.3958250000001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3310.5600000000004</v>
      </c>
      <c r="S75" s="192"/>
      <c r="T75" s="192">
        <f>SUM(T70:T74)</f>
        <v>55.1</v>
      </c>
      <c r="U75" s="192">
        <f>SUM(U70:U74)</f>
        <v>2.3750000000000004</v>
      </c>
      <c r="V75" s="192">
        <f t="shared" ref="V75:AA75" si="41">SUM(V70:V74)</f>
        <v>24.8292</v>
      </c>
      <c r="W75" s="192">
        <f t="shared" si="41"/>
        <v>0</v>
      </c>
      <c r="X75" s="192">
        <f t="shared" si="41"/>
        <v>1.3775000000000002</v>
      </c>
      <c r="Y75" s="192">
        <f t="shared" si="41"/>
        <v>3285.7308000000003</v>
      </c>
      <c r="Z75" s="192">
        <f t="shared" si="41"/>
        <v>0</v>
      </c>
      <c r="AA75" s="193">
        <f t="shared" si="41"/>
        <v>51.347500000000004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>
        <f>146.86+10.46+186.38</f>
        <v>343.70000000000005</v>
      </c>
      <c r="R78" s="82">
        <v>7.4999999999999997E-3</v>
      </c>
      <c r="S78" s="194">
        <f>+(P78+Q78)*R78</f>
        <v>2.5777500000000004</v>
      </c>
      <c r="T78" s="219">
        <f>+(P78+Q78)-S78</f>
        <v>341.12225000000007</v>
      </c>
      <c r="U78" s="112">
        <f>38.84+30.2</f>
        <v>69.040000000000006</v>
      </c>
      <c r="V78" s="112"/>
      <c r="W78" s="113">
        <v>1.4999999999999999E-2</v>
      </c>
      <c r="X78" s="196">
        <f>+(U78+V78)*W78</f>
        <v>1.0356000000000001</v>
      </c>
      <c r="Y78" s="217">
        <f>+(U78+V78)-X78</f>
        <v>68.004400000000004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17.76+157.63+7.05</f>
        <v>182.44</v>
      </c>
      <c r="R79" s="82">
        <v>7.4999999999999997E-3</v>
      </c>
      <c r="S79" s="194">
        <f t="shared" ref="S79:S97" si="43">+(P79+Q79)*R79</f>
        <v>1.3682999999999998</v>
      </c>
      <c r="T79" s="219">
        <f t="shared" ref="T79:T97" si="44">+(P79+Q79)-S79</f>
        <v>181.07169999999999</v>
      </c>
      <c r="U79" s="211">
        <f>53.3+56.62</f>
        <v>109.91999999999999</v>
      </c>
      <c r="V79" s="112"/>
      <c r="W79" s="113">
        <v>1.4999999999999999E-2</v>
      </c>
      <c r="X79" s="196">
        <f t="shared" ref="X79:X97" si="45">+(U79+V79)*W79</f>
        <v>1.6487999999999998</v>
      </c>
      <c r="Y79" s="217">
        <f t="shared" ref="Y79:Y97" si="46">+(U79+V79)-X79</f>
        <v>108.27119999999999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>
        <f>142.67+9.23+305.69+31.68</f>
        <v>489.27</v>
      </c>
      <c r="R80" s="82">
        <v>7.4999999999999997E-3</v>
      </c>
      <c r="S80" s="194">
        <f t="shared" si="43"/>
        <v>3.6695249999999997</v>
      </c>
      <c r="T80" s="219">
        <f t="shared" si="44"/>
        <v>485.60047499999996</v>
      </c>
      <c r="U80" s="211">
        <f>112.8+125.2</f>
        <v>238</v>
      </c>
      <c r="V80" s="112"/>
      <c r="W80" s="113">
        <v>1.4999999999999999E-2</v>
      </c>
      <c r="X80" s="196">
        <f t="shared" si="45"/>
        <v>3.57</v>
      </c>
      <c r="Y80" s="254">
        <f t="shared" si="46"/>
        <v>234.43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506.07+71.41</f>
        <v>577.48</v>
      </c>
      <c r="R81" s="82">
        <v>7.4999999999999997E-3</v>
      </c>
      <c r="S81" s="194">
        <f t="shared" si="43"/>
        <v>4.3311000000000002</v>
      </c>
      <c r="T81" s="219">
        <f t="shared" si="44"/>
        <v>573.14890000000003</v>
      </c>
      <c r="U81" s="211">
        <v>138.25</v>
      </c>
      <c r="V81" s="112"/>
      <c r="W81" s="113">
        <v>1.4999999999999999E-2</v>
      </c>
      <c r="X81" s="196">
        <f t="shared" si="45"/>
        <v>2.07375</v>
      </c>
      <c r="Y81" s="254">
        <f t="shared" si="46"/>
        <v>136.17625000000001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87"/>
      <c r="Q82" s="87">
        <f>363.25+20.28</f>
        <v>383.53</v>
      </c>
      <c r="R82" s="82">
        <v>7.4999999999999997E-3</v>
      </c>
      <c r="S82" s="194">
        <f t="shared" si="43"/>
        <v>2.8764749999999997</v>
      </c>
      <c r="T82" s="219">
        <f t="shared" si="44"/>
        <v>380.65352499999995</v>
      </c>
      <c r="U82" s="112">
        <v>88.69</v>
      </c>
      <c r="V82" s="112"/>
      <c r="W82" s="113">
        <v>1.4999999999999999E-2</v>
      </c>
      <c r="X82" s="196">
        <f t="shared" si="45"/>
        <v>1.3303499999999999</v>
      </c>
      <c r="Y82" s="235">
        <f t="shared" si="46"/>
        <v>87.359650000000002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3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1976.42</v>
      </c>
      <c r="R98" s="111"/>
      <c r="S98" s="195">
        <f>SUM(S78:S97)</f>
        <v>14.823149999999998</v>
      </c>
      <c r="T98" s="195">
        <f>SUM(T78:T97)</f>
        <v>1961.5968500000001</v>
      </c>
      <c r="U98" s="114">
        <f>SUM(U78:U97)</f>
        <v>643.90000000000009</v>
      </c>
      <c r="V98" s="114">
        <f>SUM(V78:V97)</f>
        <v>0</v>
      </c>
      <c r="W98" s="112"/>
      <c r="X98" s="197">
        <f>SUM(X78:X97)</f>
        <v>9.6585000000000001</v>
      </c>
      <c r="Y98" s="197">
        <f>SUM(Y78:Y97)</f>
        <v>634.24149999999997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412.74000000000007</v>
      </c>
      <c r="Q101" s="84"/>
    </row>
    <row r="102" spans="14:30" x14ac:dyDescent="0.25">
      <c r="N102" s="85"/>
      <c r="P102" s="215">
        <f>P79+Q79+U79</f>
        <v>292.36</v>
      </c>
      <c r="Q102" s="84"/>
    </row>
    <row r="103" spans="14:30" x14ac:dyDescent="0.25">
      <c r="N103" s="85"/>
      <c r="P103" s="215">
        <f t="shared" ref="P103:P109" si="50">P80+Q80+U80</f>
        <v>727.27</v>
      </c>
      <c r="Q103" s="84"/>
    </row>
    <row r="104" spans="14:30" x14ac:dyDescent="0.25">
      <c r="N104" s="85"/>
      <c r="P104" s="215">
        <f t="shared" si="50"/>
        <v>715.73</v>
      </c>
      <c r="Q104" s="84"/>
    </row>
    <row r="105" spans="14:30" x14ac:dyDescent="0.25">
      <c r="N105" s="85"/>
      <c r="P105" s="246">
        <f t="shared" si="50"/>
        <v>472.21999999999997</v>
      </c>
      <c r="Q105" s="84"/>
    </row>
    <row r="106" spans="14:30" x14ac:dyDescent="0.25">
      <c r="N106" s="85"/>
      <c r="P106" s="218">
        <f t="shared" si="50"/>
        <v>0</v>
      </c>
      <c r="Q106" s="84"/>
    </row>
    <row r="107" spans="14:30" x14ac:dyDescent="0.25">
      <c r="N107" s="85"/>
      <c r="P107" s="218">
        <f>P84+Q84+U84</f>
        <v>0</v>
      </c>
      <c r="Q107" s="84"/>
    </row>
    <row r="108" spans="14:30" x14ac:dyDescent="0.25">
      <c r="N108" s="85"/>
      <c r="P108" s="84">
        <f>P85+Q85+U85</f>
        <v>0</v>
      </c>
      <c r="Q108" s="84"/>
    </row>
    <row r="109" spans="14:30" x14ac:dyDescent="0.25">
      <c r="N109" s="85"/>
      <c r="P109" s="218">
        <f t="shared" si="50"/>
        <v>0</v>
      </c>
      <c r="Q109" s="84"/>
    </row>
    <row r="110" spans="14:30" x14ac:dyDescent="0.25">
      <c r="N110" s="85"/>
      <c r="P110" s="246">
        <f>P87+Q87+U87</f>
        <v>0</v>
      </c>
      <c r="Q110" s="84"/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41" zoomScale="90" zoomScaleNormal="90" workbookViewId="0">
      <selection activeCell="I42" sqref="I4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>
        <v>5.87</v>
      </c>
    </row>
    <row r="9" spans="1:28" x14ac:dyDescent="0.25">
      <c r="A9" s="7" t="s">
        <v>76</v>
      </c>
      <c r="B9" s="108">
        <v>5.78</v>
      </c>
      <c r="C9" s="85" t="s">
        <v>93</v>
      </c>
      <c r="D9" s="108">
        <v>5.91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1919.5</v>
      </c>
      <c r="C12" s="15"/>
      <c r="D12" s="56"/>
      <c r="E12" s="16"/>
      <c r="F12" s="56"/>
      <c r="G12" s="56"/>
      <c r="H12" s="17"/>
      <c r="I12" s="83">
        <v>1919.5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202</v>
      </c>
      <c r="Q12" s="158">
        <v>11</v>
      </c>
      <c r="R12" s="159">
        <v>2431.9299999999998</v>
      </c>
      <c r="S12" s="160"/>
      <c r="T12" s="160">
        <v>42.03</v>
      </c>
      <c r="U12" s="189">
        <f>((T12/U$10)*U$9)</f>
        <v>1.811637931034483</v>
      </c>
      <c r="V12" s="189">
        <f>R12*V$10</f>
        <v>18.239474999999999</v>
      </c>
      <c r="W12" s="189">
        <f>+S12*V$10</f>
        <v>0</v>
      </c>
      <c r="X12" s="189">
        <f>+T12*X$10</f>
        <v>1.0507500000000001</v>
      </c>
      <c r="Y12" s="189">
        <f>R12-V12</f>
        <v>2413.690525</v>
      </c>
      <c r="Z12" s="189">
        <f>S12-W12</f>
        <v>0</v>
      </c>
      <c r="AA12" s="189">
        <f>T12-U12-X12</f>
        <v>39.167612068965518</v>
      </c>
      <c r="AB12" s="156"/>
    </row>
    <row r="13" spans="1:28" ht="15.75" x14ac:dyDescent="0.25">
      <c r="A13" s="86" t="s">
        <v>74</v>
      </c>
      <c r="B13" s="89">
        <v>1497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1497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201</v>
      </c>
      <c r="Q13" s="158">
        <v>11</v>
      </c>
      <c r="R13" s="159">
        <v>3905.9</v>
      </c>
      <c r="S13" s="160"/>
      <c r="T13" s="161">
        <v>48.3</v>
      </c>
      <c r="U13" s="189">
        <f t="shared" ref="U13:U41" si="2">((T13/U$10)*U$9)</f>
        <v>2.0818965517241383</v>
      </c>
      <c r="V13" s="189">
        <f t="shared" ref="V13:V41" si="3">R13*V$10</f>
        <v>29.294249999999998</v>
      </c>
      <c r="W13" s="189">
        <f t="shared" ref="W13:W41" si="4">+S13*V$10</f>
        <v>0</v>
      </c>
      <c r="X13" s="189">
        <f t="shared" ref="X13:X41" si="5">+T13*X$10</f>
        <v>1.2075</v>
      </c>
      <c r="Y13" s="189">
        <f t="shared" ref="Y13:Z41" si="6">R13-V13</f>
        <v>3876.6057500000002</v>
      </c>
      <c r="Z13" s="189">
        <f t="shared" si="6"/>
        <v>0</v>
      </c>
      <c r="AA13" s="189">
        <f t="shared" ref="AA13:AA41" si="7">T13-U13-X13</f>
        <v>45.010603448275859</v>
      </c>
      <c r="AB13" s="156"/>
    </row>
    <row r="14" spans="1:28" ht="15.75" x14ac:dyDescent="0.25">
      <c r="A14" s="86" t="s">
        <v>81</v>
      </c>
      <c r="B14" s="57">
        <f>B13*B8</f>
        <v>8667.6299999999992</v>
      </c>
      <c r="C14" s="15"/>
      <c r="D14" s="56"/>
      <c r="E14" s="16"/>
      <c r="F14" s="56"/>
      <c r="G14" s="56"/>
      <c r="H14" s="17"/>
      <c r="I14" s="83"/>
      <c r="J14" s="81">
        <f t="shared" si="0"/>
        <v>8667.6299999999992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584</v>
      </c>
      <c r="Q14" s="158">
        <v>2</v>
      </c>
      <c r="R14" s="159">
        <v>1011.18</v>
      </c>
      <c r="S14" s="160"/>
      <c r="T14" s="161">
        <v>70.47</v>
      </c>
      <c r="U14" s="189">
        <f t="shared" si="2"/>
        <v>3.0375000000000001</v>
      </c>
      <c r="V14" s="189">
        <f t="shared" si="3"/>
        <v>7.5838499999999991</v>
      </c>
      <c r="W14" s="189">
        <f t="shared" si="4"/>
        <v>0</v>
      </c>
      <c r="X14" s="189">
        <f t="shared" si="5"/>
        <v>1.7617500000000001</v>
      </c>
      <c r="Y14" s="189">
        <f t="shared" si="6"/>
        <v>1003.59615</v>
      </c>
      <c r="Z14" s="189">
        <f t="shared" si="6"/>
        <v>0</v>
      </c>
      <c r="AA14" s="189">
        <f t="shared" si="7"/>
        <v>65.670749999999998</v>
      </c>
      <c r="AB14" s="156"/>
    </row>
    <row r="15" spans="1:28" ht="15.75" x14ac:dyDescent="0.25">
      <c r="A15" s="86" t="s">
        <v>77</v>
      </c>
      <c r="B15" s="56">
        <v>790</v>
      </c>
      <c r="C15" s="15"/>
      <c r="D15" s="56"/>
      <c r="E15" s="16"/>
      <c r="F15" s="56"/>
      <c r="G15" s="56"/>
      <c r="H15" s="17"/>
      <c r="I15" s="83"/>
      <c r="J15" s="81">
        <f t="shared" si="0"/>
        <v>790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566</v>
      </c>
      <c r="Q15" s="158">
        <v>4</v>
      </c>
      <c r="R15" s="159">
        <v>2453.44</v>
      </c>
      <c r="S15" s="160"/>
      <c r="T15" s="161">
        <v>142.56</v>
      </c>
      <c r="U15" s="189">
        <f t="shared" si="2"/>
        <v>6.1448275862068975</v>
      </c>
      <c r="V15" s="189">
        <f t="shared" si="3"/>
        <v>18.4008</v>
      </c>
      <c r="W15" s="189">
        <f t="shared" si="4"/>
        <v>0</v>
      </c>
      <c r="X15" s="189">
        <f t="shared" si="5"/>
        <v>3.5640000000000001</v>
      </c>
      <c r="Y15" s="189">
        <f t="shared" si="6"/>
        <v>2435.0392000000002</v>
      </c>
      <c r="Z15" s="189">
        <f t="shared" si="6"/>
        <v>0</v>
      </c>
      <c r="AA15" s="189">
        <f t="shared" si="7"/>
        <v>132.85117241379311</v>
      </c>
      <c r="AB15" s="156"/>
    </row>
    <row r="16" spans="1:28" ht="15.75" x14ac:dyDescent="0.25">
      <c r="A16" s="86" t="s">
        <v>81</v>
      </c>
      <c r="B16" s="57">
        <f>B15*B9</f>
        <v>4566.2</v>
      </c>
      <c r="C16" s="15"/>
      <c r="D16" s="56"/>
      <c r="E16" s="16"/>
      <c r="F16" s="56"/>
      <c r="G16" s="56"/>
      <c r="H16" s="17"/>
      <c r="I16" s="83"/>
      <c r="J16" s="81">
        <f t="shared" si="0"/>
        <v>4566.2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565</v>
      </c>
      <c r="Q16" s="158">
        <v>4</v>
      </c>
      <c r="R16" s="159">
        <v>924.31</v>
      </c>
      <c r="S16" s="160"/>
      <c r="T16" s="161">
        <v>20.75</v>
      </c>
      <c r="U16" s="189">
        <f t="shared" si="2"/>
        <v>0.89439655172413812</v>
      </c>
      <c r="V16" s="189">
        <f t="shared" si="3"/>
        <v>6.9323249999999996</v>
      </c>
      <c r="W16" s="189">
        <f t="shared" si="4"/>
        <v>0</v>
      </c>
      <c r="X16" s="189">
        <f t="shared" si="5"/>
        <v>0.51875000000000004</v>
      </c>
      <c r="Y16" s="189">
        <f t="shared" si="6"/>
        <v>917.37767499999995</v>
      </c>
      <c r="Z16" s="189">
        <f t="shared" si="6"/>
        <v>0</v>
      </c>
      <c r="AA16" s="189">
        <f t="shared" si="7"/>
        <v>19.336853448275861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556</v>
      </c>
      <c r="Q17" s="158">
        <v>14</v>
      </c>
      <c r="R17" s="159">
        <v>393.7</v>
      </c>
      <c r="S17" s="160"/>
      <c r="T17" s="161"/>
      <c r="U17" s="189">
        <f t="shared" si="2"/>
        <v>0</v>
      </c>
      <c r="V17" s="189">
        <f t="shared" si="3"/>
        <v>2.95275</v>
      </c>
      <c r="W17" s="189">
        <f t="shared" si="4"/>
        <v>0</v>
      </c>
      <c r="X17" s="189">
        <f t="shared" si="5"/>
        <v>0</v>
      </c>
      <c r="Y17" s="189">
        <f t="shared" si="6"/>
        <v>390.74725000000001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557</v>
      </c>
      <c r="Q18" s="158">
        <v>14</v>
      </c>
      <c r="R18" s="159">
        <v>2148.1999999999998</v>
      </c>
      <c r="S18" s="160"/>
      <c r="T18" s="161"/>
      <c r="U18" s="189">
        <f t="shared" si="2"/>
        <v>0</v>
      </c>
      <c r="V18" s="189">
        <f t="shared" si="3"/>
        <v>16.111499999999999</v>
      </c>
      <c r="W18" s="189">
        <f t="shared" si="4"/>
        <v>0</v>
      </c>
      <c r="X18" s="189">
        <f t="shared" si="5"/>
        <v>0</v>
      </c>
      <c r="Y18" s="189">
        <f t="shared" si="6"/>
        <v>2132.0884999999998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2287</v>
      </c>
      <c r="C19" s="95"/>
      <c r="D19" s="94"/>
      <c r="E19" s="96"/>
      <c r="F19" s="94"/>
      <c r="G19" s="94"/>
      <c r="H19" s="98"/>
      <c r="I19" s="99">
        <v>2287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652</v>
      </c>
      <c r="Q19" s="158">
        <v>18</v>
      </c>
      <c r="R19" s="159">
        <v>1397.77</v>
      </c>
      <c r="S19" s="160"/>
      <c r="T19" s="161"/>
      <c r="U19" s="189">
        <f t="shared" si="2"/>
        <v>0</v>
      </c>
      <c r="V19" s="189">
        <f t="shared" si="3"/>
        <v>10.483274999999999</v>
      </c>
      <c r="W19" s="189">
        <f t="shared" si="4"/>
        <v>0</v>
      </c>
      <c r="X19" s="189">
        <f t="shared" si="5"/>
        <v>0</v>
      </c>
      <c r="Y19" s="189">
        <f t="shared" si="6"/>
        <v>1387.2867249999999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13233.829999999998</v>
      </c>
      <c r="C20" s="95"/>
      <c r="D20" s="94"/>
      <c r="E20" s="96"/>
      <c r="F20" s="94"/>
      <c r="G20" s="94"/>
      <c r="H20" s="98"/>
      <c r="I20" s="99">
        <v>13241.73</v>
      </c>
      <c r="J20" s="185">
        <f t="shared" si="0"/>
        <v>-7.9000000000014552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653</v>
      </c>
      <c r="Q20" s="158">
        <v>18</v>
      </c>
      <c r="R20" s="159">
        <v>2131.81</v>
      </c>
      <c r="S20" s="160"/>
      <c r="T20" s="161">
        <v>5.21</v>
      </c>
      <c r="U20" s="189">
        <f t="shared" si="2"/>
        <v>0.22456896551724143</v>
      </c>
      <c r="V20" s="189">
        <f t="shared" si="3"/>
        <v>15.988574999999999</v>
      </c>
      <c r="W20" s="189">
        <f t="shared" si="4"/>
        <v>0</v>
      </c>
      <c r="X20" s="189">
        <f t="shared" si="5"/>
        <v>0.13025</v>
      </c>
      <c r="Y20" s="189">
        <f t="shared" si="6"/>
        <v>2115.8214250000001</v>
      </c>
      <c r="Z20" s="189">
        <f t="shared" si="6"/>
        <v>0</v>
      </c>
      <c r="AA20" s="189">
        <f t="shared" si="7"/>
        <v>4.855181034482758</v>
      </c>
      <c r="AB20" s="156"/>
    </row>
    <row r="21" spans="1:28" ht="15.75" x14ac:dyDescent="0.25">
      <c r="A21" s="86" t="s">
        <v>82</v>
      </c>
      <c r="B21" s="89">
        <v>2</v>
      </c>
      <c r="C21" s="100"/>
      <c r="D21" s="66"/>
      <c r="E21" s="67"/>
      <c r="F21" s="66"/>
      <c r="G21" s="66"/>
      <c r="H21" s="102"/>
      <c r="I21" s="79"/>
      <c r="J21" s="81">
        <f t="shared" si="0"/>
        <v>2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11.74</v>
      </c>
      <c r="C22" s="100"/>
      <c r="D22" s="66"/>
      <c r="E22" s="67"/>
      <c r="F22" s="66"/>
      <c r="G22" s="66"/>
      <c r="H22" s="102"/>
      <c r="I22" s="79"/>
      <c r="J22" s="81">
        <f t="shared" si="0"/>
        <v>11.74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3</v>
      </c>
      <c r="C23" s="100"/>
      <c r="D23" s="66"/>
      <c r="E23" s="67"/>
      <c r="F23" s="66"/>
      <c r="G23" s="66"/>
      <c r="H23" s="102"/>
      <c r="I23" s="79"/>
      <c r="J23" s="81">
        <f t="shared" si="0"/>
        <v>3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17.73</v>
      </c>
      <c r="C24" s="100"/>
      <c r="D24" s="66"/>
      <c r="E24" s="67"/>
      <c r="F24" s="66"/>
      <c r="G24" s="66"/>
      <c r="H24" s="102"/>
      <c r="I24" s="79"/>
      <c r="J24" s="81">
        <f t="shared" si="0"/>
        <v>17.73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29.47</v>
      </c>
      <c r="C28" s="95"/>
      <c r="D28" s="94"/>
      <c r="E28" s="96"/>
      <c r="F28" s="94"/>
      <c r="G28" s="94"/>
      <c r="H28" s="98"/>
      <c r="I28" s="99">
        <v>29.55</v>
      </c>
      <c r="J28" s="185">
        <f t="shared" si="0"/>
        <v>-8.0000000000001847E-2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55.46</v>
      </c>
      <c r="C29" s="100"/>
      <c r="D29" s="66"/>
      <c r="E29" s="67"/>
      <c r="F29" s="66"/>
      <c r="G29" s="66"/>
      <c r="H29" s="102"/>
      <c r="I29" s="79"/>
      <c r="J29" s="81">
        <f t="shared" si="0"/>
        <v>55.46</v>
      </c>
      <c r="K29" s="80"/>
      <c r="L29" s="186">
        <f>K29-B29</f>
        <v>-55.46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321.11340000000001</v>
      </c>
      <c r="C30" s="100"/>
      <c r="D30" s="66"/>
      <c r="E30" s="67"/>
      <c r="F30" s="66"/>
      <c r="G30" s="66"/>
      <c r="H30" s="102"/>
      <c r="I30" s="79"/>
      <c r="J30" s="81">
        <f t="shared" si="0"/>
        <v>321.11340000000001</v>
      </c>
      <c r="K30" s="80"/>
      <c r="L30" s="186">
        <f>K30-B30</f>
        <v>-321.11340000000001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55.46</v>
      </c>
      <c r="C35" s="95"/>
      <c r="D35" s="94"/>
      <c r="E35" s="96"/>
      <c r="F35" s="94"/>
      <c r="G35" s="94"/>
      <c r="H35" s="98"/>
      <c r="I35" s="99">
        <v>55.46</v>
      </c>
      <c r="J35" s="185">
        <f t="shared" si="0"/>
        <v>0</v>
      </c>
      <c r="K35" s="99"/>
      <c r="L35" s="187">
        <f t="shared" ref="L35:L40" si="8">K35-B35</f>
        <v>-55.46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321.11340000000001</v>
      </c>
      <c r="C36" s="95"/>
      <c r="D36" s="94"/>
      <c r="E36" s="96"/>
      <c r="F36" s="94"/>
      <c r="G36" s="94"/>
      <c r="H36" s="98"/>
      <c r="I36" s="99"/>
      <c r="J36" s="185">
        <f t="shared" si="0"/>
        <v>321.11340000000001</v>
      </c>
      <c r="K36" s="99"/>
      <c r="L36" s="187">
        <f t="shared" si="8"/>
        <v>-321.11340000000001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47.97</v>
      </c>
      <c r="C37" s="100"/>
      <c r="D37" s="66"/>
      <c r="E37" s="67"/>
      <c r="F37" s="66"/>
      <c r="G37" s="66"/>
      <c r="H37" s="102"/>
      <c r="I37" s="79"/>
      <c r="J37" s="81">
        <f t="shared" si="0"/>
        <v>47.97</v>
      </c>
      <c r="K37" s="80"/>
      <c r="L37" s="186">
        <f t="shared" si="8"/>
        <v>-47.97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277.74630000000002</v>
      </c>
      <c r="C38" s="100"/>
      <c r="D38" s="66"/>
      <c r="E38" s="67"/>
      <c r="F38" s="66"/>
      <c r="G38" s="66"/>
      <c r="H38" s="102"/>
      <c r="I38" s="79"/>
      <c r="J38" s="81">
        <f t="shared" si="0"/>
        <v>277.74630000000002</v>
      </c>
      <c r="K38" s="80"/>
      <c r="L38" s="186">
        <f t="shared" si="8"/>
        <v>-277.74630000000002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9">SUM(R12:R41)</f>
        <v>16798.240000000002</v>
      </c>
      <c r="S42" s="190">
        <f t="shared" si="9"/>
        <v>0</v>
      </c>
      <c r="T42" s="190">
        <f t="shared" si="9"/>
        <v>329.32</v>
      </c>
      <c r="U42" s="190">
        <f t="shared" si="9"/>
        <v>14.194827586206898</v>
      </c>
      <c r="V42" s="190">
        <f t="shared" si="9"/>
        <v>125.98679999999999</v>
      </c>
      <c r="W42" s="190">
        <f t="shared" si="9"/>
        <v>0</v>
      </c>
      <c r="X42" s="190">
        <f t="shared" si="9"/>
        <v>8.2330000000000005</v>
      </c>
      <c r="Y42" s="190">
        <f t="shared" si="9"/>
        <v>16672.253199999999</v>
      </c>
      <c r="Z42" s="190">
        <f t="shared" si="9"/>
        <v>0</v>
      </c>
      <c r="AA42" s="190">
        <f t="shared" si="9"/>
        <v>306.89217241379311</v>
      </c>
      <c r="AB42" s="166"/>
    </row>
    <row r="43" spans="1:28" ht="15.75" x14ac:dyDescent="0.25">
      <c r="A43" s="93" t="s">
        <v>101</v>
      </c>
      <c r="B43" s="97">
        <f>+B37+B39+B41</f>
        <v>47.97</v>
      </c>
      <c r="C43" s="95"/>
      <c r="D43" s="94"/>
      <c r="E43" s="96"/>
      <c r="F43" s="94"/>
      <c r="G43" s="94"/>
      <c r="H43" s="98"/>
      <c r="I43" s="99">
        <v>47.97</v>
      </c>
      <c r="J43" s="185">
        <f t="shared" si="0"/>
        <v>0</v>
      </c>
      <c r="K43" s="99"/>
      <c r="L43" s="187">
        <f>K43-B43</f>
        <v>-47.97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277.74630000000002</v>
      </c>
      <c r="C44" s="95"/>
      <c r="D44" s="94"/>
      <c r="E44" s="96"/>
      <c r="F44" s="94"/>
      <c r="G44" s="94"/>
      <c r="H44" s="98"/>
      <c r="I44" s="99">
        <v>277.75</v>
      </c>
      <c r="J44" s="185">
        <f t="shared" si="0"/>
        <v>-3.6999999999807187E-3</v>
      </c>
      <c r="K44" s="99"/>
      <c r="L44" s="187">
        <f>K44-B44</f>
        <v>-277.74630000000002</v>
      </c>
      <c r="M44" s="107"/>
      <c r="N44" s="104">
        <v>2</v>
      </c>
      <c r="O44" s="167" t="s">
        <v>69</v>
      </c>
      <c r="P44" s="158"/>
      <c r="Q44" s="158"/>
      <c r="R44" s="160">
        <v>756.21</v>
      </c>
      <c r="S44" s="160"/>
      <c r="T44" s="160"/>
      <c r="U44" s="189">
        <f t="shared" si="10"/>
        <v>0</v>
      </c>
      <c r="V44" s="189">
        <f t="shared" si="11"/>
        <v>5.6715749999999998</v>
      </c>
      <c r="W44" s="189">
        <f t="shared" si="12"/>
        <v>0</v>
      </c>
      <c r="X44" s="189">
        <f t="shared" si="13"/>
        <v>0</v>
      </c>
      <c r="Y44" s="189">
        <f t="shared" si="14"/>
        <v>750.53842500000007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1999.24</v>
      </c>
      <c r="S45" s="160"/>
      <c r="T45" s="160">
        <v>50</v>
      </c>
      <c r="U45" s="189">
        <f t="shared" si="10"/>
        <v>2.1551724137931036</v>
      </c>
      <c r="V45" s="189">
        <f t="shared" si="11"/>
        <v>14.994299999999999</v>
      </c>
      <c r="W45" s="189">
        <f t="shared" si="12"/>
        <v>0</v>
      </c>
      <c r="X45" s="189">
        <f t="shared" si="13"/>
        <v>1.25</v>
      </c>
      <c r="Y45" s="189">
        <f t="shared" si="14"/>
        <v>1984.2456999999999</v>
      </c>
      <c r="Z45" s="189">
        <f t="shared" si="14"/>
        <v>0</v>
      </c>
      <c r="AA45" s="189">
        <f t="shared" si="15"/>
        <v>46.594827586206897</v>
      </c>
      <c r="AB45" s="156"/>
    </row>
    <row r="46" spans="1:28" ht="15.75" x14ac:dyDescent="0.25">
      <c r="A46" s="115" t="s">
        <v>27</v>
      </c>
      <c r="B46" s="117">
        <f>R42</f>
        <v>16798.240000000002</v>
      </c>
      <c r="C46" s="116">
        <v>7.4999999999999997E-3</v>
      </c>
      <c r="D46" s="117">
        <f>B46*C46</f>
        <v>125.9868</v>
      </c>
      <c r="E46" s="172">
        <v>0</v>
      </c>
      <c r="F46" s="117">
        <f t="shared" ref="F46:F50" si="16">D46*E46</f>
        <v>0</v>
      </c>
      <c r="G46" s="117">
        <f t="shared" ref="G46:G51" si="17">B46-D46-F46</f>
        <v>16672.253200000003</v>
      </c>
      <c r="H46" s="173">
        <f>B$6+1</f>
        <v>44772</v>
      </c>
      <c r="I46" s="174">
        <v>13538.14</v>
      </c>
      <c r="J46" s="81">
        <f t="shared" si="0"/>
        <v>3260.1000000000022</v>
      </c>
      <c r="K46" s="80"/>
      <c r="L46" s="186">
        <f t="shared" ref="L46:L64" si="18">+G46-K46</f>
        <v>16672.253200000003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2755.45</v>
      </c>
      <c r="C47" s="116">
        <v>7.4999999999999997E-3</v>
      </c>
      <c r="D47" s="117">
        <f t="shared" ref="D47:D50" si="19">B47*C47</f>
        <v>20.665874999999996</v>
      </c>
      <c r="E47" s="172">
        <v>0</v>
      </c>
      <c r="F47" s="117">
        <f t="shared" si="16"/>
        <v>0</v>
      </c>
      <c r="G47" s="117">
        <f t="shared" si="17"/>
        <v>2734.7841249999997</v>
      </c>
      <c r="H47" s="173">
        <f>B$6+1</f>
        <v>44772</v>
      </c>
      <c r="I47" s="175">
        <v>2755.45</v>
      </c>
      <c r="J47" s="81">
        <f t="shared" si="0"/>
        <v>0</v>
      </c>
      <c r="K47" s="80"/>
      <c r="L47" s="186">
        <f t="shared" si="18"/>
        <v>2734.7841249999997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169</v>
      </c>
      <c r="B48" s="117">
        <f>R69</f>
        <v>125.03</v>
      </c>
      <c r="C48" s="116">
        <v>1.4999999999999999E-2</v>
      </c>
      <c r="D48" s="117">
        <f t="shared" si="19"/>
        <v>1.8754499999999998</v>
      </c>
      <c r="E48" s="172">
        <v>0</v>
      </c>
      <c r="F48" s="117">
        <f t="shared" si="16"/>
        <v>0</v>
      </c>
      <c r="G48" s="117">
        <f t="shared" si="17"/>
        <v>123.15455</v>
      </c>
      <c r="H48" s="173">
        <f t="shared" ref="H48:H61" si="20">B$6+1</f>
        <v>44772</v>
      </c>
      <c r="I48" s="176">
        <v>125.03</v>
      </c>
      <c r="J48" s="81">
        <f t="shared" si="0"/>
        <v>0</v>
      </c>
      <c r="K48" s="80"/>
      <c r="L48" s="186">
        <f t="shared" si="18"/>
        <v>123.15455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235</v>
      </c>
      <c r="B49" s="117">
        <f>R75</f>
        <v>4326.8900000000003</v>
      </c>
      <c r="C49" s="116">
        <v>7.4999999999999997E-3</v>
      </c>
      <c r="D49" s="117">
        <f t="shared" si="19"/>
        <v>32.451675000000002</v>
      </c>
      <c r="E49" s="172">
        <v>0</v>
      </c>
      <c r="F49" s="117">
        <f t="shared" si="16"/>
        <v>0</v>
      </c>
      <c r="G49" s="117">
        <f t="shared" si="17"/>
        <v>4294.4383250000001</v>
      </c>
      <c r="H49" s="173">
        <f t="shared" si="20"/>
        <v>44772</v>
      </c>
      <c r="I49" s="176">
        <v>4326.8900000000003</v>
      </c>
      <c r="J49" s="81">
        <f t="shared" si="0"/>
        <v>0</v>
      </c>
      <c r="K49" s="80"/>
      <c r="L49" s="186">
        <f t="shared" si="18"/>
        <v>4294.4383250000001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2922.35</v>
      </c>
      <c r="C50" s="116">
        <v>7.4999999999999997E-3</v>
      </c>
      <c r="D50" s="117">
        <f t="shared" si="19"/>
        <v>21.917624999999997</v>
      </c>
      <c r="E50" s="172">
        <v>0</v>
      </c>
      <c r="F50" s="117">
        <f t="shared" si="16"/>
        <v>0</v>
      </c>
      <c r="G50" s="117">
        <f t="shared" si="17"/>
        <v>2900.4323749999999</v>
      </c>
      <c r="H50" s="173">
        <f t="shared" si="20"/>
        <v>44772</v>
      </c>
      <c r="I50" s="175">
        <v>4106.3100000000004</v>
      </c>
      <c r="J50" s="81">
        <f>B50-I50</f>
        <v>-1183.9600000000005</v>
      </c>
      <c r="K50" s="80"/>
      <c r="L50" s="186">
        <f t="shared" si="18"/>
        <v>2900.4323749999999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1184.46</v>
      </c>
      <c r="C51" s="116">
        <v>1.4999999999999999E-2</v>
      </c>
      <c r="D51" s="117">
        <f>+B51*C51</f>
        <v>17.7669</v>
      </c>
      <c r="E51" s="172">
        <v>0</v>
      </c>
      <c r="F51" s="117">
        <f>D51*E51</f>
        <v>0</v>
      </c>
      <c r="G51" s="117">
        <f t="shared" si="17"/>
        <v>1166.6931</v>
      </c>
      <c r="H51" s="173">
        <f t="shared" si="20"/>
        <v>44772</v>
      </c>
      <c r="I51" s="175"/>
      <c r="J51" s="81">
        <f t="shared" si="0"/>
        <v>1184.46</v>
      </c>
      <c r="K51" s="80"/>
      <c r="L51" s="186">
        <f t="shared" si="18"/>
        <v>1166.6931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329.32</v>
      </c>
      <c r="C52" s="116">
        <v>2.5000000000000001E-2</v>
      </c>
      <c r="D52" s="117">
        <f>B52*C52</f>
        <v>8.2330000000000005</v>
      </c>
      <c r="E52" s="172">
        <v>0.05</v>
      </c>
      <c r="F52" s="117">
        <f>(B52/E$10)*E52</f>
        <v>14.194827586206898</v>
      </c>
      <c r="G52" s="117">
        <f>B52-D52-F52</f>
        <v>306.89217241379311</v>
      </c>
      <c r="H52" s="188">
        <f t="shared" si="20"/>
        <v>44772</v>
      </c>
      <c r="I52" s="176">
        <v>329.32</v>
      </c>
      <c r="J52" s="81">
        <f t="shared" si="0"/>
        <v>0</v>
      </c>
      <c r="K52" s="80"/>
      <c r="L52" s="186">
        <f t="shared" si="18"/>
        <v>306.89217241379311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50</v>
      </c>
      <c r="C53" s="116">
        <v>2.5000000000000001E-2</v>
      </c>
      <c r="D53" s="117">
        <f t="shared" ref="D53:D56" si="21">B53*C53</f>
        <v>1.25</v>
      </c>
      <c r="E53" s="172">
        <v>0.05</v>
      </c>
      <c r="F53" s="117">
        <f t="shared" ref="F53:F56" si="22">(B53/E$10)*E53</f>
        <v>2.1551724137931036</v>
      </c>
      <c r="G53" s="117">
        <f t="shared" ref="G53:G58" si="23">B53-D53-F53</f>
        <v>46.594827586206897</v>
      </c>
      <c r="H53" s="188">
        <f t="shared" si="20"/>
        <v>44772</v>
      </c>
      <c r="I53" s="176">
        <v>50</v>
      </c>
      <c r="J53" s="81">
        <f t="shared" si="0"/>
        <v>0</v>
      </c>
      <c r="K53" s="80"/>
      <c r="L53" s="186">
        <f t="shared" si="18"/>
        <v>46.594827586206897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210</v>
      </c>
      <c r="B56" s="117">
        <f>T75</f>
        <v>367.64</v>
      </c>
      <c r="C56" s="116">
        <v>2.5000000000000001E-2</v>
      </c>
      <c r="D56" s="117">
        <f t="shared" si="21"/>
        <v>9.1910000000000007</v>
      </c>
      <c r="E56" s="172">
        <v>0.05</v>
      </c>
      <c r="F56" s="117">
        <f t="shared" si="22"/>
        <v>15.846551724137932</v>
      </c>
      <c r="G56" s="117">
        <f t="shared" si="23"/>
        <v>342.60244827586206</v>
      </c>
      <c r="H56" s="173">
        <f t="shared" si="20"/>
        <v>44772</v>
      </c>
      <c r="I56" s="176">
        <v>367.64</v>
      </c>
      <c r="J56" s="81">
        <f t="shared" si="0"/>
        <v>0</v>
      </c>
      <c r="K56" s="80"/>
      <c r="L56" s="186">
        <f t="shared" si="18"/>
        <v>342.60244827586206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239.33832499999997</v>
      </c>
      <c r="E61" s="177"/>
      <c r="F61" s="57">
        <f>SUM(F46:F58)</f>
        <v>32.196551724137933</v>
      </c>
      <c r="G61" s="57">
        <f>SUM(G46:G58)</f>
        <v>28587.845123275863</v>
      </c>
      <c r="H61" s="173">
        <f t="shared" si="20"/>
        <v>44772</v>
      </c>
      <c r="I61" s="175"/>
      <c r="J61" s="81">
        <f t="shared" si="0"/>
        <v>0</v>
      </c>
      <c r="K61" s="80"/>
      <c r="L61" s="186">
        <f t="shared" si="18"/>
        <v>28587.845123275863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2755.45</v>
      </c>
      <c r="S63" s="191">
        <f>SUM(S43:S62)</f>
        <v>0</v>
      </c>
      <c r="T63" s="191">
        <f>SUM(T43:T62)</f>
        <v>50</v>
      </c>
      <c r="U63" s="191">
        <f t="shared" ref="U63:X63" si="26">SUM(U43:U62)</f>
        <v>2.1551724137931036</v>
      </c>
      <c r="V63" s="191">
        <f t="shared" si="26"/>
        <v>20.665875</v>
      </c>
      <c r="W63" s="191">
        <f t="shared" si="26"/>
        <v>0</v>
      </c>
      <c r="X63" s="191">
        <f t="shared" si="26"/>
        <v>1.25</v>
      </c>
      <c r="Y63" s="191">
        <f>SUM(Y43:Y62)</f>
        <v>2734.7841250000001</v>
      </c>
      <c r="Z63" s="191">
        <f t="shared" ref="Z63:AA63" si="27">SUM(Z43:Z62)</f>
        <v>0</v>
      </c>
      <c r="AA63" s="191">
        <f t="shared" si="27"/>
        <v>46.594827586206897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57175.690246551727</v>
      </c>
      <c r="H64" s="184"/>
      <c r="I64" s="175"/>
      <c r="J64" s="81">
        <f t="shared" si="0"/>
        <v>0</v>
      </c>
      <c r="K64" s="80"/>
      <c r="L64" s="186">
        <f t="shared" si="18"/>
        <v>57175.690246551727</v>
      </c>
      <c r="M64" s="130"/>
      <c r="N64" s="87">
        <v>1</v>
      </c>
      <c r="O64" s="122" t="s">
        <v>209</v>
      </c>
      <c r="P64" s="225"/>
      <c r="Q64" s="225">
        <v>7779</v>
      </c>
      <c r="R64" s="225">
        <v>25.31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0.18982499999999999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25.120175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44641.039699999994</v>
      </c>
      <c r="G65" s="22"/>
      <c r="L65" s="132"/>
      <c r="M65" s="131"/>
      <c r="N65" s="87">
        <v>2</v>
      </c>
      <c r="O65" s="122" t="s">
        <v>209</v>
      </c>
      <c r="P65" s="225"/>
      <c r="Q65" s="225">
        <v>2055</v>
      </c>
      <c r="R65" s="221">
        <v>43.19</v>
      </c>
      <c r="S65" s="225"/>
      <c r="T65" s="87"/>
      <c r="U65" s="189">
        <f t="shared" si="28"/>
        <v>0</v>
      </c>
      <c r="V65" s="189">
        <f t="shared" si="29"/>
        <v>0.32392499999999996</v>
      </c>
      <c r="W65" s="189">
        <f t="shared" si="30"/>
        <v>0</v>
      </c>
      <c r="X65" s="189">
        <f t="shared" si="31"/>
        <v>0</v>
      </c>
      <c r="Y65" s="189">
        <f t="shared" si="32"/>
        <v>42.866074999999995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5"/>
      <c r="Q66" s="225">
        <v>8885</v>
      </c>
      <c r="R66" s="225">
        <v>23.22</v>
      </c>
      <c r="S66" s="225"/>
      <c r="T66" s="87"/>
      <c r="U66" s="189">
        <f t="shared" si="28"/>
        <v>0</v>
      </c>
      <c r="V66" s="189">
        <f t="shared" si="29"/>
        <v>0.17414999999999997</v>
      </c>
      <c r="W66" s="189">
        <f t="shared" si="30"/>
        <v>0</v>
      </c>
      <c r="X66" s="189">
        <f t="shared" si="31"/>
        <v>0</v>
      </c>
      <c r="Y66" s="189">
        <f t="shared" si="32"/>
        <v>23.045849999999998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209</v>
      </c>
      <c r="P67" s="225"/>
      <c r="Q67" s="225">
        <v>4491</v>
      </c>
      <c r="R67" s="225">
        <v>11.27</v>
      </c>
      <c r="S67" s="225"/>
      <c r="T67" s="87"/>
      <c r="U67" s="189">
        <f t="shared" si="28"/>
        <v>0</v>
      </c>
      <c r="V67" s="189">
        <f t="shared" si="29"/>
        <v>8.4524999999999989E-2</v>
      </c>
      <c r="W67" s="189">
        <f t="shared" si="30"/>
        <v>0</v>
      </c>
      <c r="X67" s="189">
        <f t="shared" si="31"/>
        <v>0</v>
      </c>
      <c r="Y67" s="189">
        <f t="shared" si="32"/>
        <v>11.185475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41466.720000000001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209</v>
      </c>
      <c r="P68" s="225"/>
      <c r="Q68" s="225">
        <v>1787</v>
      </c>
      <c r="R68" s="221">
        <v>22.04</v>
      </c>
      <c r="S68" s="225"/>
      <c r="T68" s="87"/>
      <c r="U68" s="189">
        <f t="shared" si="28"/>
        <v>0</v>
      </c>
      <c r="V68" s="189">
        <f t="shared" si="29"/>
        <v>0.16529999999999997</v>
      </c>
      <c r="W68" s="189">
        <f t="shared" si="30"/>
        <v>0</v>
      </c>
      <c r="X68" s="189">
        <f t="shared" si="31"/>
        <v>0</v>
      </c>
      <c r="Y68" s="189">
        <f t="shared" si="32"/>
        <v>21.874700000000001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41086.949999999997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125.03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0.93772499999999992</v>
      </c>
      <c r="W69" s="192">
        <f t="shared" si="34"/>
        <v>0</v>
      </c>
      <c r="X69" s="192">
        <f t="shared" si="34"/>
        <v>0</v>
      </c>
      <c r="Y69" s="192">
        <f t="shared" si="34"/>
        <v>124.092275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379.77000000000407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184</v>
      </c>
      <c r="Q70" s="225">
        <v>2001</v>
      </c>
      <c r="R70" s="221">
        <v>160.16999999999999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1.2012749999999999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158.96872499999998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3174.3196999999927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208</v>
      </c>
      <c r="P71" s="225">
        <v>183</v>
      </c>
      <c r="Q71" s="225">
        <v>2001</v>
      </c>
      <c r="R71" s="221">
        <v>402.55</v>
      </c>
      <c r="S71" s="225"/>
      <c r="T71" s="225"/>
      <c r="U71" s="189">
        <f t="shared" si="35"/>
        <v>0</v>
      </c>
      <c r="V71" s="189">
        <f t="shared" si="36"/>
        <v>3.0191249999999998</v>
      </c>
      <c r="W71" s="189">
        <f t="shared" si="37"/>
        <v>0</v>
      </c>
      <c r="X71" s="189">
        <f t="shared" si="38"/>
        <v>0</v>
      </c>
      <c r="Y71" s="189">
        <f t="shared" si="39"/>
        <v>399.53087500000004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>
        <v>35</v>
      </c>
      <c r="Q72" s="225">
        <v>2001</v>
      </c>
      <c r="R72" s="221">
        <v>1059.44</v>
      </c>
      <c r="S72" s="221"/>
      <c r="T72" s="225">
        <v>202.46</v>
      </c>
      <c r="U72" s="189">
        <f t="shared" si="35"/>
        <v>8.7267241379310345</v>
      </c>
      <c r="V72" s="189">
        <f t="shared" si="36"/>
        <v>7.9458000000000002</v>
      </c>
      <c r="W72" s="189" t="e">
        <f>+#REF!*V$10</f>
        <v>#REF!</v>
      </c>
      <c r="X72" s="189">
        <f t="shared" si="38"/>
        <v>5.0615000000000006</v>
      </c>
      <c r="Y72" s="189">
        <f t="shared" si="39"/>
        <v>1051.4942000000001</v>
      </c>
      <c r="Z72" s="189" t="e">
        <f>#REF!-W72</f>
        <v>#REF!</v>
      </c>
      <c r="AA72" s="189">
        <f t="shared" si="40"/>
        <v>188.67177586206898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>
        <v>189</v>
      </c>
      <c r="Q73" s="225">
        <v>2001</v>
      </c>
      <c r="R73" s="85">
        <v>2060.9299999999998</v>
      </c>
      <c r="S73" s="225"/>
      <c r="T73" s="225">
        <v>165.18</v>
      </c>
      <c r="U73" s="189">
        <f t="shared" si="35"/>
        <v>7.1198275862068972</v>
      </c>
      <c r="V73" s="189">
        <f>S72*V$10</f>
        <v>0</v>
      </c>
      <c r="W73" s="189">
        <f t="shared" si="37"/>
        <v>0</v>
      </c>
      <c r="X73" s="189">
        <f t="shared" si="38"/>
        <v>4.1295000000000002</v>
      </c>
      <c r="Y73" s="189">
        <f>S72-V73</f>
        <v>0</v>
      </c>
      <c r="Z73" s="189">
        <f t="shared" si="39"/>
        <v>0</v>
      </c>
      <c r="AA73" s="189">
        <f t="shared" si="40"/>
        <v>153.9306724137931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>
        <v>188</v>
      </c>
      <c r="Q74" s="225">
        <v>2001</v>
      </c>
      <c r="R74" s="221">
        <v>643.79999999999995</v>
      </c>
      <c r="S74" s="225"/>
      <c r="T74" s="225"/>
      <c r="U74" s="189">
        <f t="shared" si="35"/>
        <v>0</v>
      </c>
      <c r="V74" s="189">
        <f t="shared" si="36"/>
        <v>4.8284999999999991</v>
      </c>
      <c r="W74" s="189">
        <f t="shared" si="37"/>
        <v>0</v>
      </c>
      <c r="X74" s="189">
        <f t="shared" si="38"/>
        <v>0</v>
      </c>
      <c r="Y74" s="189">
        <f t="shared" si="39"/>
        <v>638.97149999999999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4326.8900000000003</v>
      </c>
      <c r="S75" s="192"/>
      <c r="T75" s="192">
        <f>SUM(T70:T74)</f>
        <v>367.64</v>
      </c>
      <c r="U75" s="192">
        <f>SUM(U70:U74)</f>
        <v>15.846551724137932</v>
      </c>
      <c r="V75" s="192">
        <f t="shared" ref="V75:AA75" si="42">SUM(V70:V74)</f>
        <v>16.994699999999998</v>
      </c>
      <c r="W75" s="192" t="e">
        <f t="shared" si="42"/>
        <v>#REF!</v>
      </c>
      <c r="X75" s="192">
        <f t="shared" si="42"/>
        <v>9.1910000000000007</v>
      </c>
      <c r="Y75" s="192">
        <f t="shared" si="42"/>
        <v>2248.9653000000003</v>
      </c>
      <c r="Z75" s="192" t="e">
        <f t="shared" si="42"/>
        <v>#REF!</v>
      </c>
      <c r="AA75" s="193">
        <f t="shared" si="42"/>
        <v>342.60244827586212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190.39+203.42+85.74+16.83</f>
        <v>496.37999999999994</v>
      </c>
      <c r="R78" s="82">
        <v>7.4999999999999997E-3</v>
      </c>
      <c r="S78" s="194">
        <f>+(P78+Q78)*R78</f>
        <v>3.7228499999999993</v>
      </c>
      <c r="T78" s="219">
        <f>+(P78+Q78)-S78</f>
        <v>492.65714999999994</v>
      </c>
      <c r="U78" s="211">
        <f>163.29+50.2</f>
        <v>213.49</v>
      </c>
      <c r="V78" s="112"/>
      <c r="W78" s="113">
        <v>1.4999999999999999E-2</v>
      </c>
      <c r="X78" s="196">
        <f>+(U78+V78)*W78</f>
        <v>3.20235</v>
      </c>
      <c r="Y78" s="217">
        <f>+(U78+V78)-X78</f>
        <v>210.28765000000001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491.53+184.56+109.77+35.38</f>
        <v>821.2399999999999</v>
      </c>
      <c r="R79" s="82">
        <v>7.4999999999999997E-3</v>
      </c>
      <c r="S79" s="194">
        <f t="shared" ref="S79:S97" si="44">+(P79+Q79)*R79</f>
        <v>6.1592999999999991</v>
      </c>
      <c r="T79" s="219">
        <f t="shared" ref="T79:T97" si="45">+(P79+Q79)-S79</f>
        <v>815.08069999999987</v>
      </c>
      <c r="U79" s="211">
        <f>79.21+94.68</f>
        <v>173.89</v>
      </c>
      <c r="V79" s="112"/>
      <c r="W79" s="113">
        <v>1.4999999999999999E-2</v>
      </c>
      <c r="X79" s="196">
        <f t="shared" ref="X79:X97" si="46">+(U79+V79)*W79</f>
        <v>2.6083499999999997</v>
      </c>
      <c r="Y79" s="217">
        <f t="shared" ref="Y79:Y97" si="47">+(U79+V79)-X79</f>
        <v>171.28164999999998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>
        <f>277.6+14.03+70.22</f>
        <v>361.85</v>
      </c>
      <c r="R80" s="82">
        <v>7.4999999999999997E-3</v>
      </c>
      <c r="S80" s="194">
        <f t="shared" si="44"/>
        <v>2.7138750000000003</v>
      </c>
      <c r="T80" s="219">
        <f t="shared" si="45"/>
        <v>359.13612500000005</v>
      </c>
      <c r="U80" s="211">
        <f>86.06+105.56</f>
        <v>191.62</v>
      </c>
      <c r="V80" s="112"/>
      <c r="W80" s="113">
        <v>1.4999999999999999E-2</v>
      </c>
      <c r="X80" s="196">
        <f t="shared" si="46"/>
        <v>2.8742999999999999</v>
      </c>
      <c r="Y80" s="217">
        <f t="shared" si="47"/>
        <v>188.7457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512.8+219.26+17.23</f>
        <v>749.29</v>
      </c>
      <c r="R81" s="82">
        <v>7.4999999999999997E-3</v>
      </c>
      <c r="S81" s="194">
        <f t="shared" si="44"/>
        <v>5.6196749999999991</v>
      </c>
      <c r="T81" s="219">
        <f t="shared" si="45"/>
        <v>743.67032499999993</v>
      </c>
      <c r="U81" s="211">
        <f>183.45+67.67</f>
        <v>251.12</v>
      </c>
      <c r="V81" s="112"/>
      <c r="W81" s="113">
        <v>1.4999999999999999E-2</v>
      </c>
      <c r="X81" s="196">
        <f t="shared" si="46"/>
        <v>3.7667999999999999</v>
      </c>
      <c r="Y81" s="217">
        <f t="shared" si="47"/>
        <v>247.35320000000002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87">
        <f>484.94+8.65</f>
        <v>493.59</v>
      </c>
      <c r="R82" s="82">
        <v>7.4999999999999997E-3</v>
      </c>
      <c r="S82" s="194">
        <f t="shared" si="44"/>
        <v>3.7019249999999997</v>
      </c>
      <c r="T82" s="219">
        <f t="shared" si="45"/>
        <v>489.88807499999996</v>
      </c>
      <c r="U82" s="211">
        <v>354.34</v>
      </c>
      <c r="V82" s="112"/>
      <c r="W82" s="113">
        <v>1.4999999999999999E-2</v>
      </c>
      <c r="X82" s="196">
        <f t="shared" si="46"/>
        <v>5.3150999999999993</v>
      </c>
      <c r="Y82" s="217">
        <f t="shared" si="47"/>
        <v>349.0249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2922.35</v>
      </c>
      <c r="R98" s="111"/>
      <c r="S98" s="195">
        <f>SUM(S78:S97)</f>
        <v>21.917624999999997</v>
      </c>
      <c r="T98" s="195">
        <f>SUM(T78:T97)</f>
        <v>2900.4323749999994</v>
      </c>
      <c r="U98" s="114">
        <f>SUM(U78:U97)</f>
        <v>1184.46</v>
      </c>
      <c r="V98" s="114">
        <f>SUM(V78:V97)</f>
        <v>0</v>
      </c>
      <c r="W98" s="112"/>
      <c r="X98" s="197">
        <f>SUM(X78:X97)</f>
        <v>17.7669</v>
      </c>
      <c r="Y98" s="197">
        <f>SUM(Y78:Y97)</f>
        <v>1166.6931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>P78+Q78+U78</f>
        <v>709.86999999999989</v>
      </c>
      <c r="R101" s="84"/>
    </row>
    <row r="102" spans="14:30" x14ac:dyDescent="0.25">
      <c r="N102" s="85"/>
      <c r="P102" s="84"/>
      <c r="Q102" s="233">
        <f>P79+Q79+U79</f>
        <v>995.12999999999988</v>
      </c>
      <c r="R102" s="84"/>
    </row>
    <row r="103" spans="14:30" x14ac:dyDescent="0.25">
      <c r="N103" s="85"/>
      <c r="P103" s="84"/>
      <c r="Q103" s="233">
        <f>P80+U80+Q80</f>
        <v>553.47</v>
      </c>
      <c r="R103" s="84"/>
    </row>
    <row r="104" spans="14:30" x14ac:dyDescent="0.25">
      <c r="N104" s="85"/>
      <c r="P104" s="84"/>
      <c r="Q104" s="233">
        <f>P81+Q81+U81</f>
        <v>1000.41</v>
      </c>
      <c r="R104" s="84"/>
    </row>
    <row r="105" spans="14:30" x14ac:dyDescent="0.25">
      <c r="N105" s="85"/>
      <c r="P105" s="84"/>
      <c r="Q105" s="233">
        <f>P82+U82+Q82</f>
        <v>847.93</v>
      </c>
      <c r="R105" s="84"/>
    </row>
    <row r="106" spans="14:30" x14ac:dyDescent="0.25">
      <c r="N106" s="85"/>
      <c r="P106" s="84"/>
      <c r="Q106" s="233">
        <f>P83+Q83+U83</f>
        <v>0</v>
      </c>
      <c r="R106" s="84"/>
    </row>
    <row r="107" spans="14:30" x14ac:dyDescent="0.25">
      <c r="N107" s="85"/>
      <c r="P107" s="84"/>
      <c r="Q107" s="84">
        <f>P84+Q84+U84</f>
        <v>0</v>
      </c>
      <c r="R107" s="84"/>
    </row>
    <row r="108" spans="14:30" x14ac:dyDescent="0.25">
      <c r="N108" s="85"/>
      <c r="P108" s="84"/>
      <c r="Q108" s="84">
        <f>P85+Q85+U85</f>
        <v>0</v>
      </c>
      <c r="R108" s="84"/>
    </row>
    <row r="109" spans="14:30" x14ac:dyDescent="0.25">
      <c r="N109" s="85"/>
      <c r="P109" s="84"/>
      <c r="Q109" s="84">
        <f>P86+Q86+U86</f>
        <v>0</v>
      </c>
      <c r="R109" s="84"/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0" zoomScale="90" zoomScaleNormal="90" workbookViewId="0">
      <selection activeCell="D71" sqref="D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244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44772</v>
      </c>
      <c r="D6" s="85" t="s">
        <v>22</v>
      </c>
      <c r="E6" s="8" t="s">
        <v>269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1931</v>
      </c>
      <c r="C12" s="15"/>
      <c r="D12" s="56"/>
      <c r="E12" s="16"/>
      <c r="F12" s="56"/>
      <c r="G12" s="56"/>
      <c r="H12" s="17"/>
      <c r="I12" s="83">
        <v>1931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192</v>
      </c>
      <c r="P12" s="158">
        <v>203</v>
      </c>
      <c r="Q12" s="158">
        <v>11</v>
      </c>
      <c r="R12" s="159">
        <v>1836.18</v>
      </c>
      <c r="S12" s="160"/>
      <c r="T12" s="160">
        <v>37.81</v>
      </c>
      <c r="U12" s="189">
        <f>((T12/U$10)*U$9)</f>
        <v>1.6297413793103452</v>
      </c>
      <c r="V12" s="189">
        <f>R12*V$10</f>
        <v>13.77135</v>
      </c>
      <c r="W12" s="189">
        <f>+S12*V$10</f>
        <v>0</v>
      </c>
      <c r="X12" s="189">
        <f>+T12*X$10</f>
        <v>0.94525000000000015</v>
      </c>
      <c r="Y12" s="189">
        <f>R12-V12</f>
        <v>1822.4086500000001</v>
      </c>
      <c r="Z12" s="189">
        <f>S12-W12</f>
        <v>0</v>
      </c>
      <c r="AA12" s="189">
        <f>T12-U12-X12</f>
        <v>35.235008620689655</v>
      </c>
      <c r="AB12" s="156"/>
    </row>
    <row r="13" spans="1:28" ht="15.75" x14ac:dyDescent="0.25">
      <c r="A13" s="86" t="s">
        <v>74</v>
      </c>
      <c r="B13" s="89">
        <v>2589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2589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204</v>
      </c>
      <c r="Q13" s="158">
        <v>11</v>
      </c>
      <c r="R13" s="159">
        <v>139.25</v>
      </c>
      <c r="S13" s="160"/>
      <c r="T13" s="161">
        <v>48.36</v>
      </c>
      <c r="U13" s="189">
        <f t="shared" ref="U13:U41" si="2">((T13/U$10)*U$9)</f>
        <v>2.0844827586206898</v>
      </c>
      <c r="V13" s="189">
        <f t="shared" ref="V13:V41" si="3">R13*V$10</f>
        <v>1.0443750000000001</v>
      </c>
      <c r="W13" s="189">
        <f t="shared" ref="W13:W41" si="4">+S13*V$10</f>
        <v>0</v>
      </c>
      <c r="X13" s="189">
        <f t="shared" ref="X13:X41" si="5">+T13*X$10</f>
        <v>1.2090000000000001</v>
      </c>
      <c r="Y13" s="189">
        <f t="shared" ref="Y13:Z41" si="6">R13-V13</f>
        <v>138.205625</v>
      </c>
      <c r="Z13" s="189">
        <f t="shared" si="6"/>
        <v>0</v>
      </c>
      <c r="AA13" s="189">
        <f t="shared" ref="AA13:AA41" si="7">T13-U13-X13</f>
        <v>45.066517241379309</v>
      </c>
      <c r="AB13" s="156"/>
    </row>
    <row r="14" spans="1:28" ht="15.75" x14ac:dyDescent="0.25">
      <c r="A14" s="86" t="s">
        <v>81</v>
      </c>
      <c r="B14" s="57">
        <f>B13*B8</f>
        <v>14990.31</v>
      </c>
      <c r="C14" s="15"/>
      <c r="D14" s="56"/>
      <c r="E14" s="16"/>
      <c r="F14" s="56"/>
      <c r="G14" s="56"/>
      <c r="H14" s="17"/>
      <c r="I14" s="83"/>
      <c r="J14" s="81">
        <f t="shared" si="0"/>
        <v>14990.31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585</v>
      </c>
      <c r="Q14" s="158">
        <v>2</v>
      </c>
      <c r="R14" s="159">
        <v>1400.06</v>
      </c>
      <c r="S14" s="160"/>
      <c r="T14" s="161">
        <v>164.49</v>
      </c>
      <c r="U14" s="189">
        <f t="shared" si="2"/>
        <v>7.0900862068965527</v>
      </c>
      <c r="V14" s="189">
        <f t="shared" si="3"/>
        <v>10.500449999999999</v>
      </c>
      <c r="W14" s="189">
        <f t="shared" si="4"/>
        <v>0</v>
      </c>
      <c r="X14" s="189">
        <f t="shared" si="5"/>
        <v>4.1122500000000004</v>
      </c>
      <c r="Y14" s="189">
        <f t="shared" si="6"/>
        <v>1389.5595499999999</v>
      </c>
      <c r="Z14" s="189">
        <f t="shared" si="6"/>
        <v>0</v>
      </c>
      <c r="AA14" s="189">
        <f t="shared" si="7"/>
        <v>153.28766379310346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568</v>
      </c>
      <c r="Q15" s="158">
        <v>4</v>
      </c>
      <c r="R15" s="159">
        <v>1655.35</v>
      </c>
      <c r="S15" s="160"/>
      <c r="T15" s="161"/>
      <c r="U15" s="189">
        <f t="shared" si="2"/>
        <v>0</v>
      </c>
      <c r="V15" s="189">
        <f t="shared" si="3"/>
        <v>12.415125</v>
      </c>
      <c r="W15" s="189">
        <f t="shared" si="4"/>
        <v>0</v>
      </c>
      <c r="X15" s="189">
        <f t="shared" si="5"/>
        <v>0</v>
      </c>
      <c r="Y15" s="189">
        <f t="shared" si="6"/>
        <v>1642.9348749999999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567</v>
      </c>
      <c r="Q16" s="158">
        <v>4</v>
      </c>
      <c r="R16" s="159">
        <v>2149.06</v>
      </c>
      <c r="S16" s="160"/>
      <c r="T16" s="161">
        <v>111.72</v>
      </c>
      <c r="U16" s="189">
        <f t="shared" si="2"/>
        <v>4.815517241379311</v>
      </c>
      <c r="V16" s="189">
        <f t="shared" si="3"/>
        <v>16.11795</v>
      </c>
      <c r="W16" s="189">
        <f t="shared" si="4"/>
        <v>0</v>
      </c>
      <c r="X16" s="189">
        <f t="shared" si="5"/>
        <v>2.7930000000000001</v>
      </c>
      <c r="Y16" s="189">
        <f t="shared" si="6"/>
        <v>2132.9420500000001</v>
      </c>
      <c r="Z16" s="189">
        <f t="shared" si="6"/>
        <v>0</v>
      </c>
      <c r="AA16" s="189">
        <f t="shared" si="7"/>
        <v>104.11148275862068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558</v>
      </c>
      <c r="Q17" s="158">
        <v>14</v>
      </c>
      <c r="R17" s="159">
        <v>217.79</v>
      </c>
      <c r="S17" s="160"/>
      <c r="T17" s="161"/>
      <c r="U17" s="189">
        <f t="shared" si="2"/>
        <v>0</v>
      </c>
      <c r="V17" s="189">
        <f t="shared" si="3"/>
        <v>1.6334249999999999</v>
      </c>
      <c r="W17" s="189">
        <f t="shared" si="4"/>
        <v>0</v>
      </c>
      <c r="X17" s="189">
        <f t="shared" si="5"/>
        <v>0</v>
      </c>
      <c r="Y17" s="189">
        <f t="shared" si="6"/>
        <v>216.156575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559</v>
      </c>
      <c r="Q18" s="158">
        <v>14</v>
      </c>
      <c r="R18" s="159">
        <v>3163.1</v>
      </c>
      <c r="S18" s="160"/>
      <c r="T18" s="161">
        <v>22.36</v>
      </c>
      <c r="U18" s="189">
        <f t="shared" si="2"/>
        <v>0.96379310344827607</v>
      </c>
      <c r="V18" s="189">
        <f t="shared" si="3"/>
        <v>23.72325</v>
      </c>
      <c r="W18" s="189">
        <f t="shared" si="4"/>
        <v>0</v>
      </c>
      <c r="X18" s="189">
        <f t="shared" si="5"/>
        <v>0.55900000000000005</v>
      </c>
      <c r="Y18" s="189">
        <f t="shared" si="6"/>
        <v>3139.3767499999999</v>
      </c>
      <c r="Z18" s="189">
        <f t="shared" si="6"/>
        <v>0</v>
      </c>
      <c r="AA18" s="189">
        <f t="shared" si="7"/>
        <v>20.837206896551724</v>
      </c>
      <c r="AB18" s="156"/>
    </row>
    <row r="19" spans="1:28" ht="15.75" x14ac:dyDescent="0.25">
      <c r="A19" s="93" t="s">
        <v>79</v>
      </c>
      <c r="B19" s="97">
        <f>+B13+B15+B17</f>
        <v>2589</v>
      </c>
      <c r="C19" s="95"/>
      <c r="D19" s="94"/>
      <c r="E19" s="96"/>
      <c r="F19" s="94"/>
      <c r="G19" s="94"/>
      <c r="H19" s="98"/>
      <c r="I19" s="99">
        <v>2589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654</v>
      </c>
      <c r="Q19" s="158">
        <v>18</v>
      </c>
      <c r="R19" s="159">
        <v>374.49</v>
      </c>
      <c r="S19" s="160"/>
      <c r="T19" s="161">
        <v>41.73</v>
      </c>
      <c r="U19" s="189">
        <f t="shared" si="2"/>
        <v>1.7987068965517243</v>
      </c>
      <c r="V19" s="189">
        <f t="shared" si="3"/>
        <v>2.808675</v>
      </c>
      <c r="W19" s="189">
        <f t="shared" si="4"/>
        <v>0</v>
      </c>
      <c r="X19" s="189">
        <f t="shared" si="5"/>
        <v>1.04325</v>
      </c>
      <c r="Y19" s="189">
        <f t="shared" si="6"/>
        <v>371.68132500000002</v>
      </c>
      <c r="Z19" s="189">
        <f t="shared" si="6"/>
        <v>0</v>
      </c>
      <c r="AA19" s="189">
        <f t="shared" si="7"/>
        <v>38.888043103448275</v>
      </c>
      <c r="AB19" s="156"/>
    </row>
    <row r="20" spans="1:28" ht="15.75" x14ac:dyDescent="0.25">
      <c r="A20" s="93" t="s">
        <v>80</v>
      </c>
      <c r="B20" s="97">
        <f>+B14+B16+B18</f>
        <v>14990.31</v>
      </c>
      <c r="C20" s="95"/>
      <c r="D20" s="94"/>
      <c r="E20" s="96"/>
      <c r="F20" s="94"/>
      <c r="G20" s="94"/>
      <c r="H20" s="98"/>
      <c r="I20" s="99">
        <v>14990.31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655</v>
      </c>
      <c r="Q20" s="158">
        <v>18</v>
      </c>
      <c r="R20" s="159">
        <v>1588.05</v>
      </c>
      <c r="S20" s="160"/>
      <c r="T20" s="161">
        <v>129.58000000000001</v>
      </c>
      <c r="U20" s="189">
        <f t="shared" si="2"/>
        <v>5.5853448275862085</v>
      </c>
      <c r="V20" s="189">
        <f t="shared" si="3"/>
        <v>11.910374999999998</v>
      </c>
      <c r="W20" s="189">
        <f t="shared" si="4"/>
        <v>0</v>
      </c>
      <c r="X20" s="189">
        <f t="shared" si="5"/>
        <v>3.2395000000000005</v>
      </c>
      <c r="Y20" s="189">
        <f t="shared" si="6"/>
        <v>1576.139625</v>
      </c>
      <c r="Z20" s="189">
        <f t="shared" si="6"/>
        <v>0</v>
      </c>
      <c r="AA20" s="189">
        <f t="shared" si="7"/>
        <v>120.75515517241379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69.459999999999994</v>
      </c>
      <c r="C29" s="100"/>
      <c r="D29" s="66"/>
      <c r="E29" s="67"/>
      <c r="F29" s="66"/>
      <c r="G29" s="66"/>
      <c r="H29" s="102"/>
      <c r="I29" s="79"/>
      <c r="J29" s="81">
        <f t="shared" si="0"/>
        <v>69.459999999999994</v>
      </c>
      <c r="K29" s="80"/>
      <c r="L29" s="186">
        <f>K29-B29</f>
        <v>-69.459999999999994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402.17339999999996</v>
      </c>
      <c r="C30" s="100"/>
      <c r="D30" s="66"/>
      <c r="E30" s="67"/>
      <c r="F30" s="66"/>
      <c r="G30" s="66"/>
      <c r="H30" s="102"/>
      <c r="I30" s="79"/>
      <c r="J30" s="81">
        <f t="shared" si="0"/>
        <v>402.17339999999996</v>
      </c>
      <c r="K30" s="80"/>
      <c r="L30" s="186">
        <f>K30-B30</f>
        <v>-402.17339999999996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69.459999999999994</v>
      </c>
      <c r="C35" s="95"/>
      <c r="D35" s="94"/>
      <c r="E35" s="96"/>
      <c r="F35" s="94"/>
      <c r="G35" s="94"/>
      <c r="H35" s="98"/>
      <c r="I35" s="99">
        <v>69.459999999999994</v>
      </c>
      <c r="J35" s="185">
        <f t="shared" si="0"/>
        <v>0</v>
      </c>
      <c r="K35" s="99"/>
      <c r="L35" s="187">
        <f>K35-B35</f>
        <v>-69.459999999999994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402.17339999999996</v>
      </c>
      <c r="C36" s="95"/>
      <c r="D36" s="94"/>
      <c r="E36" s="96"/>
      <c r="F36" s="94"/>
      <c r="G36" s="94"/>
      <c r="H36" s="98"/>
      <c r="I36" s="99"/>
      <c r="J36" s="185">
        <f t="shared" si="0"/>
        <v>402.17339999999996</v>
      </c>
      <c r="K36" s="99"/>
      <c r="L36" s="187">
        <f>K36-B36</f>
        <v>-402.17339999999996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38.090000000000003</v>
      </c>
      <c r="C37" s="100"/>
      <c r="D37" s="66"/>
      <c r="E37" s="67"/>
      <c r="F37" s="66"/>
      <c r="G37" s="66"/>
      <c r="H37" s="102"/>
      <c r="I37" s="79"/>
      <c r="J37" s="81">
        <f t="shared" si="0"/>
        <v>38.090000000000003</v>
      </c>
      <c r="K37" s="80"/>
      <c r="L37" s="186">
        <f>K37-B37</f>
        <v>-38.090000000000003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220.54110000000003</v>
      </c>
      <c r="C38" s="100"/>
      <c r="D38" s="66"/>
      <c r="E38" s="67"/>
      <c r="F38" s="66"/>
      <c r="G38" s="66"/>
      <c r="H38" s="102"/>
      <c r="I38" s="79"/>
      <c r="J38" s="81">
        <f t="shared" si="0"/>
        <v>220.54110000000003</v>
      </c>
      <c r="K38" s="80"/>
      <c r="L38" s="186">
        <f>K38-B38</f>
        <v>-220.54110000000003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12523.329999999998</v>
      </c>
      <c r="S42" s="190">
        <f t="shared" si="8"/>
        <v>0</v>
      </c>
      <c r="T42" s="190">
        <f t="shared" si="8"/>
        <v>556.05000000000007</v>
      </c>
      <c r="U42" s="190">
        <f t="shared" si="8"/>
        <v>23.967672413793107</v>
      </c>
      <c r="V42" s="190">
        <f t="shared" si="8"/>
        <v>93.924975000000003</v>
      </c>
      <c r="W42" s="190">
        <f t="shared" si="8"/>
        <v>0</v>
      </c>
      <c r="X42" s="190">
        <f t="shared" si="8"/>
        <v>13.901250000000001</v>
      </c>
      <c r="Y42" s="190">
        <f t="shared" si="8"/>
        <v>12429.405025</v>
      </c>
      <c r="Z42" s="190">
        <f t="shared" si="8"/>
        <v>0</v>
      </c>
      <c r="AA42" s="190">
        <f t="shared" si="8"/>
        <v>518.18107758620692</v>
      </c>
      <c r="AB42" s="166"/>
    </row>
    <row r="43" spans="1:28" ht="15.75" x14ac:dyDescent="0.25">
      <c r="A43" s="93" t="s">
        <v>101</v>
      </c>
      <c r="B43" s="97">
        <f>+B37+B39+B41</f>
        <v>38.090000000000003</v>
      </c>
      <c r="C43" s="95"/>
      <c r="D43" s="94"/>
      <c r="E43" s="96"/>
      <c r="F43" s="94"/>
      <c r="G43" s="94"/>
      <c r="H43" s="98"/>
      <c r="I43" s="99">
        <v>38.097999999999999</v>
      </c>
      <c r="J43" s="185">
        <f t="shared" si="0"/>
        <v>-7.9999999999955662E-3</v>
      </c>
      <c r="K43" s="99"/>
      <c r="L43" s="187">
        <f>K43-B43</f>
        <v>-38.090000000000003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220.54110000000003</v>
      </c>
      <c r="C44" s="95"/>
      <c r="D44" s="94"/>
      <c r="E44" s="96"/>
      <c r="F44" s="94"/>
      <c r="G44" s="94"/>
      <c r="H44" s="98"/>
      <c r="I44" s="99"/>
      <c r="J44" s="185">
        <f t="shared" si="0"/>
        <v>220.54110000000003</v>
      </c>
      <c r="K44" s="99"/>
      <c r="L44" s="187">
        <f>K44-B44</f>
        <v>-220.54110000000003</v>
      </c>
      <c r="M44" s="107"/>
      <c r="N44" s="104">
        <v>2</v>
      </c>
      <c r="O44" s="167" t="s">
        <v>69</v>
      </c>
      <c r="P44" s="158"/>
      <c r="Q44" s="158"/>
      <c r="R44" s="160">
        <v>1617.17</v>
      </c>
      <c r="S44" s="160"/>
      <c r="T44" s="155">
        <f>51.78+35.49</f>
        <v>87.27000000000001</v>
      </c>
      <c r="U44" s="189">
        <f t="shared" si="9"/>
        <v>3.7616379310344836</v>
      </c>
      <c r="V44" s="189">
        <f t="shared" si="10"/>
        <v>12.128775000000001</v>
      </c>
      <c r="W44" s="189">
        <f t="shared" si="11"/>
        <v>0</v>
      </c>
      <c r="X44" s="189">
        <f t="shared" si="12"/>
        <v>2.1817500000000005</v>
      </c>
      <c r="Y44" s="189">
        <f t="shared" si="13"/>
        <v>1605.0412250000002</v>
      </c>
      <c r="Z44" s="189">
        <f t="shared" si="13"/>
        <v>0</v>
      </c>
      <c r="AA44" s="189">
        <f t="shared" si="14"/>
        <v>81.326612068965531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1071.93</v>
      </c>
      <c r="S45" s="160"/>
      <c r="T45" s="155"/>
      <c r="U45" s="189">
        <f t="shared" si="9"/>
        <v>0</v>
      </c>
      <c r="V45" s="189">
        <f t="shared" si="10"/>
        <v>8.0394749999999995</v>
      </c>
      <c r="W45" s="189">
        <f t="shared" si="11"/>
        <v>0</v>
      </c>
      <c r="X45" s="189">
        <f t="shared" si="12"/>
        <v>0</v>
      </c>
      <c r="Y45" s="189">
        <f t="shared" si="13"/>
        <v>1063.890525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12523.329999999998</v>
      </c>
      <c r="C46" s="116">
        <v>7.4999999999999997E-3</v>
      </c>
      <c r="D46" s="117">
        <f>B46*C46</f>
        <v>93.924974999999989</v>
      </c>
      <c r="E46" s="172">
        <v>0</v>
      </c>
      <c r="F46" s="117">
        <f t="shared" ref="F46:F50" si="15">D46*E46</f>
        <v>0</v>
      </c>
      <c r="G46" s="117">
        <f t="shared" ref="G46:G51" si="16">B46-D46-F46</f>
        <v>12429.405024999998</v>
      </c>
      <c r="H46" s="173">
        <f>B$6+1</f>
        <v>44773</v>
      </c>
      <c r="I46" s="174">
        <v>13595.86</v>
      </c>
      <c r="J46" s="81">
        <f t="shared" si="0"/>
        <v>-1072.5300000000025</v>
      </c>
      <c r="K46" s="80"/>
      <c r="L46" s="186">
        <f t="shared" ref="L46:L64" si="17">+G46-K46</f>
        <v>12429.405024999998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2689.1000000000004</v>
      </c>
      <c r="C47" s="116">
        <v>7.4999999999999997E-3</v>
      </c>
      <c r="D47" s="117">
        <f t="shared" ref="D47:D50" si="18">B47*C47</f>
        <v>20.16825</v>
      </c>
      <c r="E47" s="172">
        <v>0</v>
      </c>
      <c r="F47" s="117">
        <f t="shared" si="15"/>
        <v>0</v>
      </c>
      <c r="G47" s="117">
        <f t="shared" si="16"/>
        <v>2668.9317500000002</v>
      </c>
      <c r="H47" s="173">
        <f>B$6+1</f>
        <v>44773</v>
      </c>
      <c r="I47" s="175">
        <v>1617.17</v>
      </c>
      <c r="J47" s="81">
        <f t="shared" si="0"/>
        <v>1071.9300000000003</v>
      </c>
      <c r="K47" s="80"/>
      <c r="L47" s="186">
        <f t="shared" si="17"/>
        <v>2668.9317500000002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69.61</v>
      </c>
      <c r="C48" s="116">
        <v>7.4999999999999997E-3</v>
      </c>
      <c r="D48" s="117">
        <f t="shared" si="18"/>
        <v>0.52207499999999996</v>
      </c>
      <c r="E48" s="172">
        <v>0</v>
      </c>
      <c r="F48" s="117">
        <f t="shared" si="15"/>
        <v>0</v>
      </c>
      <c r="G48" s="117">
        <f t="shared" si="16"/>
        <v>69.087924999999998</v>
      </c>
      <c r="H48" s="173">
        <f t="shared" ref="H48:H61" si="19">B$6+1</f>
        <v>44773</v>
      </c>
      <c r="I48" s="176">
        <v>69.61</v>
      </c>
      <c r="J48" s="81">
        <f t="shared" si="0"/>
        <v>0</v>
      </c>
      <c r="K48" s="80"/>
      <c r="L48" s="186">
        <f t="shared" si="17"/>
        <v>69.087924999999998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185</v>
      </c>
      <c r="B49" s="117">
        <f>R75</f>
        <v>6050.3700000000008</v>
      </c>
      <c r="C49" s="116">
        <v>7.4999999999999997E-3</v>
      </c>
      <c r="D49" s="117">
        <f t="shared" si="18"/>
        <v>45.377775000000007</v>
      </c>
      <c r="E49" s="172">
        <v>0</v>
      </c>
      <c r="F49" s="117">
        <f t="shared" si="15"/>
        <v>0</v>
      </c>
      <c r="G49" s="117">
        <f t="shared" si="16"/>
        <v>6004.9922250000009</v>
      </c>
      <c r="H49" s="173">
        <f t="shared" si="19"/>
        <v>44773</v>
      </c>
      <c r="I49" s="176">
        <v>6050.37</v>
      </c>
      <c r="J49" s="81">
        <f t="shared" si="0"/>
        <v>0</v>
      </c>
      <c r="K49" s="80"/>
      <c r="L49" s="186">
        <f t="shared" si="17"/>
        <v>6004.9922250000009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2384.2399999999998</v>
      </c>
      <c r="C50" s="116">
        <v>7.4999999999999997E-3</v>
      </c>
      <c r="D50" s="117">
        <f t="shared" si="18"/>
        <v>17.881799999999998</v>
      </c>
      <c r="E50" s="172">
        <v>0</v>
      </c>
      <c r="F50" s="117">
        <f t="shared" si="15"/>
        <v>0</v>
      </c>
      <c r="G50" s="117">
        <f t="shared" si="16"/>
        <v>2366.3581999999997</v>
      </c>
      <c r="H50" s="173">
        <f t="shared" si="19"/>
        <v>44773</v>
      </c>
      <c r="I50" s="175">
        <v>2669.91</v>
      </c>
      <c r="J50" s="81">
        <f t="shared" si="0"/>
        <v>-285.67000000000007</v>
      </c>
      <c r="K50" s="80"/>
      <c r="L50" s="186">
        <f t="shared" si="17"/>
        <v>2366.3581999999997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296.85000000000002</v>
      </c>
      <c r="C51" s="116">
        <v>1.4999999999999999E-2</v>
      </c>
      <c r="D51" s="117">
        <f>+B51*C51</f>
        <v>4.45275</v>
      </c>
      <c r="E51" s="172">
        <v>0</v>
      </c>
      <c r="F51" s="117">
        <f>D51*E51</f>
        <v>0</v>
      </c>
      <c r="G51" s="117">
        <f t="shared" si="16"/>
        <v>292.39725000000004</v>
      </c>
      <c r="H51" s="173">
        <f t="shared" si="19"/>
        <v>44773</v>
      </c>
      <c r="I51" s="175"/>
      <c r="J51" s="81">
        <f t="shared" si="0"/>
        <v>296.85000000000002</v>
      </c>
      <c r="K51" s="80"/>
      <c r="L51" s="186">
        <f t="shared" si="17"/>
        <v>292.39725000000004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556.05000000000007</v>
      </c>
      <c r="C52" s="116">
        <v>2.5000000000000001E-2</v>
      </c>
      <c r="D52" s="117">
        <f>B52*C52</f>
        <v>13.901250000000003</v>
      </c>
      <c r="E52" s="172">
        <v>0.05</v>
      </c>
      <c r="F52" s="117">
        <f>(B52/E$10)*E52</f>
        <v>23.96767241379311</v>
      </c>
      <c r="G52" s="117">
        <f>B52-D52-F52</f>
        <v>518.18107758620692</v>
      </c>
      <c r="H52" s="188">
        <f t="shared" si="19"/>
        <v>44773</v>
      </c>
      <c r="I52" s="176">
        <v>556.04999999999995</v>
      </c>
      <c r="J52" s="81">
        <f t="shared" si="0"/>
        <v>0</v>
      </c>
      <c r="K52" s="80"/>
      <c r="L52" s="186">
        <f t="shared" si="17"/>
        <v>518.18107758620692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87.27000000000001</v>
      </c>
      <c r="C53" s="116">
        <v>2.5000000000000001E-2</v>
      </c>
      <c r="D53" s="117">
        <f t="shared" ref="D53:D56" si="20">B53*C53</f>
        <v>2.1817500000000005</v>
      </c>
      <c r="E53" s="172">
        <v>0.05</v>
      </c>
      <c r="F53" s="117">
        <f t="shared" ref="F53:F56" si="21">(B53/E$10)*E53</f>
        <v>3.7616379310344836</v>
      </c>
      <c r="G53" s="117">
        <f t="shared" ref="G53:G58" si="22">B53-D53-F53</f>
        <v>81.326612068965531</v>
      </c>
      <c r="H53" s="188">
        <f t="shared" si="19"/>
        <v>44773</v>
      </c>
      <c r="I53" s="176">
        <v>87.27</v>
      </c>
      <c r="J53" s="81">
        <f t="shared" si="0"/>
        <v>0</v>
      </c>
      <c r="K53" s="80"/>
      <c r="L53" s="186">
        <f t="shared" si="17"/>
        <v>81.326612068965531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175</v>
      </c>
      <c r="B56" s="117">
        <f>T75</f>
        <v>45.07</v>
      </c>
      <c r="C56" s="116">
        <v>2.5000000000000001E-2</v>
      </c>
      <c r="D56" s="117">
        <f t="shared" si="20"/>
        <v>1.1267500000000001</v>
      </c>
      <c r="E56" s="172">
        <v>0.05</v>
      </c>
      <c r="F56" s="117">
        <f t="shared" si="21"/>
        <v>1.9426724137931037</v>
      </c>
      <c r="G56" s="117">
        <f t="shared" si="22"/>
        <v>42.000577586206894</v>
      </c>
      <c r="H56" s="173">
        <f t="shared" si="19"/>
        <v>44773</v>
      </c>
      <c r="I56" s="176">
        <v>45.07</v>
      </c>
      <c r="J56" s="81">
        <f t="shared" si="0"/>
        <v>0</v>
      </c>
      <c r="K56" s="80"/>
      <c r="L56" s="186">
        <f t="shared" si="17"/>
        <v>42.000577586206894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199.537375</v>
      </c>
      <c r="E61" s="177"/>
      <c r="F61" s="57">
        <f>SUM(F46:F58)</f>
        <v>29.6719827586207</v>
      </c>
      <c r="G61" s="57">
        <f>SUM(G46:G58)</f>
        <v>24472.680642241379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24472.680642241379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12</v>
      </c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12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2689.1000000000004</v>
      </c>
      <c r="S63" s="191">
        <f>SUM(S43:S62)</f>
        <v>0</v>
      </c>
      <c r="T63" s="191">
        <f>SUM(T43:T62)</f>
        <v>87.27000000000001</v>
      </c>
      <c r="U63" s="191">
        <f t="shared" ref="U63:X63" si="25">SUM(U43:U62)</f>
        <v>3.7616379310344836</v>
      </c>
      <c r="V63" s="191">
        <f t="shared" si="25"/>
        <v>20.16825</v>
      </c>
      <c r="W63" s="191">
        <f t="shared" si="25"/>
        <v>0</v>
      </c>
      <c r="X63" s="191">
        <f t="shared" si="25"/>
        <v>2.1817500000000005</v>
      </c>
      <c r="Y63" s="191">
        <f>SUM(Y43:Y62)</f>
        <v>2668.9317500000002</v>
      </c>
      <c r="Z63" s="191">
        <f t="shared" ref="Z63:AA63" si="26">SUM(Z43:Z62)</f>
        <v>0</v>
      </c>
      <c r="AA63" s="191">
        <f t="shared" si="26"/>
        <v>81.326612068965531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48945.361284482758</v>
      </c>
      <c r="H64" s="184"/>
      <c r="I64" s="175"/>
      <c r="J64" s="81">
        <f t="shared" si="0"/>
        <v>0</v>
      </c>
      <c r="K64" s="80"/>
      <c r="L64" s="186">
        <f t="shared" si="17"/>
        <v>48945.361284482758</v>
      </c>
      <c r="M64" s="130"/>
      <c r="N64" s="87">
        <v>1</v>
      </c>
      <c r="O64" s="122" t="s">
        <v>272</v>
      </c>
      <c r="P64" s="87"/>
      <c r="Q64" s="225">
        <v>9066</v>
      </c>
      <c r="R64" s="225">
        <v>11.83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8.8724999999999998E-2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11.741275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42233.914499999992</v>
      </c>
      <c r="G65" s="22"/>
      <c r="L65" s="132"/>
      <c r="M65" s="131"/>
      <c r="N65" s="87">
        <v>2</v>
      </c>
      <c r="O65" s="122" t="s">
        <v>272</v>
      </c>
      <c r="P65" s="87"/>
      <c r="Q65" s="225">
        <v>7174</v>
      </c>
      <c r="R65" s="225">
        <v>9.27</v>
      </c>
      <c r="S65" s="225"/>
      <c r="T65" s="87"/>
      <c r="U65" s="189">
        <f t="shared" si="27"/>
        <v>0</v>
      </c>
      <c r="V65" s="189">
        <f t="shared" si="28"/>
        <v>6.952499999999999E-2</v>
      </c>
      <c r="W65" s="189">
        <f t="shared" si="29"/>
        <v>0</v>
      </c>
      <c r="X65" s="189">
        <f t="shared" si="30"/>
        <v>0</v>
      </c>
      <c r="Y65" s="189">
        <f t="shared" si="31"/>
        <v>9.2004749999999991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272</v>
      </c>
      <c r="P66" s="87"/>
      <c r="Q66" s="225">
        <v>1768</v>
      </c>
      <c r="R66" s="225">
        <v>48.51</v>
      </c>
      <c r="S66" s="225"/>
      <c r="T66" s="87"/>
      <c r="U66" s="189">
        <f t="shared" si="27"/>
        <v>0</v>
      </c>
      <c r="V66" s="189">
        <f t="shared" si="28"/>
        <v>0.36382499999999995</v>
      </c>
      <c r="W66" s="189">
        <f t="shared" si="29"/>
        <v>0</v>
      </c>
      <c r="X66" s="189">
        <f t="shared" si="30"/>
        <v>0</v>
      </c>
      <c r="Y66" s="189">
        <f t="shared" si="31"/>
        <v>48.146174999999999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272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42114.86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41692.879999999997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193</v>
      </c>
      <c r="O69" s="312"/>
      <c r="P69" s="313"/>
      <c r="Q69" s="313"/>
      <c r="R69" s="192">
        <f>SUM(R64:R68)</f>
        <v>69.61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0.52207499999999996</v>
      </c>
      <c r="W69" s="192">
        <f t="shared" si="33"/>
        <v>0</v>
      </c>
      <c r="X69" s="192">
        <f t="shared" si="33"/>
        <v>0</v>
      </c>
      <c r="Y69" s="192">
        <f t="shared" si="33"/>
        <v>69.087924999999998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421.9800000000032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208</v>
      </c>
      <c r="P70" s="225">
        <v>185</v>
      </c>
      <c r="Q70" s="225">
        <v>2001</v>
      </c>
      <c r="R70" s="221">
        <v>37.42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0.28065000000000001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37.13935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119.05449999999109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208</v>
      </c>
      <c r="P71" s="225">
        <v>186</v>
      </c>
      <c r="Q71" s="225">
        <v>2001</v>
      </c>
      <c r="R71" s="221">
        <v>1424.28</v>
      </c>
      <c r="S71" s="225"/>
      <c r="T71" s="225"/>
      <c r="U71" s="189">
        <f t="shared" si="34"/>
        <v>0</v>
      </c>
      <c r="V71" s="189">
        <f t="shared" si="35"/>
        <v>10.6821</v>
      </c>
      <c r="W71" s="189">
        <f t="shared" si="36"/>
        <v>0</v>
      </c>
      <c r="X71" s="189">
        <f t="shared" si="37"/>
        <v>0</v>
      </c>
      <c r="Y71" s="189">
        <f t="shared" si="38"/>
        <v>1413.5979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208</v>
      </c>
      <c r="P72" s="225"/>
      <c r="Q72" s="225"/>
      <c r="R72" s="221">
        <v>516.70000000000005</v>
      </c>
      <c r="S72" s="225"/>
      <c r="T72" s="225">
        <v>13.88</v>
      </c>
      <c r="U72" s="189">
        <f t="shared" si="34"/>
        <v>0.59827586206896555</v>
      </c>
      <c r="V72" s="189">
        <f t="shared" si="35"/>
        <v>3.8752500000000003</v>
      </c>
      <c r="W72" s="189">
        <f t="shared" si="36"/>
        <v>0</v>
      </c>
      <c r="X72" s="189">
        <f t="shared" si="37"/>
        <v>0.34700000000000003</v>
      </c>
      <c r="Y72" s="189">
        <f t="shared" si="38"/>
        <v>512.82474999999999</v>
      </c>
      <c r="Z72" s="189">
        <f t="shared" si="38"/>
        <v>0</v>
      </c>
      <c r="AA72" s="189">
        <f t="shared" si="39"/>
        <v>12.934724137931036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208</v>
      </c>
      <c r="P73" s="225">
        <v>36</v>
      </c>
      <c r="Q73" s="225">
        <v>2001</v>
      </c>
      <c r="R73" s="221">
        <v>1080.95</v>
      </c>
      <c r="S73" s="225"/>
      <c r="T73" s="225"/>
      <c r="U73" s="189">
        <f t="shared" si="34"/>
        <v>0</v>
      </c>
      <c r="V73" s="189">
        <f t="shared" si="35"/>
        <v>8.1071249999999999</v>
      </c>
      <c r="W73" s="189">
        <f t="shared" si="36"/>
        <v>0</v>
      </c>
      <c r="X73" s="189">
        <f t="shared" si="37"/>
        <v>0</v>
      </c>
      <c r="Y73" s="189">
        <f t="shared" si="38"/>
        <v>1072.842875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208</v>
      </c>
      <c r="P74" s="225">
        <v>190</v>
      </c>
      <c r="Q74" s="225">
        <v>2001</v>
      </c>
      <c r="R74" s="221">
        <f>1332.78+1658.24</f>
        <v>2991.02</v>
      </c>
      <c r="S74" s="225"/>
      <c r="T74" s="225">
        <v>31.19</v>
      </c>
      <c r="U74" s="189">
        <f t="shared" si="34"/>
        <v>1.3443965517241381</v>
      </c>
      <c r="V74" s="189">
        <f t="shared" si="35"/>
        <v>22.432649999999999</v>
      </c>
      <c r="W74" s="189">
        <f t="shared" si="36"/>
        <v>0</v>
      </c>
      <c r="X74" s="189">
        <f t="shared" si="37"/>
        <v>0.77975000000000005</v>
      </c>
      <c r="Y74" s="189">
        <f t="shared" si="38"/>
        <v>2968.5873499999998</v>
      </c>
      <c r="Z74" s="189">
        <f t="shared" si="38"/>
        <v>0</v>
      </c>
      <c r="AA74" s="189">
        <f t="shared" si="39"/>
        <v>29.065853448275863</v>
      </c>
      <c r="AB74" s="87"/>
    </row>
    <row r="75" spans="1:30" ht="15.75" x14ac:dyDescent="0.25">
      <c r="N75" s="312" t="s">
        <v>194</v>
      </c>
      <c r="O75" s="312"/>
      <c r="P75" s="313"/>
      <c r="Q75" s="313"/>
      <c r="R75" s="192">
        <f>SUM(R70:R74)</f>
        <v>6050.3700000000008</v>
      </c>
      <c r="S75" s="192"/>
      <c r="T75" s="192">
        <f>SUM(T70:T74)</f>
        <v>45.07</v>
      </c>
      <c r="U75" s="192">
        <f>SUM(U70:U74)</f>
        <v>1.9426724137931037</v>
      </c>
      <c r="V75" s="192">
        <f t="shared" ref="V75:AA75" si="41">SUM(V70:V74)</f>
        <v>45.377775</v>
      </c>
      <c r="W75" s="192">
        <f t="shared" si="41"/>
        <v>0</v>
      </c>
      <c r="X75" s="192">
        <f t="shared" si="41"/>
        <v>1.1267500000000001</v>
      </c>
      <c r="Y75" s="192">
        <f t="shared" si="41"/>
        <v>6004.992225</v>
      </c>
      <c r="Z75" s="192">
        <f t="shared" si="41"/>
        <v>0</v>
      </c>
      <c r="AA75" s="193">
        <f t="shared" si="41"/>
        <v>42.000577586206902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>
        <f>287+8.69+148.07+1.23</f>
        <v>444.99</v>
      </c>
      <c r="R78" s="82">
        <v>7.4999999999999997E-3</v>
      </c>
      <c r="S78" s="216">
        <f>+(P78+Q78)*R78</f>
        <v>3.3374250000000001</v>
      </c>
      <c r="T78" s="219">
        <f>+(P78+Q78)-S78</f>
        <v>441.65257500000001</v>
      </c>
      <c r="U78" s="211">
        <v>63.9</v>
      </c>
      <c r="V78" s="112"/>
      <c r="W78" s="113">
        <v>1.4999999999999999E-2</v>
      </c>
      <c r="X78" s="217">
        <f>+(U78+V78)*W78</f>
        <v>0.95849999999999991</v>
      </c>
      <c r="Y78" s="217">
        <f>+(U78+V78)-X78</f>
        <v>62.941499999999998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>
        <f>174.48+55.45+268.81+93.22</f>
        <v>591.96</v>
      </c>
      <c r="R79" s="82">
        <v>7.4999999999999997E-3</v>
      </c>
      <c r="S79" s="216">
        <f t="shared" ref="S79:S97" si="43">+(P79+Q79)*R79</f>
        <v>4.4397000000000002</v>
      </c>
      <c r="T79" s="219">
        <f t="shared" ref="T79:T97" si="44">+(P79+Q79)-S79</f>
        <v>587.52030000000002</v>
      </c>
      <c r="U79" s="211">
        <f>62.55+43.23</f>
        <v>105.78</v>
      </c>
      <c r="V79" s="112"/>
      <c r="W79" s="113">
        <v>1.4999999999999999E-2</v>
      </c>
      <c r="X79" s="217">
        <f t="shared" ref="X79:X97" si="45">+(U79+V79)*W79</f>
        <v>1.5867</v>
      </c>
      <c r="Y79" s="217">
        <f t="shared" ref="Y79:Y97" si="46">+(U79+V79)-X79</f>
        <v>104.19330000000001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>
        <f>213.75+93.78+121.24+18.8</f>
        <v>447.57</v>
      </c>
      <c r="R80" s="82">
        <v>7.4999999999999997E-3</v>
      </c>
      <c r="S80" s="216">
        <f t="shared" si="43"/>
        <v>3.3567749999999998</v>
      </c>
      <c r="T80" s="219">
        <f t="shared" si="44"/>
        <v>444.21322499999997</v>
      </c>
      <c r="U80" s="211">
        <f>11.58+39.32</f>
        <v>50.9</v>
      </c>
      <c r="V80" s="112"/>
      <c r="W80" s="113">
        <v>1.4999999999999999E-2</v>
      </c>
      <c r="X80" s="217">
        <f t="shared" si="45"/>
        <v>0.76349999999999996</v>
      </c>
      <c r="Y80" s="217">
        <f t="shared" si="46"/>
        <v>50.136499999999998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>
        <f>58.29+384.48+92.98</f>
        <v>535.75</v>
      </c>
      <c r="R81" s="82">
        <v>7.4999999999999997E-3</v>
      </c>
      <c r="S81" s="216">
        <f t="shared" si="43"/>
        <v>4.0181249999999995</v>
      </c>
      <c r="T81" s="219">
        <f t="shared" si="44"/>
        <v>531.73187499999995</v>
      </c>
      <c r="U81" s="211">
        <f>41.35+34.92</f>
        <v>76.27000000000001</v>
      </c>
      <c r="V81" s="112"/>
      <c r="W81" s="113">
        <v>1.4999999999999999E-2</v>
      </c>
      <c r="X81" s="217">
        <f t="shared" si="45"/>
        <v>1.14405</v>
      </c>
      <c r="Y81" s="217">
        <f t="shared" si="46"/>
        <v>75.125950000000017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87"/>
      <c r="Q82" s="87">
        <f>331.09+32.88</f>
        <v>363.96999999999997</v>
      </c>
      <c r="R82" s="82">
        <v>7.4999999999999997E-3</v>
      </c>
      <c r="S82" s="216">
        <f t="shared" si="43"/>
        <v>2.7297749999999996</v>
      </c>
      <c r="T82" s="219">
        <f t="shared" si="44"/>
        <v>361.24022499999995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2384.2399999999998</v>
      </c>
      <c r="R98" s="111"/>
      <c r="S98" s="195">
        <f>SUM(S78:S97)</f>
        <v>17.881799999999998</v>
      </c>
      <c r="T98" s="195">
        <f>SUM(T78:T97)</f>
        <v>2366.3581999999997</v>
      </c>
      <c r="U98" s="114">
        <f>SUM(U78:U97)</f>
        <v>296.85000000000002</v>
      </c>
      <c r="V98" s="114">
        <f>SUM(V78:V97)</f>
        <v>0</v>
      </c>
      <c r="W98" s="112"/>
      <c r="X98" s="197">
        <f>SUM(X78:X97)</f>
        <v>4.45275</v>
      </c>
      <c r="Y98" s="197">
        <f>SUM(Y78:Y97)</f>
        <v>292.39724999999999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3">
        <f>P78+Q78+U78</f>
        <v>508.89</v>
      </c>
      <c r="Q101" s="84"/>
    </row>
    <row r="102" spans="14:30" x14ac:dyDescent="0.25">
      <c r="N102" s="85"/>
      <c r="O102" s="84"/>
      <c r="P102" s="233">
        <f t="shared" ref="P102:P110" si="50">P79+Q79+U79</f>
        <v>697.74</v>
      </c>
      <c r="Q102" s="84"/>
    </row>
    <row r="103" spans="14:30" x14ac:dyDescent="0.25">
      <c r="N103" s="85"/>
      <c r="O103" s="84"/>
      <c r="P103" s="233">
        <f>P80+Q80+U80</f>
        <v>498.46999999999997</v>
      </c>
      <c r="Q103" s="84"/>
    </row>
    <row r="104" spans="14:30" x14ac:dyDescent="0.25">
      <c r="N104" s="85"/>
      <c r="O104" s="84"/>
      <c r="P104" s="233">
        <f t="shared" si="50"/>
        <v>612.02</v>
      </c>
      <c r="Q104" s="84"/>
    </row>
    <row r="105" spans="14:30" x14ac:dyDescent="0.25">
      <c r="N105" s="85"/>
      <c r="O105" s="84"/>
      <c r="P105" s="233">
        <f t="shared" si="50"/>
        <v>363.96999999999997</v>
      </c>
      <c r="Q105" s="84"/>
    </row>
    <row r="106" spans="14:30" x14ac:dyDescent="0.25">
      <c r="N106" s="85"/>
      <c r="O106" s="84"/>
      <c r="P106" s="233">
        <f t="shared" si="50"/>
        <v>0</v>
      </c>
      <c r="Q106" s="84"/>
    </row>
    <row r="107" spans="14:30" x14ac:dyDescent="0.25">
      <c r="N107" s="85"/>
      <c r="O107" s="84"/>
      <c r="P107" s="84">
        <f>P84+Q84+U84</f>
        <v>0</v>
      </c>
      <c r="Q107" s="84"/>
    </row>
    <row r="108" spans="14:30" x14ac:dyDescent="0.25">
      <c r="N108" s="85"/>
      <c r="O108" s="84"/>
      <c r="P108" s="84">
        <f t="shared" si="50"/>
        <v>0</v>
      </c>
      <c r="Q108" s="84"/>
    </row>
    <row r="109" spans="14:30" x14ac:dyDescent="0.25">
      <c r="N109" s="85"/>
      <c r="O109" s="84"/>
      <c r="P109" s="84">
        <f>P86+Q86+U86</f>
        <v>0</v>
      </c>
      <c r="Q109" s="84"/>
    </row>
    <row r="110" spans="14:30" x14ac:dyDescent="0.25">
      <c r="N110" s="85"/>
      <c r="O110" s="84"/>
      <c r="P110" s="84">
        <f t="shared" si="50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23" zoomScale="90" zoomScaleNormal="90" workbookViewId="0">
      <selection activeCell="I43" sqref="I4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189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/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1699</v>
      </c>
      <c r="C12" s="15"/>
      <c r="D12" s="56"/>
      <c r="E12" s="16"/>
      <c r="F12" s="56"/>
      <c r="G12" s="56"/>
      <c r="H12" s="17"/>
      <c r="I12" s="83">
        <v>1699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205</v>
      </c>
      <c r="Q12" s="158">
        <v>11</v>
      </c>
      <c r="R12" s="159">
        <v>955.23</v>
      </c>
      <c r="S12" s="160"/>
      <c r="T12" s="160">
        <v>83.71</v>
      </c>
      <c r="U12" s="189">
        <f>((T12/U$10)*U$9)</f>
        <v>3.6081896551724135</v>
      </c>
      <c r="V12" s="189">
        <f>R12*V$10</f>
        <v>7.1642250000000001</v>
      </c>
      <c r="W12" s="189">
        <f>+S12*V$10</f>
        <v>0</v>
      </c>
      <c r="X12" s="189">
        <f>+T12*X$10</f>
        <v>2.0927500000000001</v>
      </c>
      <c r="Y12" s="189">
        <f>R12-V12</f>
        <v>948.06577500000003</v>
      </c>
      <c r="Z12" s="189">
        <f>S12-W12</f>
        <v>0</v>
      </c>
      <c r="AA12" s="189">
        <f>T12-U12-X12</f>
        <v>78.009060344827589</v>
      </c>
      <c r="AB12" s="156"/>
    </row>
    <row r="13" spans="1:28" ht="15.75" x14ac:dyDescent="0.25">
      <c r="A13" s="86" t="s">
        <v>74</v>
      </c>
      <c r="B13" s="89">
        <v>2314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2314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206</v>
      </c>
      <c r="Q13" s="158">
        <v>11</v>
      </c>
      <c r="R13" s="159">
        <v>341.72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2.5629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339.15710000000001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13398.06</v>
      </c>
      <c r="C14" s="15"/>
      <c r="D14" s="56"/>
      <c r="E14" s="16"/>
      <c r="F14" s="56"/>
      <c r="G14" s="56"/>
      <c r="H14" s="17"/>
      <c r="I14" s="83"/>
      <c r="J14" s="81">
        <f t="shared" si="0"/>
        <v>13398.06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586</v>
      </c>
      <c r="Q14" s="158">
        <v>2</v>
      </c>
      <c r="R14" s="159">
        <v>1284.3</v>
      </c>
      <c r="S14" s="160"/>
      <c r="T14" s="161">
        <v>19.989999999999998</v>
      </c>
      <c r="U14" s="189">
        <f t="shared" si="2"/>
        <v>0.86163793103448283</v>
      </c>
      <c r="V14" s="189">
        <f t="shared" si="3"/>
        <v>9.6322499999999991</v>
      </c>
      <c r="W14" s="189">
        <f t="shared" si="4"/>
        <v>0</v>
      </c>
      <c r="X14" s="189">
        <f t="shared" si="5"/>
        <v>0.49974999999999997</v>
      </c>
      <c r="Y14" s="189">
        <f t="shared" si="6"/>
        <v>1274.6677500000001</v>
      </c>
      <c r="Z14" s="189">
        <f t="shared" si="6"/>
        <v>0</v>
      </c>
      <c r="AA14" s="189">
        <f t="shared" si="7"/>
        <v>18.628612068965516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587</v>
      </c>
      <c r="Q15" s="158">
        <v>2</v>
      </c>
      <c r="R15" s="159">
        <v>1521.38</v>
      </c>
      <c r="S15" s="160"/>
      <c r="T15" s="161">
        <v>21.83</v>
      </c>
      <c r="U15" s="189">
        <f t="shared" si="2"/>
        <v>0.94094827586206908</v>
      </c>
      <c r="V15" s="189">
        <f t="shared" si="3"/>
        <v>11.410350000000001</v>
      </c>
      <c r="W15" s="189">
        <f t="shared" si="4"/>
        <v>0</v>
      </c>
      <c r="X15" s="189">
        <f t="shared" si="5"/>
        <v>0.54574999999999996</v>
      </c>
      <c r="Y15" s="189">
        <f t="shared" si="6"/>
        <v>1509.96965</v>
      </c>
      <c r="Z15" s="189">
        <f t="shared" si="6"/>
        <v>0</v>
      </c>
      <c r="AA15" s="189">
        <f t="shared" si="7"/>
        <v>20.34330172413793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569</v>
      </c>
      <c r="Q16" s="158">
        <v>4</v>
      </c>
      <c r="R16" s="159">
        <v>1188.24</v>
      </c>
      <c r="S16" s="160"/>
      <c r="T16" s="161">
        <v>30.51</v>
      </c>
      <c r="U16" s="189">
        <f t="shared" si="2"/>
        <v>1.3150862068965521</v>
      </c>
      <c r="V16" s="189">
        <f t="shared" si="3"/>
        <v>8.9117999999999995</v>
      </c>
      <c r="W16" s="189">
        <f t="shared" si="4"/>
        <v>0</v>
      </c>
      <c r="X16" s="189">
        <f t="shared" si="5"/>
        <v>0.76275000000000004</v>
      </c>
      <c r="Y16" s="189">
        <f t="shared" si="6"/>
        <v>1179.3281999999999</v>
      </c>
      <c r="Z16" s="189">
        <f t="shared" si="6"/>
        <v>0</v>
      </c>
      <c r="AA16" s="189">
        <f t="shared" si="7"/>
        <v>28.432163793103449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570</v>
      </c>
      <c r="Q17" s="158">
        <v>4</v>
      </c>
      <c r="R17" s="159">
        <v>705.17</v>
      </c>
      <c r="S17" s="160"/>
      <c r="T17" s="161"/>
      <c r="U17" s="189">
        <f t="shared" si="2"/>
        <v>0</v>
      </c>
      <c r="V17" s="189">
        <f t="shared" si="3"/>
        <v>5.2887749999999993</v>
      </c>
      <c r="W17" s="189">
        <f t="shared" si="4"/>
        <v>0</v>
      </c>
      <c r="X17" s="189">
        <f t="shared" si="5"/>
        <v>0</v>
      </c>
      <c r="Y17" s="189">
        <f t="shared" si="6"/>
        <v>699.88122499999997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560</v>
      </c>
      <c r="Q18" s="158">
        <v>14</v>
      </c>
      <c r="R18" s="159">
        <v>54.7</v>
      </c>
      <c r="S18" s="160"/>
      <c r="T18" s="161"/>
      <c r="U18" s="189">
        <f t="shared" si="2"/>
        <v>0</v>
      </c>
      <c r="V18" s="189">
        <f t="shared" si="3"/>
        <v>0.41025</v>
      </c>
      <c r="W18" s="189">
        <f t="shared" si="4"/>
        <v>0</v>
      </c>
      <c r="X18" s="189">
        <f t="shared" si="5"/>
        <v>0</v>
      </c>
      <c r="Y18" s="189">
        <f t="shared" si="6"/>
        <v>54.289750000000005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2314</v>
      </c>
      <c r="C19" s="95"/>
      <c r="D19" s="94"/>
      <c r="E19" s="96"/>
      <c r="F19" s="94"/>
      <c r="G19" s="94"/>
      <c r="H19" s="98"/>
      <c r="I19" s="99">
        <v>2314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561</v>
      </c>
      <c r="Q19" s="158">
        <v>14</v>
      </c>
      <c r="R19" s="159">
        <v>1164.27</v>
      </c>
      <c r="S19" s="160"/>
      <c r="T19" s="161"/>
      <c r="U19" s="189">
        <f t="shared" si="2"/>
        <v>0</v>
      </c>
      <c r="V19" s="189">
        <f t="shared" si="3"/>
        <v>8.7320250000000001</v>
      </c>
      <c r="W19" s="189">
        <f t="shared" si="4"/>
        <v>0</v>
      </c>
      <c r="X19" s="189">
        <f t="shared" si="5"/>
        <v>0</v>
      </c>
      <c r="Y19" s="189">
        <f t="shared" si="6"/>
        <v>1155.537975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13398.06</v>
      </c>
      <c r="C20" s="95"/>
      <c r="D20" s="94"/>
      <c r="E20" s="96"/>
      <c r="F20" s="94"/>
      <c r="G20" s="94"/>
      <c r="H20" s="98"/>
      <c r="I20" s="99">
        <v>13398.06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656</v>
      </c>
      <c r="Q20" s="158">
        <v>18</v>
      </c>
      <c r="R20" s="159">
        <v>945.21</v>
      </c>
      <c r="S20" s="160"/>
      <c r="T20" s="161"/>
      <c r="U20" s="189">
        <f t="shared" si="2"/>
        <v>0</v>
      </c>
      <c r="V20" s="189">
        <f t="shared" si="3"/>
        <v>7.0890750000000002</v>
      </c>
      <c r="W20" s="189">
        <f t="shared" si="4"/>
        <v>0</v>
      </c>
      <c r="X20" s="189">
        <f t="shared" si="5"/>
        <v>0</v>
      </c>
      <c r="Y20" s="189">
        <f t="shared" si="6"/>
        <v>938.12092500000006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657</v>
      </c>
      <c r="Q21" s="158">
        <v>18</v>
      </c>
      <c r="R21" s="159">
        <v>1789.4</v>
      </c>
      <c r="S21" s="160"/>
      <c r="T21" s="161">
        <v>16.18</v>
      </c>
      <c r="U21" s="189">
        <f t="shared" si="2"/>
        <v>0.69741379310344831</v>
      </c>
      <c r="V21" s="189">
        <f t="shared" si="3"/>
        <v>13.420500000000001</v>
      </c>
      <c r="W21" s="189">
        <f t="shared" si="4"/>
        <v>0</v>
      </c>
      <c r="X21" s="189">
        <f t="shared" si="5"/>
        <v>0.40450000000000003</v>
      </c>
      <c r="Y21" s="189">
        <f t="shared" si="6"/>
        <v>1775.9795000000001</v>
      </c>
      <c r="Z21" s="189">
        <f t="shared" si="6"/>
        <v>0</v>
      </c>
      <c r="AA21" s="189">
        <f t="shared" si="7"/>
        <v>15.07808620689655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 t="s">
        <v>164</v>
      </c>
      <c r="S27" s="160"/>
      <c r="T27" s="155"/>
      <c r="U27" s="189">
        <f t="shared" si="2"/>
        <v>0</v>
      </c>
      <c r="V27" s="189" t="e">
        <f t="shared" si="3"/>
        <v>#VALUE!</v>
      </c>
      <c r="W27" s="189">
        <f t="shared" si="4"/>
        <v>0</v>
      </c>
      <c r="X27" s="189">
        <f t="shared" si="5"/>
        <v>0</v>
      </c>
      <c r="Y27" s="189" t="e">
        <f t="shared" si="6"/>
        <v>#VALUE!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142.44999999999999</v>
      </c>
      <c r="C29" s="100"/>
      <c r="D29" s="66"/>
      <c r="E29" s="67"/>
      <c r="F29" s="66"/>
      <c r="G29" s="66"/>
      <c r="H29" s="102"/>
      <c r="I29" s="79"/>
      <c r="J29" s="81">
        <f t="shared" si="0"/>
        <v>142.44999999999999</v>
      </c>
      <c r="K29" s="80"/>
      <c r="L29" s="186">
        <f>K29-B29</f>
        <v>-142.44999999999999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824.78549999999996</v>
      </c>
      <c r="C30" s="100"/>
      <c r="D30" s="66"/>
      <c r="E30" s="67"/>
      <c r="F30" s="66"/>
      <c r="G30" s="66"/>
      <c r="H30" s="102"/>
      <c r="I30" s="79"/>
      <c r="J30" s="81">
        <f t="shared" si="0"/>
        <v>824.78549999999996</v>
      </c>
      <c r="K30" s="80"/>
      <c r="L30" s="186">
        <f>K30-B30</f>
        <v>-824.78549999999996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142.44999999999999</v>
      </c>
      <c r="C35" s="95"/>
      <c r="D35" s="94"/>
      <c r="E35" s="96"/>
      <c r="F35" s="94"/>
      <c r="G35" s="94"/>
      <c r="H35" s="98"/>
      <c r="I35" s="99">
        <v>142.44999999999999</v>
      </c>
      <c r="J35" s="185">
        <f t="shared" si="0"/>
        <v>0</v>
      </c>
      <c r="K35" s="99"/>
      <c r="L35" s="187">
        <f>K35-B35</f>
        <v>-142.44999999999999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824.78549999999996</v>
      </c>
      <c r="C36" s="95"/>
      <c r="D36" s="94"/>
      <c r="E36" s="96"/>
      <c r="F36" s="94"/>
      <c r="G36" s="94"/>
      <c r="H36" s="98"/>
      <c r="I36" s="99"/>
      <c r="J36" s="185">
        <f t="shared" si="0"/>
        <v>824.78549999999996</v>
      </c>
      <c r="K36" s="99"/>
      <c r="L36" s="187">
        <f>K36-B36</f>
        <v>-824.78549999999996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20.68</v>
      </c>
      <c r="C37" s="100"/>
      <c r="D37" s="66"/>
      <c r="E37" s="67"/>
      <c r="F37" s="66"/>
      <c r="G37" s="66"/>
      <c r="H37" s="102"/>
      <c r="I37" s="79"/>
      <c r="J37" s="81">
        <f t="shared" si="0"/>
        <v>20.68</v>
      </c>
      <c r="K37" s="80"/>
      <c r="L37" s="186">
        <f>K37-B37</f>
        <v>-20.68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119.7372</v>
      </c>
      <c r="C38" s="100"/>
      <c r="D38" s="66"/>
      <c r="E38" s="67"/>
      <c r="F38" s="66"/>
      <c r="G38" s="66"/>
      <c r="H38" s="102"/>
      <c r="I38" s="79"/>
      <c r="J38" s="81">
        <f t="shared" si="0"/>
        <v>119.7372</v>
      </c>
      <c r="K38" s="80"/>
      <c r="L38" s="186">
        <f>K38-B38</f>
        <v>-119.7372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23" t="s">
        <v>105</v>
      </c>
      <c r="O42" s="324"/>
      <c r="P42" s="324"/>
      <c r="Q42" s="325"/>
      <c r="R42" s="190">
        <f t="shared" ref="R42:AA42" si="8">SUM(R12:R41)</f>
        <v>9949.6200000000008</v>
      </c>
      <c r="S42" s="190">
        <f t="shared" si="8"/>
        <v>0</v>
      </c>
      <c r="T42" s="190">
        <f t="shared" si="8"/>
        <v>172.22</v>
      </c>
      <c r="U42" s="190">
        <f t="shared" si="8"/>
        <v>7.4232758620689658</v>
      </c>
      <c r="V42" s="190" t="e">
        <f t="shared" si="8"/>
        <v>#VALUE!</v>
      </c>
      <c r="W42" s="190">
        <f t="shared" si="8"/>
        <v>0</v>
      </c>
      <c r="X42" s="190">
        <f t="shared" si="8"/>
        <v>4.3055000000000003</v>
      </c>
      <c r="Y42" s="190" t="e">
        <f t="shared" si="8"/>
        <v>#VALUE!</v>
      </c>
      <c r="Z42" s="190">
        <f t="shared" si="8"/>
        <v>0</v>
      </c>
      <c r="AA42" s="190">
        <f t="shared" si="8"/>
        <v>160.49122413793103</v>
      </c>
      <c r="AB42" s="166"/>
    </row>
    <row r="43" spans="1:28" ht="15.75" x14ac:dyDescent="0.25">
      <c r="A43" s="93" t="s">
        <v>101</v>
      </c>
      <c r="B43" s="97">
        <f>+B37+B39+B41</f>
        <v>20.68</v>
      </c>
      <c r="C43" s="95"/>
      <c r="D43" s="94"/>
      <c r="E43" s="96"/>
      <c r="F43" s="94"/>
      <c r="G43" s="94"/>
      <c r="H43" s="98"/>
      <c r="I43" s="99">
        <v>20.68</v>
      </c>
      <c r="J43" s="185">
        <f t="shared" si="0"/>
        <v>0</v>
      </c>
      <c r="K43" s="99"/>
      <c r="L43" s="187">
        <f>K43-B43</f>
        <v>-20.68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119.7372</v>
      </c>
      <c r="C44" s="95"/>
      <c r="D44" s="94"/>
      <c r="E44" s="96"/>
      <c r="F44" s="94"/>
      <c r="G44" s="94"/>
      <c r="H44" s="98"/>
      <c r="I44" s="99"/>
      <c r="J44" s="185">
        <f t="shared" si="0"/>
        <v>119.7372</v>
      </c>
      <c r="K44" s="99"/>
      <c r="L44" s="187">
        <f>K44-B44</f>
        <v>-119.7372</v>
      </c>
      <c r="M44" s="107"/>
      <c r="N44" s="104">
        <v>2</v>
      </c>
      <c r="O44" s="167" t="s">
        <v>69</v>
      </c>
      <c r="P44" s="158"/>
      <c r="Q44" s="158"/>
      <c r="R44" s="160">
        <v>529.37</v>
      </c>
      <c r="S44" s="160"/>
      <c r="T44" s="155"/>
      <c r="U44" s="189">
        <f t="shared" si="9"/>
        <v>0</v>
      </c>
      <c r="V44" s="189">
        <f t="shared" si="10"/>
        <v>3.970275</v>
      </c>
      <c r="W44" s="189">
        <f t="shared" si="11"/>
        <v>0</v>
      </c>
      <c r="X44" s="189">
        <f t="shared" si="12"/>
        <v>0</v>
      </c>
      <c r="Y44" s="189">
        <f t="shared" si="13"/>
        <v>525.39972499999999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1107.47</v>
      </c>
      <c r="S45" s="160">
        <v>19.16</v>
      </c>
      <c r="T45" s="155"/>
      <c r="U45" s="189">
        <f t="shared" si="9"/>
        <v>0</v>
      </c>
      <c r="V45" s="189">
        <f t="shared" si="10"/>
        <v>8.306025</v>
      </c>
      <c r="W45" s="189">
        <f t="shared" si="11"/>
        <v>0.14369999999999999</v>
      </c>
      <c r="X45" s="189">
        <f t="shared" si="12"/>
        <v>0</v>
      </c>
      <c r="Y45" s="189">
        <f t="shared" si="13"/>
        <v>1099.1639749999999</v>
      </c>
      <c r="Z45" s="189">
        <f t="shared" si="13"/>
        <v>19.016300000000001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9949.6200000000008</v>
      </c>
      <c r="C46" s="116">
        <v>7.4999999999999997E-3</v>
      </c>
      <c r="D46" s="117">
        <f>B46*C46</f>
        <v>74.622150000000005</v>
      </c>
      <c r="E46" s="172">
        <v>0</v>
      </c>
      <c r="F46" s="117">
        <f t="shared" ref="F46:F50" si="15">D46*E46</f>
        <v>0</v>
      </c>
      <c r="G46" s="117">
        <f t="shared" ref="G46:G51" si="16">B46-D46-F46</f>
        <v>9874.9978500000016</v>
      </c>
      <c r="H46" s="173">
        <f>B$6+1</f>
        <v>44774</v>
      </c>
      <c r="I46" s="174">
        <v>9949.6200000000008</v>
      </c>
      <c r="J46" s="81">
        <f t="shared" si="0"/>
        <v>0</v>
      </c>
      <c r="K46" s="80"/>
      <c r="L46" s="186">
        <f t="shared" ref="L46:L64" si="17">+G46-K46</f>
        <v>9874.9978500000016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1636.8400000000001</v>
      </c>
      <c r="C47" s="116">
        <v>7.4999999999999997E-3</v>
      </c>
      <c r="D47" s="117">
        <f t="shared" ref="D47:D50" si="18">B47*C47</f>
        <v>12.276300000000001</v>
      </c>
      <c r="E47" s="172">
        <v>0</v>
      </c>
      <c r="F47" s="117">
        <f t="shared" si="15"/>
        <v>0</v>
      </c>
      <c r="G47" s="117">
        <f t="shared" si="16"/>
        <v>1624.5637000000002</v>
      </c>
      <c r="H47" s="173">
        <f>B$6+1</f>
        <v>44774</v>
      </c>
      <c r="I47" s="175">
        <v>1636.84</v>
      </c>
      <c r="J47" s="81">
        <f t="shared" si="0"/>
        <v>0</v>
      </c>
      <c r="K47" s="80"/>
      <c r="L47" s="186">
        <f t="shared" si="17"/>
        <v>1624.5637000000002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169</v>
      </c>
      <c r="B48" s="117">
        <f>R69</f>
        <v>123.46000000000001</v>
      </c>
      <c r="C48" s="116">
        <v>1.4999999999999999E-2</v>
      </c>
      <c r="D48" s="117">
        <f t="shared" si="18"/>
        <v>1.8519000000000001</v>
      </c>
      <c r="E48" s="172">
        <v>0</v>
      </c>
      <c r="F48" s="117">
        <f t="shared" si="15"/>
        <v>0</v>
      </c>
      <c r="G48" s="117">
        <f t="shared" si="16"/>
        <v>121.60810000000001</v>
      </c>
      <c r="H48" s="173">
        <f t="shared" ref="H48:H61" si="19">B$6+1</f>
        <v>44774</v>
      </c>
      <c r="I48" s="176">
        <v>123.46</v>
      </c>
      <c r="J48" s="81">
        <f t="shared" si="0"/>
        <v>0</v>
      </c>
      <c r="K48" s="80"/>
      <c r="L48" s="186">
        <f t="shared" si="17"/>
        <v>121.60810000000001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3804.3100000000004</v>
      </c>
      <c r="C49" s="116">
        <v>7.4999999999999997E-3</v>
      </c>
      <c r="D49" s="117">
        <f t="shared" si="18"/>
        <v>28.532325000000004</v>
      </c>
      <c r="E49" s="172">
        <v>0</v>
      </c>
      <c r="F49" s="117">
        <f t="shared" si="15"/>
        <v>0</v>
      </c>
      <c r="G49" s="117">
        <f t="shared" si="16"/>
        <v>3775.7776750000003</v>
      </c>
      <c r="H49" s="173">
        <f t="shared" si="19"/>
        <v>44774</v>
      </c>
      <c r="I49" s="176">
        <v>3804.32</v>
      </c>
      <c r="J49" s="81">
        <f t="shared" si="0"/>
        <v>-9.9999999997635314E-3</v>
      </c>
      <c r="K49" s="80"/>
      <c r="L49" s="186">
        <f t="shared" si="17"/>
        <v>3775.7776750000003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2206.7200000000003</v>
      </c>
      <c r="C50" s="116">
        <v>7.4999999999999997E-3</v>
      </c>
      <c r="D50" s="117">
        <f t="shared" si="18"/>
        <v>16.5504</v>
      </c>
      <c r="E50" s="172">
        <v>0</v>
      </c>
      <c r="F50" s="117">
        <f t="shared" si="15"/>
        <v>0</v>
      </c>
      <c r="G50" s="117">
        <f t="shared" si="16"/>
        <v>2190.1696000000002</v>
      </c>
      <c r="H50" s="173">
        <f t="shared" si="19"/>
        <v>44774</v>
      </c>
      <c r="I50" s="175">
        <v>2326.33</v>
      </c>
      <c r="J50" s="81">
        <f t="shared" si="0"/>
        <v>-119.60999999999967</v>
      </c>
      <c r="K50" s="80"/>
      <c r="L50" s="186">
        <f t="shared" si="17"/>
        <v>2190.1696000000002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119.61</v>
      </c>
      <c r="C51" s="116">
        <v>1.4999999999999999E-2</v>
      </c>
      <c r="D51" s="117">
        <f>+B51*C51</f>
        <v>1.7941499999999999</v>
      </c>
      <c r="E51" s="172">
        <v>0</v>
      </c>
      <c r="F51" s="117">
        <f>D51*E51</f>
        <v>0</v>
      </c>
      <c r="G51" s="117">
        <f t="shared" si="16"/>
        <v>117.81585</v>
      </c>
      <c r="H51" s="173">
        <f t="shared" si="19"/>
        <v>44774</v>
      </c>
      <c r="I51" s="175"/>
      <c r="J51" s="81">
        <f t="shared" si="0"/>
        <v>119.61</v>
      </c>
      <c r="K51" s="80"/>
      <c r="L51" s="186">
        <f t="shared" si="17"/>
        <v>117.81585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172.22</v>
      </c>
      <c r="C52" s="116">
        <v>2.5000000000000001E-2</v>
      </c>
      <c r="D52" s="117">
        <f>B52*C52</f>
        <v>4.3055000000000003</v>
      </c>
      <c r="E52" s="172">
        <v>0.05</v>
      </c>
      <c r="F52" s="117">
        <f>(B52/E$10)*E52</f>
        <v>7.4232758620689667</v>
      </c>
      <c r="G52" s="117">
        <f>B52-D52-F52</f>
        <v>160.49122413793103</v>
      </c>
      <c r="H52" s="188">
        <f t="shared" si="19"/>
        <v>44774</v>
      </c>
      <c r="I52" s="219">
        <v>172.22</v>
      </c>
      <c r="J52" s="81">
        <f t="shared" si="0"/>
        <v>0</v>
      </c>
      <c r="K52" s="80"/>
      <c r="L52" s="186">
        <f t="shared" si="17"/>
        <v>160.49122413793103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45.71</v>
      </c>
      <c r="C56" s="116">
        <v>2.5000000000000001E-2</v>
      </c>
      <c r="D56" s="117">
        <f t="shared" si="20"/>
        <v>1.1427500000000002</v>
      </c>
      <c r="E56" s="172">
        <v>0.05</v>
      </c>
      <c r="F56" s="117">
        <f t="shared" si="21"/>
        <v>1.9702586206896555</v>
      </c>
      <c r="G56" s="117">
        <f t="shared" si="22"/>
        <v>42.596991379310346</v>
      </c>
      <c r="H56" s="173">
        <f t="shared" si="19"/>
        <v>44774</v>
      </c>
      <c r="I56" s="176">
        <v>45.71</v>
      </c>
      <c r="J56" s="81">
        <f t="shared" si="0"/>
        <v>0</v>
      </c>
      <c r="K56" s="80"/>
      <c r="L56" s="186">
        <f t="shared" si="17"/>
        <v>42.596991379310346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19.16</v>
      </c>
      <c r="C58" s="116">
        <v>5.3E-3</v>
      </c>
      <c r="D58" s="117">
        <f>B58*C58</f>
        <v>0.101548</v>
      </c>
      <c r="E58" s="172">
        <v>0</v>
      </c>
      <c r="F58" s="117">
        <f>D58*E58</f>
        <v>0</v>
      </c>
      <c r="G58" s="117">
        <f t="shared" si="22"/>
        <v>19.058451999999999</v>
      </c>
      <c r="H58" s="173">
        <f>B$6+5</f>
        <v>44778</v>
      </c>
      <c r="I58" s="175">
        <v>19.16</v>
      </c>
      <c r="J58" s="81">
        <f t="shared" si="0"/>
        <v>0</v>
      </c>
      <c r="K58" s="80"/>
      <c r="L58" s="186">
        <f t="shared" si="17"/>
        <v>19.058451999999999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141.17702300000002</v>
      </c>
      <c r="E61" s="177"/>
      <c r="F61" s="57">
        <f>SUM(F46:F58)</f>
        <v>9.3935344827586214</v>
      </c>
      <c r="G61" s="57">
        <f>SUM(G46:G58)</f>
        <v>17927.079442517243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17927.079442517243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1636.8400000000001</v>
      </c>
      <c r="S63" s="191">
        <f>SUM(S43:S62)</f>
        <v>19.16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12.276299999999999</v>
      </c>
      <c r="W63" s="191">
        <f t="shared" si="25"/>
        <v>0.14369999999999999</v>
      </c>
      <c r="X63" s="191">
        <f t="shared" si="25"/>
        <v>0</v>
      </c>
      <c r="Y63" s="191">
        <f>SUM(Y43:Y62)</f>
        <v>1624.5636999999999</v>
      </c>
      <c r="Z63" s="191">
        <f t="shared" ref="Z63:AA63" si="26">SUM(Z43:Z62)</f>
        <v>19.016300000000001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35854.158885034485</v>
      </c>
      <c r="H64" s="184"/>
      <c r="I64" s="175"/>
      <c r="J64" s="81">
        <f t="shared" si="0"/>
        <v>0</v>
      </c>
      <c r="K64" s="80"/>
      <c r="L64" s="186">
        <f t="shared" si="17"/>
        <v>35854.158885034485</v>
      </c>
      <c r="M64" s="130"/>
      <c r="N64" s="87">
        <v>1</v>
      </c>
      <c r="O64" s="122" t="s">
        <v>238</v>
      </c>
      <c r="P64" s="87"/>
      <c r="Q64" s="225">
        <v>4822</v>
      </c>
      <c r="R64" s="225">
        <v>75.88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0.56909999999999994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75.31089999999999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34119.232700000008</v>
      </c>
      <c r="G65" s="22"/>
      <c r="L65" s="132"/>
      <c r="M65" s="131"/>
      <c r="N65" s="87">
        <v>2</v>
      </c>
      <c r="O65" s="122" t="s">
        <v>238</v>
      </c>
      <c r="P65" s="87"/>
      <c r="Q65" s="225">
        <v>7959</v>
      </c>
      <c r="R65" s="221">
        <v>22.93</v>
      </c>
      <c r="S65" s="225"/>
      <c r="T65" s="87"/>
      <c r="U65" s="189">
        <f t="shared" si="27"/>
        <v>0</v>
      </c>
      <c r="V65" s="189">
        <f t="shared" si="28"/>
        <v>0.17197499999999999</v>
      </c>
      <c r="W65" s="189">
        <f t="shared" si="29"/>
        <v>0</v>
      </c>
      <c r="X65" s="189">
        <f t="shared" si="30"/>
        <v>0</v>
      </c>
      <c r="Y65" s="189">
        <f t="shared" si="31"/>
        <v>22.758025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238</v>
      </c>
      <c r="P66" s="87"/>
      <c r="Q66" s="225">
        <v>126</v>
      </c>
      <c r="R66" s="225">
        <v>24.65</v>
      </c>
      <c r="S66" s="225"/>
      <c r="T66" s="87"/>
      <c r="U66" s="189">
        <f t="shared" si="27"/>
        <v>0</v>
      </c>
      <c r="V66" s="189">
        <f t="shared" si="28"/>
        <v>0.18487499999999998</v>
      </c>
      <c r="W66" s="189">
        <f t="shared" si="29"/>
        <v>0</v>
      </c>
      <c r="X66" s="189">
        <f t="shared" si="30"/>
        <v>0</v>
      </c>
      <c r="Y66" s="189">
        <f t="shared" si="31"/>
        <v>24.465124999999997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N67" s="87">
        <v>4</v>
      </c>
      <c r="O67" s="122" t="s">
        <v>238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34058.67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33669.339999999997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12" t="s">
        <v>108</v>
      </c>
      <c r="O69" s="312"/>
      <c r="P69" s="313"/>
      <c r="Q69" s="313"/>
      <c r="R69" s="192">
        <f>SUM(R64:R68)</f>
        <v>123.46000000000001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0.92594999999999994</v>
      </c>
      <c r="W69" s="192">
        <f t="shared" si="33"/>
        <v>0</v>
      </c>
      <c r="X69" s="192">
        <f t="shared" si="33"/>
        <v>0</v>
      </c>
      <c r="Y69" s="192">
        <f t="shared" si="33"/>
        <v>122.53404999999999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389.33000000000175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215</v>
      </c>
      <c r="P70" s="225">
        <v>188</v>
      </c>
      <c r="Q70" s="225">
        <v>2001</v>
      </c>
      <c r="R70" s="221">
        <v>1190.25</v>
      </c>
      <c r="S70" s="87"/>
      <c r="T70" s="87">
        <v>45.71</v>
      </c>
      <c r="U70" s="189">
        <f t="shared" ref="U70:U74" si="34">((T70/U$10)*U$9)</f>
        <v>1.9702586206896555</v>
      </c>
      <c r="V70" s="189">
        <f t="shared" ref="V70:V74" si="35">R70*V$10</f>
        <v>8.926874999999999</v>
      </c>
      <c r="W70" s="189">
        <f t="shared" ref="W70:W74" si="36">+S70*V$10</f>
        <v>0</v>
      </c>
      <c r="X70" s="189">
        <f t="shared" ref="X70:X74" si="37">+T70*X$10</f>
        <v>1.1427500000000002</v>
      </c>
      <c r="Y70" s="189">
        <f t="shared" ref="Y70:Z74" si="38">R70-V70</f>
        <v>1181.3231249999999</v>
      </c>
      <c r="Z70" s="189">
        <f t="shared" si="38"/>
        <v>0</v>
      </c>
      <c r="AA70" s="189">
        <f t="shared" ref="AA70:AA74" si="39">T70-U70-X70</f>
        <v>42.596991379310346</v>
      </c>
      <c r="AB70" s="87"/>
    </row>
    <row r="71" spans="1:30" ht="28.5" customHeight="1" thickBot="1" x14ac:dyDescent="0.3">
      <c r="A71" s="25" t="s">
        <v>56</v>
      </c>
      <c r="B71" s="70">
        <f>B65-B68</f>
        <v>60.562700000009499</v>
      </c>
      <c r="C71" s="64"/>
      <c r="F71" s="87" t="s">
        <v>129</v>
      </c>
      <c r="G71" s="137"/>
      <c r="H71" s="87"/>
      <c r="I71" s="81"/>
      <c r="J71" s="81"/>
      <c r="N71" s="87">
        <v>2</v>
      </c>
      <c r="O71" s="122" t="s">
        <v>215</v>
      </c>
      <c r="P71" s="225"/>
      <c r="Q71" s="225">
        <v>38</v>
      </c>
      <c r="R71" s="221">
        <v>36.96</v>
      </c>
      <c r="S71" s="87"/>
      <c r="T71" s="87"/>
      <c r="U71" s="189">
        <f t="shared" si="34"/>
        <v>0</v>
      </c>
      <c r="V71" s="189">
        <f t="shared" si="35"/>
        <v>0.2772</v>
      </c>
      <c r="W71" s="189">
        <f t="shared" si="36"/>
        <v>0</v>
      </c>
      <c r="X71" s="189">
        <f t="shared" si="37"/>
        <v>0</v>
      </c>
      <c r="Y71" s="189">
        <f t="shared" si="38"/>
        <v>36.6828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180</v>
      </c>
      <c r="P72" s="225"/>
      <c r="Q72" s="225">
        <v>192</v>
      </c>
      <c r="R72" s="225">
        <v>913.47</v>
      </c>
      <c r="S72" s="87"/>
      <c r="T72" s="87"/>
      <c r="U72" s="189">
        <f t="shared" si="34"/>
        <v>0</v>
      </c>
      <c r="V72" s="189">
        <f t="shared" si="35"/>
        <v>6.8510249999999999</v>
      </c>
      <c r="W72" s="189">
        <f t="shared" si="36"/>
        <v>0</v>
      </c>
      <c r="X72" s="189">
        <f t="shared" si="37"/>
        <v>0</v>
      </c>
      <c r="Y72" s="189">
        <f t="shared" si="38"/>
        <v>906.61897499999998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180</v>
      </c>
      <c r="P73" s="225"/>
      <c r="Q73" s="225">
        <v>193</v>
      </c>
      <c r="R73" s="225">
        <v>1663.63</v>
      </c>
      <c r="S73" s="87"/>
      <c r="T73" s="87"/>
      <c r="U73" s="189">
        <f t="shared" si="34"/>
        <v>0</v>
      </c>
      <c r="V73" s="189">
        <f t="shared" si="35"/>
        <v>12.477225000000001</v>
      </c>
      <c r="W73" s="189">
        <f t="shared" si="36"/>
        <v>0</v>
      </c>
      <c r="X73" s="189">
        <f t="shared" si="37"/>
        <v>0</v>
      </c>
      <c r="Y73" s="189">
        <f t="shared" si="38"/>
        <v>1651.152775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5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3804.3100000000004</v>
      </c>
      <c r="S75" s="192"/>
      <c r="T75" s="192">
        <f>SUM(T70:T74)</f>
        <v>45.71</v>
      </c>
      <c r="U75" s="192">
        <f>SUM(U70:U74)</f>
        <v>1.9702586206896555</v>
      </c>
      <c r="V75" s="192">
        <f t="shared" ref="V75:AA75" si="41">SUM(V70:V74)</f>
        <v>28.532325</v>
      </c>
      <c r="W75" s="192">
        <f t="shared" si="41"/>
        <v>0</v>
      </c>
      <c r="X75" s="192">
        <f t="shared" si="41"/>
        <v>1.1427500000000002</v>
      </c>
      <c r="Y75" s="192">
        <f t="shared" si="41"/>
        <v>3775.7776749999998</v>
      </c>
      <c r="Z75" s="192">
        <f t="shared" si="41"/>
        <v>0</v>
      </c>
      <c r="AA75" s="193">
        <f t="shared" si="41"/>
        <v>42.596991379310346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>
        <f>166.32+49.16+72.77</f>
        <v>288.25</v>
      </c>
      <c r="R78" s="82">
        <v>7.4999999999999997E-3</v>
      </c>
      <c r="S78" s="194">
        <f>+(P78+Q78)*R78</f>
        <v>2.1618749999999998</v>
      </c>
      <c r="T78" s="216">
        <f>+(P78+Q78)-S78</f>
        <v>286.08812499999999</v>
      </c>
      <c r="U78" s="211">
        <f>13.6+21.19</f>
        <v>34.79</v>
      </c>
      <c r="V78" s="112"/>
      <c r="W78" s="113">
        <v>1.4999999999999999E-2</v>
      </c>
      <c r="X78" s="196">
        <f>+(U78+V78)*W78</f>
        <v>0.52184999999999993</v>
      </c>
      <c r="Y78" s="217">
        <f>+(U78+V78)-X78</f>
        <v>34.268149999999999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>
        <f>210.51+13.89+223.25+88.84</f>
        <v>536.49</v>
      </c>
      <c r="R79" s="82">
        <v>7.4999999999999997E-3</v>
      </c>
      <c r="S79" s="194">
        <f t="shared" ref="S79:S97" si="43">+(P79+Q79)*R79</f>
        <v>4.0236749999999999</v>
      </c>
      <c r="T79" s="216">
        <f t="shared" ref="T79:T97" si="44">+(P79+Q79)-S79</f>
        <v>532.46632499999998</v>
      </c>
      <c r="U79" s="211">
        <f>7.7+6.64</f>
        <v>14.34</v>
      </c>
      <c r="V79" s="112"/>
      <c r="W79" s="113">
        <v>1.4999999999999999E-2</v>
      </c>
      <c r="X79" s="196">
        <f t="shared" ref="X79:X97" si="45">+(U79+V79)*W79</f>
        <v>0.21509999999999999</v>
      </c>
      <c r="Y79" s="217">
        <f t="shared" ref="Y79:Y97" si="46">+(U79+V79)-X79</f>
        <v>14.1249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21.54+186.03+172.03</f>
        <v>379.6</v>
      </c>
      <c r="R80" s="82">
        <v>7.4999999999999997E-3</v>
      </c>
      <c r="S80" s="194">
        <f t="shared" si="43"/>
        <v>2.847</v>
      </c>
      <c r="T80" s="216">
        <f t="shared" si="44"/>
        <v>376.75300000000004</v>
      </c>
      <c r="U80" s="211">
        <f>31.28+9</f>
        <v>40.28</v>
      </c>
      <c r="V80" s="112"/>
      <c r="W80" s="113">
        <v>1.4999999999999999E-2</v>
      </c>
      <c r="X80" s="196">
        <f t="shared" si="45"/>
        <v>0.60419999999999996</v>
      </c>
      <c r="Y80" s="217">
        <f t="shared" si="46"/>
        <v>39.675800000000002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>
        <f>84.32+542.18</f>
        <v>626.5</v>
      </c>
      <c r="R81" s="82">
        <v>7.4999999999999997E-3</v>
      </c>
      <c r="S81" s="194">
        <f t="shared" si="43"/>
        <v>4.6987499999999995</v>
      </c>
      <c r="T81" s="216">
        <f t="shared" si="44"/>
        <v>621.80124999999998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>
        <f>263.04+112.84</f>
        <v>375.88</v>
      </c>
      <c r="R82" s="82">
        <v>7.4999999999999997E-3</v>
      </c>
      <c r="S82" s="194">
        <f t="shared" si="43"/>
        <v>2.8190999999999997</v>
      </c>
      <c r="T82" s="216">
        <f t="shared" si="44"/>
        <v>373.0609</v>
      </c>
      <c r="U82" s="211">
        <f>30.2</f>
        <v>30.2</v>
      </c>
      <c r="V82" s="112"/>
      <c r="W82" s="113">
        <v>1.4999999999999999E-2</v>
      </c>
      <c r="X82" s="196">
        <f t="shared" si="45"/>
        <v>0.45299999999999996</v>
      </c>
      <c r="Y82" s="217">
        <f t="shared" si="46"/>
        <v>29.747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6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137"/>
      <c r="R84" s="82">
        <v>7.4999999999999997E-3</v>
      </c>
      <c r="S84" s="194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2206.7200000000003</v>
      </c>
      <c r="R98" s="111"/>
      <c r="S98" s="195">
        <f>SUM(S78:S97)</f>
        <v>16.550399999999996</v>
      </c>
      <c r="T98" s="195">
        <f>SUM(T78:T97)</f>
        <v>2190.1696000000002</v>
      </c>
      <c r="U98" s="114">
        <f>SUM(U78:U97)</f>
        <v>119.61</v>
      </c>
      <c r="V98" s="114">
        <f>SUM(V78:V97)</f>
        <v>0</v>
      </c>
      <c r="W98" s="112"/>
      <c r="X98" s="197">
        <f>SUM(X78:X97)</f>
        <v>1.7941499999999997</v>
      </c>
      <c r="Y98" s="197">
        <f>SUM(Y78:Y97)</f>
        <v>117.81585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323.04000000000002</v>
      </c>
    </row>
    <row r="102" spans="14:30" x14ac:dyDescent="0.25">
      <c r="N102" s="85"/>
      <c r="P102" s="215">
        <f>P79+U79+Q79</f>
        <v>550.83000000000004</v>
      </c>
    </row>
    <row r="103" spans="14:30" x14ac:dyDescent="0.25">
      <c r="N103" s="85"/>
      <c r="P103" s="215">
        <f t="shared" ref="P103:P110" si="50">P80+Q80+U80</f>
        <v>419.88</v>
      </c>
    </row>
    <row r="104" spans="14:30" x14ac:dyDescent="0.25">
      <c r="N104" s="85"/>
      <c r="P104" s="215">
        <f t="shared" si="50"/>
        <v>626.5</v>
      </c>
    </row>
    <row r="105" spans="14:30" x14ac:dyDescent="0.25">
      <c r="N105" s="85"/>
      <c r="P105" s="215">
        <f t="shared" si="50"/>
        <v>406.08</v>
      </c>
    </row>
    <row r="106" spans="14:30" x14ac:dyDescent="0.25">
      <c r="N106" s="85"/>
      <c r="P106" s="246">
        <f t="shared" si="50"/>
        <v>0</v>
      </c>
    </row>
    <row r="107" spans="14:30" x14ac:dyDescent="0.25">
      <c r="N107" s="85"/>
      <c r="P107" s="215">
        <f>P84+Q84+U84</f>
        <v>0</v>
      </c>
    </row>
    <row r="108" spans="14:30" x14ac:dyDescent="0.25">
      <c r="N108" s="85"/>
      <c r="P108" s="246">
        <f t="shared" si="50"/>
        <v>0</v>
      </c>
    </row>
    <row r="109" spans="14:30" x14ac:dyDescent="0.25">
      <c r="N109" s="85"/>
      <c r="P109" s="85">
        <f>P86+Q86+U86</f>
        <v>0</v>
      </c>
    </row>
    <row r="110" spans="14:30" x14ac:dyDescent="0.25">
      <c r="N110" s="85"/>
      <c r="P110" s="246">
        <f t="shared" si="50"/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9" zoomScale="90" zoomScaleNormal="90" workbookViewId="0">
      <selection activeCell="A7" sqref="A7:D42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89"/>
      <c r="B1" s="293" t="s">
        <v>11</v>
      </c>
      <c r="C1" s="294"/>
      <c r="D1" s="294"/>
      <c r="E1" s="294"/>
      <c r="F1" s="294"/>
      <c r="G1" s="294"/>
      <c r="H1" s="294"/>
      <c r="I1" s="294"/>
      <c r="J1" s="295"/>
    </row>
    <row r="2" spans="1:10" s="84" customFormat="1" ht="16.5" customHeight="1" x14ac:dyDescent="0.25">
      <c r="A2" s="289"/>
      <c r="B2" s="296" t="s">
        <v>147</v>
      </c>
      <c r="C2" s="297"/>
      <c r="D2" s="297"/>
      <c r="E2" s="297"/>
      <c r="F2" s="297"/>
      <c r="G2" s="297"/>
      <c r="H2" s="297"/>
      <c r="I2" s="297"/>
      <c r="J2" s="298"/>
    </row>
    <row r="3" spans="1:10" s="84" customFormat="1" ht="16.5" customHeight="1" x14ac:dyDescent="0.25">
      <c r="A3" s="289"/>
      <c r="B3" s="292"/>
      <c r="C3" s="292"/>
      <c r="D3" s="292"/>
      <c r="E3" s="292"/>
      <c r="F3" s="292"/>
      <c r="G3" s="292"/>
      <c r="H3" s="292"/>
      <c r="I3" s="292"/>
      <c r="J3" s="292"/>
    </row>
    <row r="4" spans="1:10" x14ac:dyDescent="0.25">
      <c r="B4" s="292"/>
      <c r="C4" s="292"/>
      <c r="D4" s="292"/>
      <c r="E4" s="292"/>
      <c r="F4" s="292"/>
      <c r="G4" s="292"/>
      <c r="H4" s="292"/>
    </row>
    <row r="6" spans="1:10" ht="15.75" thickBot="1" x14ac:dyDescent="0.3"/>
    <row r="7" spans="1:10" x14ac:dyDescent="0.25">
      <c r="E7" s="290" t="s">
        <v>13</v>
      </c>
      <c r="F7" s="291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>
        <f>'DIA 1'!B$6</f>
        <v>44774</v>
      </c>
      <c r="B9" s="199">
        <f>+'DIA 1'!G$50</f>
        <v>1397.8667749999997</v>
      </c>
      <c r="C9" s="199">
        <f>+'DIA 1'!G$51</f>
        <v>390.24714999999998</v>
      </c>
      <c r="D9" s="199">
        <f>+'DIA 1'!G$55</f>
        <v>0</v>
      </c>
      <c r="E9" s="203">
        <f t="shared" ref="E9:E39" si="0">B9+D9</f>
        <v>1397.8667749999997</v>
      </c>
      <c r="F9" s="204">
        <f>+'DIA 1'!K$50</f>
        <v>1397.87</v>
      </c>
      <c r="G9" s="204">
        <f>+'DIA 1'!K$51</f>
        <v>390.25</v>
      </c>
      <c r="H9" s="205">
        <f>+'DIA 1'!K$55</f>
        <v>0</v>
      </c>
      <c r="I9" s="60">
        <f t="shared" ref="I9:I39" si="1">B9-F9</f>
        <v>-3.2250000001567969E-3</v>
      </c>
      <c r="J9" s="60">
        <f>D9-H9</f>
        <v>0</v>
      </c>
    </row>
    <row r="10" spans="1:10" x14ac:dyDescent="0.25">
      <c r="A10" s="46">
        <f>'DIA 2'!B$6</f>
        <v>44775</v>
      </c>
      <c r="B10" s="199">
        <f>'DIA 2'!G$50</f>
        <v>2088.7162499999999</v>
      </c>
      <c r="C10" s="199">
        <f>'DIA 2'!G$51</f>
        <v>663.96879999999999</v>
      </c>
      <c r="D10" s="199">
        <f>'DIA 2'!G$55</f>
        <v>0</v>
      </c>
      <c r="E10" s="203">
        <f t="shared" si="0"/>
        <v>2088.7162499999999</v>
      </c>
      <c r="F10" s="199">
        <f>'DIA 2'!K$50</f>
        <v>2088.7199999999998</v>
      </c>
      <c r="G10" s="199">
        <f>'DIA 2'!K$51</f>
        <v>663.97</v>
      </c>
      <c r="H10" s="199">
        <f>'DIA 2'!K$55</f>
        <v>0</v>
      </c>
      <c r="I10" s="60">
        <f t="shared" si="1"/>
        <v>-3.7499999998544808E-3</v>
      </c>
      <c r="J10" s="60">
        <f t="shared" ref="J10:J39" si="2">D10-H10</f>
        <v>0</v>
      </c>
    </row>
    <row r="11" spans="1:10" x14ac:dyDescent="0.25">
      <c r="A11" s="46">
        <f>'DIA 3'!B$6</f>
        <v>44776</v>
      </c>
      <c r="B11" s="199">
        <f>'DIA 3'!G$50</f>
        <v>1712.8862749999998</v>
      </c>
      <c r="C11" s="199">
        <f>'DIA 3'!G$51</f>
        <v>599.2346</v>
      </c>
      <c r="D11" s="199">
        <f>'DIA 3'!G$55</f>
        <v>0</v>
      </c>
      <c r="E11" s="203">
        <f t="shared" si="0"/>
        <v>1712.8862749999998</v>
      </c>
      <c r="F11" s="199">
        <f>'DIA 3'!K$50</f>
        <v>1712.89</v>
      </c>
      <c r="G11" s="199">
        <f>'DIA 3'!K$51</f>
        <v>599.23</v>
      </c>
      <c r="H11" s="199">
        <f>'DIA 3'!K$55</f>
        <v>0</v>
      </c>
      <c r="I11" s="60">
        <f t="shared" si="1"/>
        <v>-3.7250000002586603E-3</v>
      </c>
      <c r="J11" s="60">
        <f t="shared" si="2"/>
        <v>0</v>
      </c>
    </row>
    <row r="12" spans="1:10" x14ac:dyDescent="0.25">
      <c r="A12" s="46">
        <f>'DIA 4'!B$6</f>
        <v>44777</v>
      </c>
      <c r="B12" s="199">
        <f>'DIA 4'!G$50</f>
        <v>1864.0737999999999</v>
      </c>
      <c r="C12" s="199">
        <f>'DIA 4'!G$51</f>
        <v>494.33210000000003</v>
      </c>
      <c r="D12" s="199">
        <f>'DIA 4'!G$55</f>
        <v>0</v>
      </c>
      <c r="E12" s="203">
        <f t="shared" si="0"/>
        <v>1864.0737999999999</v>
      </c>
      <c r="F12" s="199">
        <f>'DIA 4'!K$50</f>
        <v>1864.07</v>
      </c>
      <c r="G12" s="199">
        <f>'DIA 4'!K$51</f>
        <v>494.33</v>
      </c>
      <c r="H12" s="199">
        <f>'DIA 4'!K$55</f>
        <v>0</v>
      </c>
      <c r="I12" s="60">
        <f t="shared" si="1"/>
        <v>3.7999999999556167E-3</v>
      </c>
      <c r="J12" s="60">
        <f t="shared" si="2"/>
        <v>0</v>
      </c>
    </row>
    <row r="13" spans="1:10" x14ac:dyDescent="0.25">
      <c r="A13" s="46">
        <f>'DIA 5'!B$6</f>
        <v>44778</v>
      </c>
      <c r="B13" s="199">
        <f>'DIA 5'!G$50</f>
        <v>1778.4508250000001</v>
      </c>
      <c r="C13" s="199">
        <f>'DIA 5'!G$51</f>
        <v>394.60085000000004</v>
      </c>
      <c r="D13" s="199">
        <f>'DIA 5'!G$55</f>
        <v>0</v>
      </c>
      <c r="E13" s="203">
        <f t="shared" si="0"/>
        <v>1778.4508250000001</v>
      </c>
      <c r="F13" s="199">
        <f>'DIA 5'!K$50</f>
        <v>1744.3799999999999</v>
      </c>
      <c r="G13" s="199">
        <f>'DIA 5'!K$51</f>
        <v>394.6</v>
      </c>
      <c r="H13" s="199">
        <f>'DIA 5'!K$55</f>
        <v>0</v>
      </c>
      <c r="I13" s="60">
        <f t="shared" si="1"/>
        <v>34.070825000000241</v>
      </c>
      <c r="J13" s="60">
        <f t="shared" si="2"/>
        <v>0</v>
      </c>
    </row>
    <row r="14" spans="1:10" x14ac:dyDescent="0.25">
      <c r="A14" s="46">
        <f>'DIA 6'!B$6</f>
        <v>44779</v>
      </c>
      <c r="B14" s="199">
        <f>'DIA 6'!G$50</f>
        <v>2144.9016750000001</v>
      </c>
      <c r="C14" s="199">
        <f>'DIA 6'!G$51</f>
        <v>635.67959999999994</v>
      </c>
      <c r="D14" s="199">
        <f>'DIA 6'!G$55</f>
        <v>0</v>
      </c>
      <c r="E14" s="203">
        <f t="shared" si="0"/>
        <v>2144.9016750000001</v>
      </c>
      <c r="F14" s="199">
        <f>'DIA 6'!K$50</f>
        <v>2048.58</v>
      </c>
      <c r="G14" s="199">
        <f>'DIA 6'!K$51</f>
        <v>635.67999999999995</v>
      </c>
      <c r="H14" s="199">
        <f>'DIA 6'!K$55</f>
        <v>0</v>
      </c>
      <c r="I14" s="60">
        <f t="shared" si="1"/>
        <v>96.321675000000141</v>
      </c>
      <c r="J14" s="60">
        <f t="shared" si="2"/>
        <v>0</v>
      </c>
    </row>
    <row r="15" spans="1:10" x14ac:dyDescent="0.25">
      <c r="A15" s="46">
        <f>'DIA 7'!B$6</f>
        <v>44780</v>
      </c>
      <c r="B15" s="199">
        <f>'DIA 7'!G$50</f>
        <v>1634.4490000000001</v>
      </c>
      <c r="C15" s="199">
        <f>'DIA 7'!G$51</f>
        <v>313.62400000000002</v>
      </c>
      <c r="D15" s="199">
        <f>'DIA 7'!G$55</f>
        <v>0</v>
      </c>
      <c r="E15" s="203">
        <f t="shared" si="0"/>
        <v>1634.4490000000001</v>
      </c>
      <c r="F15" s="199">
        <f>'DIA 7'!K$50</f>
        <v>0</v>
      </c>
      <c r="G15" s="199">
        <f>'DIA 7'!K$51</f>
        <v>313.62</v>
      </c>
      <c r="H15" s="199">
        <f>'DIA 7'!K$55</f>
        <v>0</v>
      </c>
      <c r="I15" s="60">
        <f t="shared" si="1"/>
        <v>1634.4490000000001</v>
      </c>
      <c r="J15" s="60">
        <f t="shared" si="2"/>
        <v>0</v>
      </c>
    </row>
    <row r="16" spans="1:10" x14ac:dyDescent="0.25">
      <c r="A16" s="46">
        <f>'DIA 8'!B$6</f>
        <v>44781</v>
      </c>
      <c r="B16" s="199">
        <f>'DIA 8'!G$50</f>
        <v>1784.465375</v>
      </c>
      <c r="C16" s="199">
        <f>'DIA 8'!G$51</f>
        <v>292.80110000000002</v>
      </c>
      <c r="D16" s="199">
        <f>'DIA 8'!G$55</f>
        <v>0</v>
      </c>
      <c r="E16" s="203">
        <f t="shared" si="0"/>
        <v>1784.465375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1784.465375</v>
      </c>
      <c r="J16" s="60">
        <f t="shared" si="2"/>
        <v>0</v>
      </c>
    </row>
    <row r="17" spans="1:10" x14ac:dyDescent="0.25">
      <c r="A17" s="46">
        <f>'DIA 9'!B$6</f>
        <v>44782</v>
      </c>
      <c r="B17" s="199">
        <f>'DIA 9'!G$50</f>
        <v>1571.9612000000002</v>
      </c>
      <c r="C17" s="199">
        <f>'DIA 9'!G$51</f>
        <v>366.53820000000002</v>
      </c>
      <c r="D17" s="199">
        <f>'DIA 9'!G$55</f>
        <v>0</v>
      </c>
      <c r="E17" s="203">
        <f t="shared" si="0"/>
        <v>1571.9612000000002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1571.9612000000002</v>
      </c>
      <c r="J17" s="60">
        <f t="shared" si="2"/>
        <v>0</v>
      </c>
    </row>
    <row r="18" spans="1:10" x14ac:dyDescent="0.25">
      <c r="A18" s="46">
        <f>'DIA 10'!B$6</f>
        <v>44783</v>
      </c>
      <c r="B18" s="199">
        <f>'DIA 10'!G$50</f>
        <v>4310.7947249999997</v>
      </c>
      <c r="C18" s="199">
        <f>'DIA 10'!G$51</f>
        <v>186.18469999999999</v>
      </c>
      <c r="D18" s="199">
        <f>'DIA 10'!G$55</f>
        <v>0</v>
      </c>
      <c r="E18" s="203">
        <f t="shared" si="0"/>
        <v>4310.7947249999997</v>
      </c>
      <c r="F18" s="199">
        <f>'DIA 10'!K$50</f>
        <v>4310.79</v>
      </c>
      <c r="G18" s="199">
        <f>'DIA 10'!K$51</f>
        <v>186.18</v>
      </c>
      <c r="H18" s="199">
        <f>'DIA 10'!K$55</f>
        <v>0</v>
      </c>
      <c r="I18" s="60">
        <f t="shared" si="1"/>
        <v>4.7249999997802661E-3</v>
      </c>
      <c r="J18" s="60">
        <f t="shared" si="2"/>
        <v>0</v>
      </c>
    </row>
    <row r="19" spans="1:10" x14ac:dyDescent="0.25">
      <c r="A19" s="46">
        <f>'DIA 11'!B$6</f>
        <v>44784</v>
      </c>
      <c r="B19" s="199">
        <f>'DIA 11'!G$50</f>
        <v>2466.9977000000003</v>
      </c>
      <c r="C19" s="199">
        <f>'DIA 11'!G$51</f>
        <v>391.12379999999996</v>
      </c>
      <c r="D19" s="199">
        <f>'DIA 11'!G$55</f>
        <v>0</v>
      </c>
      <c r="E19" s="203">
        <f t="shared" si="0"/>
        <v>2466.9977000000003</v>
      </c>
      <c r="F19" s="199">
        <f>'DIA 11'!K$50</f>
        <v>2467</v>
      </c>
      <c r="G19" s="199">
        <f>'DIA 11'!K$51</f>
        <v>391.12</v>
      </c>
      <c r="H19" s="199">
        <f>'DIA 11'!K$55</f>
        <v>0</v>
      </c>
      <c r="I19" s="60">
        <f t="shared" si="1"/>
        <v>-2.2999999996500264E-3</v>
      </c>
      <c r="J19" s="60">
        <f t="shared" si="2"/>
        <v>0</v>
      </c>
    </row>
    <row r="20" spans="1:10" x14ac:dyDescent="0.25">
      <c r="A20" s="46">
        <f>'DIA 12'!B$6</f>
        <v>44785</v>
      </c>
      <c r="B20" s="199">
        <f>'DIA 12'!G$50</f>
        <v>3480.4989999999998</v>
      </c>
      <c r="C20" s="199">
        <f>'DIA 12'!G$51</f>
        <v>674.55754999999999</v>
      </c>
      <c r="D20" s="199">
        <f>'DIA 12'!G$55</f>
        <v>0</v>
      </c>
      <c r="E20" s="203">
        <f t="shared" si="0"/>
        <v>3480.4989999999998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3480.4989999999998</v>
      </c>
      <c r="J20" s="60">
        <f t="shared" si="2"/>
        <v>0</v>
      </c>
    </row>
    <row r="21" spans="1:10" x14ac:dyDescent="0.25">
      <c r="A21" s="46">
        <f>'DIA 13'!B$6</f>
        <v>44786</v>
      </c>
      <c r="B21" s="199">
        <f>'DIA 13'!G$50</f>
        <v>976.82842499999992</v>
      </c>
      <c r="C21" s="199">
        <f>'DIA 13'!G$51</f>
        <v>413.78864999999996</v>
      </c>
      <c r="D21" s="199">
        <f>'DIA 13'!G$55</f>
        <v>0</v>
      </c>
      <c r="E21" s="203">
        <f t="shared" si="0"/>
        <v>976.82842499999992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976.82842499999992</v>
      </c>
      <c r="J21" s="60">
        <f t="shared" si="2"/>
        <v>0</v>
      </c>
    </row>
    <row r="22" spans="1:10" x14ac:dyDescent="0.25">
      <c r="A22" s="46">
        <f>'DIA 14'!B$6</f>
        <v>44787</v>
      </c>
      <c r="B22" s="199">
        <f>'DIA 14'!G$50</f>
        <v>29.159649999999999</v>
      </c>
      <c r="C22" s="199">
        <f>'DIA 14'!G$51</f>
        <v>44.187100000000001</v>
      </c>
      <c r="D22" s="199">
        <f>'DIA 14'!G$55</f>
        <v>0</v>
      </c>
      <c r="E22" s="203">
        <f t="shared" si="0"/>
        <v>29.159649999999999</v>
      </c>
      <c r="F22" s="199">
        <f>'DIA 14'!K$50</f>
        <v>24.18</v>
      </c>
      <c r="G22" s="199">
        <f>'DIA 14'!K$51</f>
        <v>44.19</v>
      </c>
      <c r="H22" s="199">
        <f>'DIA 14'!K$55</f>
        <v>0</v>
      </c>
      <c r="I22" s="60">
        <f t="shared" si="1"/>
        <v>4.9796499999999995</v>
      </c>
      <c r="J22" s="60">
        <f t="shared" si="2"/>
        <v>0</v>
      </c>
    </row>
    <row r="23" spans="1:10" x14ac:dyDescent="0.25">
      <c r="A23" s="46">
        <f>'DIA 15'!B$6</f>
        <v>44788</v>
      </c>
      <c r="B23" s="199">
        <f>'DIA 15'!G$50</f>
        <v>1417.86565</v>
      </c>
      <c r="C23" s="199">
        <f>'DIA 15'!G$51</f>
        <v>875.78319999999985</v>
      </c>
      <c r="D23" s="199">
        <f>'DIA 15'!G$55</f>
        <v>0</v>
      </c>
      <c r="E23" s="203">
        <f t="shared" si="0"/>
        <v>1417.86565</v>
      </c>
      <c r="F23" s="199">
        <f>'DIA 15'!K$50</f>
        <v>1410.25</v>
      </c>
      <c r="G23" s="199">
        <f>'DIA 15'!K$51</f>
        <v>875.78</v>
      </c>
      <c r="H23" s="199">
        <f>'DIA 15'!K$55</f>
        <v>0</v>
      </c>
      <c r="I23" s="60">
        <f t="shared" si="1"/>
        <v>7.6156499999999596</v>
      </c>
      <c r="J23" s="60">
        <f t="shared" si="2"/>
        <v>0</v>
      </c>
    </row>
    <row r="24" spans="1:10" x14ac:dyDescent="0.25">
      <c r="A24" s="46">
        <f>'DIA 16'!B$6</f>
        <v>44789</v>
      </c>
      <c r="B24" s="199">
        <f>'DIA 16'!G$50</f>
        <v>1666.5166749999999</v>
      </c>
      <c r="C24" s="199">
        <f>'DIA 16'!G$51</f>
        <v>459.49265000000003</v>
      </c>
      <c r="D24" s="199">
        <f>'DIA 16'!G$55</f>
        <v>0</v>
      </c>
      <c r="E24" s="203">
        <f t="shared" si="0"/>
        <v>1666.5166749999999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1666.5166749999999</v>
      </c>
      <c r="J24" s="60">
        <f t="shared" si="2"/>
        <v>0</v>
      </c>
    </row>
    <row r="25" spans="1:10" x14ac:dyDescent="0.25">
      <c r="A25" s="46">
        <f>'DIA 17'!B$6</f>
        <v>44790</v>
      </c>
      <c r="B25" s="199">
        <f>'DIA 17'!G$50</f>
        <v>980.41134999999997</v>
      </c>
      <c r="C25" s="199">
        <f>'DIA 17'!G$51</f>
        <v>455.8974</v>
      </c>
      <c r="D25" s="199">
        <f>'DIA 17'!G$55</f>
        <v>0</v>
      </c>
      <c r="E25" s="203">
        <f t="shared" si="0"/>
        <v>980.41134999999997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980.41134999999997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1138.3478749999999</v>
      </c>
      <c r="C26" s="199">
        <f>'DIA 18'!G$51</f>
        <v>202.9888</v>
      </c>
      <c r="D26" s="199">
        <f>'DIA 18'!G$55</f>
        <v>0</v>
      </c>
      <c r="E26" s="203">
        <f t="shared" si="0"/>
        <v>1138.3478749999999</v>
      </c>
      <c r="F26" s="199">
        <f>'DIA 18'!K$50</f>
        <v>1138.3499999999999</v>
      </c>
      <c r="G26" s="199">
        <f>'DIA 18'!K$51</f>
        <v>202.99</v>
      </c>
      <c r="H26" s="199">
        <f>'DIA 18'!K$55</f>
        <v>0</v>
      </c>
      <c r="I26" s="60">
        <f t="shared" si="1"/>
        <v>-2.1249999999781721E-3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1122.4778000000001</v>
      </c>
      <c r="C27" s="199">
        <f>'DIA 19'!G$51</f>
        <v>644.0127</v>
      </c>
      <c r="D27" s="199">
        <f>'DIA 19'!G$55</f>
        <v>0</v>
      </c>
      <c r="E27" s="203">
        <f t="shared" si="0"/>
        <v>1122.4778000000001</v>
      </c>
      <c r="F27" s="199">
        <f>'DIA 19'!K$50</f>
        <v>1122.48</v>
      </c>
      <c r="G27" s="199">
        <f>'DIA 19'!K$51</f>
        <v>644.01</v>
      </c>
      <c r="H27" s="199">
        <f>'DIA 19'!K$55</f>
        <v>0</v>
      </c>
      <c r="I27" s="60">
        <f t="shared" si="1"/>
        <v>-2.1999999999025022E-3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1483.4897499999997</v>
      </c>
      <c r="C28" s="199">
        <f>'DIA 20'!G$51</f>
        <v>666.83515</v>
      </c>
      <c r="D28" s="199">
        <f>'DIA 20'!G$55</f>
        <v>0</v>
      </c>
      <c r="E28" s="203">
        <f t="shared" si="0"/>
        <v>1483.4897499999997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1483.4897499999997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1928.4870500000002</v>
      </c>
      <c r="C29" s="199">
        <f>'DIA 21'!G$51</f>
        <v>1039.0371</v>
      </c>
      <c r="D29" s="199">
        <f>'DIA 21'!G$55</f>
        <v>0</v>
      </c>
      <c r="E29" s="203">
        <f t="shared" si="0"/>
        <v>1928.4870500000002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1928.4870500000002</v>
      </c>
      <c r="J29" s="60">
        <f t="shared" si="2"/>
        <v>0</v>
      </c>
    </row>
    <row r="30" spans="1:10" x14ac:dyDescent="0.25">
      <c r="A30" s="46">
        <f>'DIA 22'!B$6</f>
        <v>44399</v>
      </c>
      <c r="B30" s="199">
        <f>'DIA 22'!G$50</f>
        <v>1319.6379250000002</v>
      </c>
      <c r="C30" s="199">
        <f>'DIA 22'!G$51</f>
        <v>191.71054999999998</v>
      </c>
      <c r="D30" s="199">
        <f>'DIA 22'!G$55</f>
        <v>0</v>
      </c>
      <c r="E30" s="203">
        <f t="shared" si="0"/>
        <v>1319.6379250000002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1319.6379250000002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2348.6122999999998</v>
      </c>
      <c r="C31" s="199">
        <f>'DIA 23'!G$51</f>
        <v>256.96679999999998</v>
      </c>
      <c r="D31" s="199">
        <f>'DIA 23'!G$55</f>
        <v>0</v>
      </c>
      <c r="E31" s="203">
        <f t="shared" si="0"/>
        <v>2348.6122999999998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2348.6122999999998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1628.0076749999998</v>
      </c>
      <c r="C32" s="199">
        <f>'DIA 24'!G$51</f>
        <v>144.89349999999999</v>
      </c>
      <c r="D32" s="199">
        <f>'DIA 24'!G$55</f>
        <v>0</v>
      </c>
      <c r="E32" s="203">
        <f t="shared" si="0"/>
        <v>1628.0076749999998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1628.0076749999998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2672.2963249999998</v>
      </c>
      <c r="C33" s="199">
        <f>'DIA 25'!G$51</f>
        <v>385.37139999999999</v>
      </c>
      <c r="D33" s="199">
        <f>'DIA 25'!G$55</f>
        <v>0</v>
      </c>
      <c r="E33" s="203">
        <f t="shared" si="0"/>
        <v>2672.2963249999998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2672.2963249999998</v>
      </c>
      <c r="J33" s="60">
        <f t="shared" si="2"/>
        <v>0</v>
      </c>
    </row>
    <row r="34" spans="1:10" x14ac:dyDescent="0.25">
      <c r="A34" s="46">
        <f>'DIA 26'!B$6</f>
        <v>44738</v>
      </c>
      <c r="B34" s="199">
        <f>'DIA 26'!G$50</f>
        <v>1535.9632250000002</v>
      </c>
      <c r="C34" s="199">
        <f>'DIA 26'!G$51</f>
        <v>611.99034999999992</v>
      </c>
      <c r="D34" s="199">
        <f>'DIA 26'!G$55</f>
        <v>0</v>
      </c>
      <c r="E34" s="203">
        <f t="shared" si="0"/>
        <v>1535.9632250000002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1535.9632250000002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2462.5711500000002</v>
      </c>
      <c r="C35" s="199">
        <f>'DIA 27'!G$51</f>
        <v>1026.9413</v>
      </c>
      <c r="D35" s="199">
        <f>'DIA 27'!G$55</f>
        <v>0</v>
      </c>
      <c r="E35" s="203">
        <f t="shared" si="0"/>
        <v>2462.5711500000002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2462.5711500000002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1961.5968500000001</v>
      </c>
      <c r="C36" s="199">
        <f>'DIA 28'!G$51</f>
        <v>634.24150000000009</v>
      </c>
      <c r="D36" s="199">
        <f>'DIA 28'!G$55</f>
        <v>0</v>
      </c>
      <c r="E36" s="203">
        <f t="shared" si="0"/>
        <v>1961.5968500000001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1961.5968500000001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2900.4323749999999</v>
      </c>
      <c r="C37" s="199">
        <f>'DIA 29'!G$51</f>
        <v>1166.6931</v>
      </c>
      <c r="D37" s="199">
        <f>'DIA 29'!G$55</f>
        <v>0</v>
      </c>
      <c r="E37" s="203">
        <f t="shared" si="0"/>
        <v>2900.4323749999999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2900.4323749999999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2366.3581999999997</v>
      </c>
      <c r="C38" s="199">
        <f>'DIA 30'!G$51</f>
        <v>292.39725000000004</v>
      </c>
      <c r="D38" s="199">
        <f>'DIA 30'!G$55</f>
        <v>0</v>
      </c>
      <c r="E38" s="203">
        <f t="shared" si="0"/>
        <v>2366.3581999999997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2366.3581999999997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2190.1696000000002</v>
      </c>
      <c r="C39" s="199">
        <f>'DIA 31'!G$51</f>
        <v>117.81585</v>
      </c>
      <c r="D39" s="199">
        <f>'DIA 31'!G$55</f>
        <v>0</v>
      </c>
      <c r="E39" s="203">
        <f t="shared" si="0"/>
        <v>2190.1696000000002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2190.1696000000002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58365.292450000015</v>
      </c>
      <c r="C40" s="133">
        <f>SUM(C9:C39)</f>
        <v>15033.936800000003</v>
      </c>
      <c r="D40" s="133">
        <f>SUM(D9:D38)</f>
        <v>0</v>
      </c>
      <c r="E40" s="133">
        <f>SUM(E9:E39)</f>
        <v>58365.292450000015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22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9"/>
      <c r="B1" s="293" t="s">
        <v>11</v>
      </c>
      <c r="C1" s="294"/>
      <c r="D1" s="294"/>
      <c r="E1" s="294"/>
      <c r="F1" s="294"/>
      <c r="G1" s="294"/>
      <c r="H1" s="294"/>
      <c r="I1" s="295"/>
    </row>
    <row r="2" spans="1:9" s="84" customFormat="1" ht="16.5" customHeight="1" x14ac:dyDescent="0.25">
      <c r="A2" s="289"/>
      <c r="B2" s="296" t="s">
        <v>151</v>
      </c>
      <c r="C2" s="297"/>
      <c r="D2" s="297"/>
      <c r="E2" s="297"/>
      <c r="F2" s="297"/>
      <c r="G2" s="297"/>
      <c r="H2" s="297"/>
      <c r="I2" s="298"/>
    </row>
    <row r="3" spans="1:9" s="84" customFormat="1" ht="16.5" customHeight="1" x14ac:dyDescent="0.25">
      <c r="A3" s="289"/>
      <c r="B3" s="292"/>
      <c r="C3" s="292"/>
      <c r="D3" s="292"/>
      <c r="E3" s="292"/>
      <c r="F3" s="292"/>
      <c r="G3" s="292"/>
      <c r="H3" s="292"/>
      <c r="I3" s="292"/>
    </row>
    <row r="4" spans="1:9" x14ac:dyDescent="0.25">
      <c r="B4" s="292"/>
      <c r="C4" s="292"/>
      <c r="D4" s="292"/>
      <c r="E4" s="292"/>
      <c r="F4" s="292"/>
      <c r="G4" s="292"/>
    </row>
    <row r="6" spans="1:9" ht="15.75" thickBot="1" x14ac:dyDescent="0.3"/>
    <row r="7" spans="1:9" x14ac:dyDescent="0.25">
      <c r="E7" s="290" t="s">
        <v>13</v>
      </c>
      <c r="F7" s="291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>
        <f>'DIA 1'!B$6</f>
        <v>44774</v>
      </c>
      <c r="B9" s="199">
        <f>+'DIA 1'!G$48</f>
        <v>136.21565000000001</v>
      </c>
      <c r="C9" s="199">
        <f>+'DIA 1'!G$54</f>
        <v>0</v>
      </c>
      <c r="D9" s="203">
        <f>B9+C9</f>
        <v>136.21565000000001</v>
      </c>
      <c r="E9" s="204">
        <f>+'DIA 1'!K$48</f>
        <v>136.22</v>
      </c>
      <c r="F9" s="205">
        <f>+'DIA 1'!K$54</f>
        <v>0</v>
      </c>
      <c r="G9" s="206">
        <f>B9-E9</f>
        <v>-4.3499999999880856E-3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2'!G$48</f>
        <v>414.60619999999994</v>
      </c>
      <c r="C10" s="199">
        <f>'DIA 2'!G$54</f>
        <v>0</v>
      </c>
      <c r="D10" s="203">
        <f t="shared" ref="D10:D39" si="0">B10+C10</f>
        <v>414.60619999999994</v>
      </c>
      <c r="E10" s="199">
        <f>'DIA 2'!K$48</f>
        <v>392.06</v>
      </c>
      <c r="F10" s="199">
        <f>'DIA 2'!K$54</f>
        <v>0</v>
      </c>
      <c r="G10" s="206">
        <f t="shared" ref="G10:H39" si="1">B10-E10</f>
        <v>22.546199999999942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3'!G$48</f>
        <v>198.24109999999999</v>
      </c>
      <c r="C11" s="199">
        <f>'DIA 3'!G$54</f>
        <v>0</v>
      </c>
      <c r="D11" s="203">
        <f t="shared" si="0"/>
        <v>198.24109999999999</v>
      </c>
      <c r="E11" s="199">
        <f>'DIA 3'!K$48</f>
        <v>198.24</v>
      </c>
      <c r="F11" s="199">
        <f>'DIA 3'!K$54</f>
        <v>0</v>
      </c>
      <c r="G11" s="206">
        <f t="shared" si="1"/>
        <v>1.0999999999796728E-3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4'!G$48</f>
        <v>44.167399999999994</v>
      </c>
      <c r="C12" s="199">
        <f>'DIA 4'!G$54</f>
        <v>0</v>
      </c>
      <c r="D12" s="203">
        <f t="shared" si="0"/>
        <v>44.167399999999994</v>
      </c>
      <c r="E12" s="199">
        <f>'DIA 4'!K$48</f>
        <v>44.17</v>
      </c>
      <c r="F12" s="199">
        <f>'DIA 4'!K$54</f>
        <v>0</v>
      </c>
      <c r="G12" s="206">
        <f t="shared" si="1"/>
        <v>-2.6000000000081513E-3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5'!G$48</f>
        <v>552.38799999999992</v>
      </c>
      <c r="C13" s="199">
        <f>'DIA 5'!G$54</f>
        <v>0</v>
      </c>
      <c r="D13" s="203">
        <f t="shared" si="0"/>
        <v>552.38799999999992</v>
      </c>
      <c r="E13" s="199">
        <f>'DIA 5'!K$48</f>
        <v>552.39</v>
      </c>
      <c r="F13" s="199">
        <f>'DIA 5'!K$54</f>
        <v>0</v>
      </c>
      <c r="G13" s="206">
        <f t="shared" si="1"/>
        <v>-2.0000000000663931E-3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6'!G$48</f>
        <v>241.24619999999999</v>
      </c>
      <c r="C14" s="199">
        <f>'DIA 6'!G$54</f>
        <v>0</v>
      </c>
      <c r="D14" s="203">
        <f t="shared" si="0"/>
        <v>241.24619999999999</v>
      </c>
      <c r="E14" s="199">
        <f>'DIA 6'!K$48</f>
        <v>241.25</v>
      </c>
      <c r="F14" s="199">
        <f>'DIA 6'!K$54</f>
        <v>0</v>
      </c>
      <c r="G14" s="206">
        <f t="shared" si="1"/>
        <v>-3.8000000000124601E-3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7'!G$48</f>
        <v>101.58305</v>
      </c>
      <c r="C15" s="199">
        <f>'DIA 7'!G$54</f>
        <v>0</v>
      </c>
      <c r="D15" s="203">
        <f t="shared" si="0"/>
        <v>101.58305</v>
      </c>
      <c r="E15" s="199">
        <f>'DIA 7'!K$48</f>
        <v>101.58</v>
      </c>
      <c r="F15" s="199">
        <f>'DIA 7'!K$54</f>
        <v>0</v>
      </c>
      <c r="G15" s="206">
        <f t="shared" si="1"/>
        <v>3.0500000000017735E-3</v>
      </c>
      <c r="H15" s="206">
        <f t="shared" si="1"/>
        <v>0</v>
      </c>
    </row>
    <row r="16" spans="1:9" x14ac:dyDescent="0.25">
      <c r="A16" s="46">
        <f>'DIA 8'!B$6</f>
        <v>44781</v>
      </c>
      <c r="B16" s="199">
        <f>'DIA 8'!G$48</f>
        <v>12.676950000000001</v>
      </c>
      <c r="C16" s="199">
        <f>'DIA 8'!G$54</f>
        <v>0</v>
      </c>
      <c r="D16" s="203">
        <f t="shared" si="0"/>
        <v>12.676950000000001</v>
      </c>
      <c r="E16" s="199">
        <f>'DIA 8'!K$48</f>
        <v>12.68</v>
      </c>
      <c r="F16" s="199">
        <f>'DIA 8'!K$54</f>
        <v>0</v>
      </c>
      <c r="G16" s="206">
        <f t="shared" si="1"/>
        <v>-3.0499999999982208E-3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10'!G$48</f>
        <v>98.756100000000004</v>
      </c>
      <c r="C18" s="199">
        <f>'DIA 10'!G$54</f>
        <v>0</v>
      </c>
      <c r="D18" s="203">
        <f t="shared" si="0"/>
        <v>98.756100000000004</v>
      </c>
      <c r="E18" s="199">
        <f>'DIA 10'!K$48</f>
        <v>0</v>
      </c>
      <c r="F18" s="199">
        <f>'DIA 10'!K$54</f>
        <v>0</v>
      </c>
      <c r="G18" s="206">
        <f t="shared" si="1"/>
        <v>98.756100000000004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11'!G$48</f>
        <v>26.777650000000001</v>
      </c>
      <c r="C19" s="199">
        <f>'DIA 11'!G$54</f>
        <v>0</v>
      </c>
      <c r="D19" s="203">
        <f t="shared" si="0"/>
        <v>26.777650000000001</v>
      </c>
      <c r="E19" s="199">
        <f>'DIA 11'!K$48</f>
        <v>0</v>
      </c>
      <c r="F19" s="199">
        <f>'DIA 11'!K$54</f>
        <v>0</v>
      </c>
      <c r="G19" s="206">
        <f t="shared" si="1"/>
        <v>26.777650000000001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12'!G$48</f>
        <v>99.706550000000007</v>
      </c>
      <c r="C20" s="199">
        <f>'DIA 12'!G$54</f>
        <v>0</v>
      </c>
      <c r="D20" s="203">
        <f t="shared" si="0"/>
        <v>99.706550000000007</v>
      </c>
      <c r="E20" s="199">
        <f>'DIA 12'!K$48</f>
        <v>0</v>
      </c>
      <c r="F20" s="199">
        <f>'DIA 12'!K$54</f>
        <v>0</v>
      </c>
      <c r="G20" s="206">
        <f t="shared" si="1"/>
        <v>99.706550000000007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13'!G$48</f>
        <v>181.93517500000002</v>
      </c>
      <c r="C21" s="199">
        <f>'DIA 13'!G$54</f>
        <v>0</v>
      </c>
      <c r="D21" s="203">
        <f t="shared" si="0"/>
        <v>181.93517500000002</v>
      </c>
      <c r="E21" s="199">
        <f>'DIA 13'!K$48</f>
        <v>0</v>
      </c>
      <c r="F21" s="199">
        <f>'DIA 13'!K$54</f>
        <v>0</v>
      </c>
      <c r="G21" s="206">
        <f t="shared" si="1"/>
        <v>181.93517500000002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14'!G$48</f>
        <v>967.62459999999987</v>
      </c>
      <c r="C22" s="199">
        <f>'DIA 14'!G$54</f>
        <v>0</v>
      </c>
      <c r="D22" s="203">
        <f t="shared" si="0"/>
        <v>967.62459999999987</v>
      </c>
      <c r="E22" s="199">
        <f>'DIA 14'!K$48</f>
        <v>967.62</v>
      </c>
      <c r="F22" s="199">
        <f>'DIA 14'!K$54</f>
        <v>0</v>
      </c>
      <c r="G22" s="206">
        <f t="shared" si="1"/>
        <v>4.5999999998684871E-3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15'!G$48</f>
        <v>382.27849999999995</v>
      </c>
      <c r="C23" s="199">
        <f>'DIA 15'!G$54</f>
        <v>0</v>
      </c>
      <c r="D23" s="203">
        <f t="shared" si="0"/>
        <v>382.27849999999995</v>
      </c>
      <c r="E23" s="199">
        <f>'DIA 15'!K$48</f>
        <v>382.28</v>
      </c>
      <c r="F23" s="199">
        <f>'DIA 15'!K$54</f>
        <v>0</v>
      </c>
      <c r="G23" s="206">
        <f t="shared" si="1"/>
        <v>-1.5000000000213731E-3</v>
      </c>
      <c r="H23" s="206">
        <f t="shared" si="1"/>
        <v>0</v>
      </c>
    </row>
    <row r="24" spans="1:8" x14ac:dyDescent="0.25">
      <c r="A24" s="46">
        <f>'DIA 16'!B$6</f>
        <v>44789</v>
      </c>
      <c r="B24" s="199">
        <f>'DIA 16'!G$48</f>
        <v>282.25175000000007</v>
      </c>
      <c r="C24" s="199">
        <f>'DIA 16'!G$54</f>
        <v>0</v>
      </c>
      <c r="D24" s="203">
        <f t="shared" si="0"/>
        <v>282.25175000000007</v>
      </c>
      <c r="E24" s="199">
        <f>'DIA 16'!K$48</f>
        <v>282.25</v>
      </c>
      <c r="F24" s="199">
        <f>'DIA 16'!K$54</f>
        <v>0</v>
      </c>
      <c r="G24" s="206">
        <f t="shared" si="1"/>
        <v>1.7500000000723048E-3</v>
      </c>
      <c r="H24" s="206">
        <f t="shared" si="1"/>
        <v>0</v>
      </c>
    </row>
    <row r="25" spans="1:8" x14ac:dyDescent="0.25">
      <c r="A25" s="46">
        <f>'DIA 17'!B$6</f>
        <v>44790</v>
      </c>
      <c r="B25" s="199">
        <f>'DIA 17'!G$48</f>
        <v>166.37277499999999</v>
      </c>
      <c r="C25" s="199">
        <f>'DIA 17'!G$54</f>
        <v>0</v>
      </c>
      <c r="D25" s="203">
        <f t="shared" si="0"/>
        <v>166.37277499999999</v>
      </c>
      <c r="E25" s="199">
        <f>'DIA 17'!K$48</f>
        <v>0</v>
      </c>
      <c r="F25" s="199">
        <f>'DIA 17'!K$54</f>
        <v>0</v>
      </c>
      <c r="G25" s="206">
        <f t="shared" si="1"/>
        <v>166.37277499999999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226.83587500000002</v>
      </c>
      <c r="C26" s="199">
        <f>'DIA 18'!G$54</f>
        <v>0</v>
      </c>
      <c r="D26" s="203">
        <f t="shared" si="0"/>
        <v>226.83587500000002</v>
      </c>
      <c r="E26" s="199">
        <f>'DIA 18'!K$48</f>
        <v>0</v>
      </c>
      <c r="F26" s="199">
        <f>'DIA 18'!K$54</f>
        <v>0</v>
      </c>
      <c r="G26" s="206">
        <f t="shared" si="1"/>
        <v>226.83587500000002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131.67497499999999</v>
      </c>
      <c r="C27" s="199">
        <f>'DIA 19'!G$54</f>
        <v>0</v>
      </c>
      <c r="D27" s="203">
        <f t="shared" si="0"/>
        <v>131.67497499999999</v>
      </c>
      <c r="E27" s="199">
        <f>'DIA 19'!K$48</f>
        <v>0</v>
      </c>
      <c r="F27" s="199">
        <f>'DIA 19'!K$54</f>
        <v>0</v>
      </c>
      <c r="G27" s="206">
        <f t="shared" si="1"/>
        <v>131.67497499999999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153.00379999999998</v>
      </c>
      <c r="C28" s="199">
        <f>'DIA 20'!G$54</f>
        <v>0</v>
      </c>
      <c r="D28" s="203">
        <f t="shared" si="0"/>
        <v>153.00379999999998</v>
      </c>
      <c r="E28" s="199">
        <f>'DIA 20'!K$48</f>
        <v>0</v>
      </c>
      <c r="F28" s="199">
        <f>'DIA 20'!K$54</f>
        <v>0</v>
      </c>
      <c r="G28" s="206">
        <f t="shared" si="1"/>
        <v>153.00379999999998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105.46305</v>
      </c>
      <c r="C29" s="199">
        <f>'DIA 21'!G$54</f>
        <v>0</v>
      </c>
      <c r="D29" s="203">
        <f t="shared" si="0"/>
        <v>105.46305</v>
      </c>
      <c r="E29" s="199">
        <f>'DIA 21'!K$48</f>
        <v>0</v>
      </c>
      <c r="F29" s="199">
        <f>'DIA 21'!K$54</f>
        <v>0</v>
      </c>
      <c r="G29" s="206">
        <f t="shared" si="1"/>
        <v>105.46305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22'!G$48</f>
        <v>92.284649999999999</v>
      </c>
      <c r="C30" s="199">
        <f>'DIA 22'!G$54</f>
        <v>0</v>
      </c>
      <c r="D30" s="203">
        <f t="shared" si="0"/>
        <v>92.284649999999999</v>
      </c>
      <c r="E30" s="199">
        <f>'DIA 22'!K$48</f>
        <v>0</v>
      </c>
      <c r="F30" s="199">
        <f>'DIA 22'!K$54</f>
        <v>0</v>
      </c>
      <c r="G30" s="206">
        <f t="shared" si="1"/>
        <v>92.284649999999999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177.07192500000002</v>
      </c>
      <c r="C31" s="199">
        <f>'DIA 23'!G$54</f>
        <v>0</v>
      </c>
      <c r="D31" s="203">
        <f t="shared" si="0"/>
        <v>177.07192500000002</v>
      </c>
      <c r="E31" s="199">
        <f>'DIA 23'!K$48</f>
        <v>0</v>
      </c>
      <c r="F31" s="199">
        <f>'DIA 23'!K$54</f>
        <v>0</v>
      </c>
      <c r="G31" s="206">
        <f t="shared" si="1"/>
        <v>177.07192500000002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99.622900000000001</v>
      </c>
      <c r="C33" s="199">
        <f>'DIA 25'!G$54</f>
        <v>0</v>
      </c>
      <c r="D33" s="203">
        <f t="shared" si="0"/>
        <v>99.622900000000001</v>
      </c>
      <c r="E33" s="199">
        <f>'DIA 25'!K$48</f>
        <v>0</v>
      </c>
      <c r="F33" s="199">
        <f>'DIA 25'!K$54</f>
        <v>0</v>
      </c>
      <c r="G33" s="206">
        <f t="shared" si="1"/>
        <v>99.622900000000001</v>
      </c>
      <c r="H33" s="206">
        <f t="shared" si="1"/>
        <v>0</v>
      </c>
    </row>
    <row r="34" spans="1:8" x14ac:dyDescent="0.25">
      <c r="A34" s="46">
        <f>'DIA 26'!B$6</f>
        <v>44738</v>
      </c>
      <c r="B34" s="199">
        <f>'DIA 26'!G$48</f>
        <v>99.140250000000009</v>
      </c>
      <c r="C34" s="199">
        <f>'DIA 26'!G$54</f>
        <v>0</v>
      </c>
      <c r="D34" s="203">
        <f t="shared" si="0"/>
        <v>99.140250000000009</v>
      </c>
      <c r="E34" s="199">
        <f>'DIA 26'!K$48</f>
        <v>0</v>
      </c>
      <c r="F34" s="199">
        <f>'DIA 26'!K$54</f>
        <v>0</v>
      </c>
      <c r="G34" s="206">
        <f t="shared" si="1"/>
        <v>99.140250000000009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64.284225000000006</v>
      </c>
      <c r="C35" s="199">
        <f>'DIA 27'!G$54</f>
        <v>0</v>
      </c>
      <c r="D35" s="203">
        <f t="shared" si="0"/>
        <v>64.284225000000006</v>
      </c>
      <c r="E35" s="199">
        <f>'DIA 27'!K$48</f>
        <v>0</v>
      </c>
      <c r="F35" s="199">
        <f>'DIA 27'!K$54</f>
        <v>0</v>
      </c>
      <c r="G35" s="206">
        <f t="shared" si="1"/>
        <v>64.284225000000006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384.88875000000002</v>
      </c>
      <c r="C36" s="199">
        <f>'DIA 28'!G$54</f>
        <v>0</v>
      </c>
      <c r="D36" s="203">
        <f t="shared" si="0"/>
        <v>384.88875000000002</v>
      </c>
      <c r="E36" s="199">
        <f>'DIA 28'!K$48</f>
        <v>0</v>
      </c>
      <c r="F36" s="199">
        <f>'DIA 28'!K$54</f>
        <v>0</v>
      </c>
      <c r="G36" s="206">
        <f t="shared" si="1"/>
        <v>384.88875000000002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123.15455</v>
      </c>
      <c r="C37" s="199">
        <f>'DIA 29'!G$54</f>
        <v>0</v>
      </c>
      <c r="D37" s="203">
        <f t="shared" si="0"/>
        <v>123.15455</v>
      </c>
      <c r="E37" s="199">
        <f>'DIA 29'!K$48</f>
        <v>0</v>
      </c>
      <c r="F37" s="199">
        <f>'DIA 29'!K$54</f>
        <v>0</v>
      </c>
      <c r="G37" s="206">
        <f t="shared" si="1"/>
        <v>123.15455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69.087924999999998</v>
      </c>
      <c r="C38" s="199">
        <f>'DIA 30'!G$54</f>
        <v>0</v>
      </c>
      <c r="D38" s="203">
        <f t="shared" si="0"/>
        <v>69.087924999999998</v>
      </c>
      <c r="E38" s="199">
        <f>'DIA 30'!K$48</f>
        <v>0</v>
      </c>
      <c r="F38" s="199">
        <f>'DIA 30'!K$54</f>
        <v>0</v>
      </c>
      <c r="G38" s="206">
        <f t="shared" si="1"/>
        <v>69.087924999999998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121.60810000000001</v>
      </c>
      <c r="C39" s="199">
        <f>'DIA 31'!G$54</f>
        <v>0</v>
      </c>
      <c r="D39" s="203">
        <f t="shared" si="0"/>
        <v>121.60810000000001</v>
      </c>
      <c r="E39" s="199">
        <f>'DIA 31'!K$48</f>
        <v>0</v>
      </c>
      <c r="F39" s="199">
        <f>'DIA 31'!K$54</f>
        <v>0</v>
      </c>
      <c r="G39" s="206">
        <f t="shared" si="1"/>
        <v>121.60810000000001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5754.9486250000009</v>
      </c>
      <c r="C40" s="133">
        <f>SUM(C9:C38)</f>
        <v>0</v>
      </c>
      <c r="D40" s="133">
        <f>SUM(D9:D38)</f>
        <v>5633.3405250000005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9" zoomScale="90" zoomScaleNormal="90" workbookViewId="0">
      <selection activeCell="G36" sqref="G36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9"/>
      <c r="B1" s="293" t="s">
        <v>11</v>
      </c>
      <c r="C1" s="294"/>
      <c r="D1" s="294"/>
      <c r="E1" s="294"/>
      <c r="F1" s="294"/>
      <c r="G1" s="294"/>
      <c r="H1" s="294"/>
      <c r="I1" s="295"/>
    </row>
    <row r="2" spans="1:9" s="84" customFormat="1" ht="16.5" customHeight="1" x14ac:dyDescent="0.25">
      <c r="A2" s="289"/>
      <c r="B2" s="296" t="s">
        <v>181</v>
      </c>
      <c r="C2" s="297"/>
      <c r="D2" s="297"/>
      <c r="E2" s="297"/>
      <c r="F2" s="297"/>
      <c r="G2" s="297"/>
      <c r="H2" s="297"/>
      <c r="I2" s="298"/>
    </row>
    <row r="3" spans="1:9" s="84" customFormat="1" ht="16.5" customHeight="1" x14ac:dyDescent="0.25">
      <c r="A3" s="289"/>
      <c r="B3" s="292"/>
      <c r="C3" s="292"/>
      <c r="D3" s="292"/>
      <c r="E3" s="292"/>
      <c r="F3" s="292"/>
      <c r="G3" s="292"/>
      <c r="H3" s="292"/>
      <c r="I3" s="292"/>
    </row>
    <row r="4" spans="1:9" x14ac:dyDescent="0.25">
      <c r="B4" s="292"/>
      <c r="C4" s="292"/>
      <c r="D4" s="292"/>
      <c r="E4" s="292"/>
      <c r="F4" s="292"/>
      <c r="G4" s="292"/>
    </row>
    <row r="6" spans="1:9" ht="15.75" thickBot="1" x14ac:dyDescent="0.3"/>
    <row r="7" spans="1:9" x14ac:dyDescent="0.25">
      <c r="E7" s="290" t="s">
        <v>13</v>
      </c>
      <c r="F7" s="291"/>
    </row>
    <row r="8" spans="1:9" ht="27" customHeight="1" x14ac:dyDescent="0.25">
      <c r="A8" s="45" t="s">
        <v>32</v>
      </c>
      <c r="B8" s="45" t="s">
        <v>167</v>
      </c>
      <c r="C8" s="45" t="s">
        <v>182</v>
      </c>
      <c r="D8" s="52" t="s">
        <v>26</v>
      </c>
      <c r="E8" s="49" t="s">
        <v>7</v>
      </c>
      <c r="F8" s="50" t="s">
        <v>154</v>
      </c>
      <c r="G8" s="51" t="s">
        <v>52</v>
      </c>
      <c r="H8" s="51" t="s">
        <v>53</v>
      </c>
    </row>
    <row r="9" spans="1:9" x14ac:dyDescent="0.25">
      <c r="A9" s="46">
        <f>'DIA 1'!B$6</f>
        <v>44774</v>
      </c>
      <c r="B9" s="199">
        <f>+'DIA 1'!G$49</f>
        <v>1561.0039999999999</v>
      </c>
      <c r="C9" s="199">
        <f>+'DIA 1'!G$56</f>
        <v>0</v>
      </c>
      <c r="D9" s="203">
        <f>B9+C9</f>
        <v>1561.0039999999999</v>
      </c>
      <c r="E9" s="204">
        <f>+'DIA 1'!K$49</f>
        <v>1561</v>
      </c>
      <c r="F9" s="205">
        <f>+'DIA 1'!K$56</f>
        <v>0</v>
      </c>
      <c r="G9" s="206">
        <f>B9-E9</f>
        <v>3.9999999999054126E-3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2'!G$49</f>
        <v>4254.0535</v>
      </c>
      <c r="C10" s="199">
        <f>'DIA 2'!G$56</f>
        <v>134.09059482758619</v>
      </c>
      <c r="D10" s="203">
        <f t="shared" ref="D10:D39" si="0">B10+C10</f>
        <v>4388.1440948275858</v>
      </c>
      <c r="E10" s="199">
        <f>'DIA 2'!K$49</f>
        <v>4254.05</v>
      </c>
      <c r="F10" s="199">
        <f>'DIA 2'!K$56</f>
        <v>134.09</v>
      </c>
      <c r="G10" s="206">
        <f t="shared" ref="G10:H39" si="1">B10-E10</f>
        <v>3.4999999998035491E-3</v>
      </c>
      <c r="H10" s="206">
        <f t="shared" si="1"/>
        <v>5.9482758618401022E-4</v>
      </c>
    </row>
    <row r="11" spans="1:9" x14ac:dyDescent="0.25">
      <c r="A11" s="46">
        <f>'DIA 3'!B$6</f>
        <v>44776</v>
      </c>
      <c r="B11" s="199">
        <f>'DIA 3'!G$49</f>
        <v>2947.3180750000001</v>
      </c>
      <c r="C11" s="199">
        <f>'DIA 3'!G$56</f>
        <v>69.929517241379301</v>
      </c>
      <c r="D11" s="203">
        <f t="shared" si="0"/>
        <v>3017.2475922413796</v>
      </c>
      <c r="E11" s="199">
        <f>'DIA 3'!K$49</f>
        <v>2947.32</v>
      </c>
      <c r="F11" s="199">
        <f>'DIA 3'!K$56</f>
        <v>69.930000000000007</v>
      </c>
      <c r="G11" s="206">
        <f t="shared" si="1"/>
        <v>-1.9250000000283762E-3</v>
      </c>
      <c r="H11" s="206">
        <f t="shared" si="1"/>
        <v>-4.827586207056811E-4</v>
      </c>
    </row>
    <row r="12" spans="1:9" x14ac:dyDescent="0.25">
      <c r="A12" s="46">
        <f>'DIA 4'!B$6</f>
        <v>44777</v>
      </c>
      <c r="B12" s="199">
        <f>'DIA 4'!G$49</f>
        <v>2757.5917750000003</v>
      </c>
      <c r="C12" s="199">
        <f>'DIA 4'!G$56</f>
        <v>31.302405172413795</v>
      </c>
      <c r="D12" s="203">
        <f t="shared" si="0"/>
        <v>2788.8941801724141</v>
      </c>
      <c r="E12" s="199">
        <f>'DIA 4'!K$49</f>
        <v>2757.59</v>
      </c>
      <c r="F12" s="199">
        <f>'DIA 4'!K$56</f>
        <v>31.3</v>
      </c>
      <c r="G12" s="206">
        <f t="shared" si="1"/>
        <v>1.7750000001797162E-3</v>
      </c>
      <c r="H12" s="206">
        <f t="shared" si="1"/>
        <v>2.4051724137947872E-3</v>
      </c>
    </row>
    <row r="13" spans="1:9" x14ac:dyDescent="0.25">
      <c r="A13" s="46">
        <f>'DIA 5'!B$6</f>
        <v>44778</v>
      </c>
      <c r="B13" s="199">
        <f>'DIA 5'!G$49</f>
        <v>4180.23135</v>
      </c>
      <c r="C13" s="199">
        <f>'DIA 5'!G$56</f>
        <v>155.36579310344828</v>
      </c>
      <c r="D13" s="203">
        <f t="shared" si="0"/>
        <v>4335.5971431034486</v>
      </c>
      <c r="E13" s="199">
        <f>'DIA 5'!K$49</f>
        <v>0</v>
      </c>
      <c r="F13" s="199">
        <f>'DIA 5'!K$56</f>
        <v>0</v>
      </c>
      <c r="G13" s="206">
        <f t="shared" si="1"/>
        <v>4180.23135</v>
      </c>
      <c r="H13" s="206">
        <f t="shared" si="1"/>
        <v>155.36579310344828</v>
      </c>
    </row>
    <row r="14" spans="1:9" x14ac:dyDescent="0.25">
      <c r="A14" s="46">
        <f>'DIA 6'!B$6</f>
        <v>44779</v>
      </c>
      <c r="B14" s="199">
        <f>'DIA 6'!G$49</f>
        <v>3276.5501749999994</v>
      </c>
      <c r="C14" s="199">
        <f>'DIA 6'!G$56</f>
        <v>120.92289655172414</v>
      </c>
      <c r="D14" s="203">
        <f t="shared" si="0"/>
        <v>3397.4730715517235</v>
      </c>
      <c r="E14" s="199">
        <f>'DIA 6'!K$49</f>
        <v>0</v>
      </c>
      <c r="F14" s="199">
        <f>'DIA 6'!K$56</f>
        <v>0</v>
      </c>
      <c r="G14" s="206">
        <f t="shared" si="1"/>
        <v>3276.5501749999994</v>
      </c>
      <c r="H14" s="206">
        <f t="shared" si="1"/>
        <v>120.92289655172414</v>
      </c>
    </row>
    <row r="15" spans="1:9" x14ac:dyDescent="0.25">
      <c r="A15" s="46">
        <f>'DIA 7'!B$6</f>
        <v>44780</v>
      </c>
      <c r="B15" s="199">
        <f>'DIA 7'!G$49</f>
        <v>3056.5029999999997</v>
      </c>
      <c r="C15" s="199">
        <f>'DIA 7'!G$56</f>
        <v>132.98163793103447</v>
      </c>
      <c r="D15" s="203">
        <f t="shared" si="0"/>
        <v>3189.4846379310343</v>
      </c>
      <c r="E15" s="199">
        <f>'DIA 7'!K$49</f>
        <v>0</v>
      </c>
      <c r="F15" s="199">
        <f>'DIA 7'!K$56</f>
        <v>0</v>
      </c>
      <c r="G15" s="206">
        <f t="shared" si="1"/>
        <v>3056.5029999999997</v>
      </c>
      <c r="H15" s="206">
        <f t="shared" si="1"/>
        <v>132.98163793103447</v>
      </c>
    </row>
    <row r="16" spans="1:9" x14ac:dyDescent="0.25">
      <c r="A16" s="46">
        <f>'DIA 8'!B$6</f>
        <v>44781</v>
      </c>
      <c r="B16" s="199">
        <f>'DIA 8'!G$49</f>
        <v>89.454025000000001</v>
      </c>
      <c r="C16" s="199">
        <f>'DIA 8'!G$56</f>
        <v>0</v>
      </c>
      <c r="D16" s="203">
        <f t="shared" si="0"/>
        <v>89.454025000000001</v>
      </c>
      <c r="E16" s="199">
        <f>'DIA 8'!K$49</f>
        <v>0</v>
      </c>
      <c r="F16" s="199">
        <f>'DIA 8'!K$56</f>
        <v>0</v>
      </c>
      <c r="G16" s="206">
        <f t="shared" si="1"/>
        <v>89.454025000000001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9'!G$49</f>
        <v>2059.0405000000001</v>
      </c>
      <c r="C17" s="199">
        <f>'DIA 9'!G$56</f>
        <v>282.78400862068963</v>
      </c>
      <c r="D17" s="203">
        <f t="shared" si="0"/>
        <v>2341.8245086206898</v>
      </c>
      <c r="E17" s="199">
        <f>'DIA 9'!K$49</f>
        <v>2059.04</v>
      </c>
      <c r="F17" s="199">
        <f>'DIA 9'!K$56</f>
        <v>282.77999999999997</v>
      </c>
      <c r="G17" s="206">
        <f t="shared" si="1"/>
        <v>5.0000000010186341E-4</v>
      </c>
      <c r="H17" s="206">
        <f t="shared" si="1"/>
        <v>4.0086206896603471E-3</v>
      </c>
    </row>
    <row r="18" spans="1:8" x14ac:dyDescent="0.25">
      <c r="A18" s="46">
        <f>'DIA 10'!B$6</f>
        <v>44783</v>
      </c>
      <c r="B18" s="199">
        <f>'DIA 10'!G$49</f>
        <v>1814.1411249999999</v>
      </c>
      <c r="C18" s="199">
        <f>'DIA 10'!G$56</f>
        <v>53.714517241379312</v>
      </c>
      <c r="D18" s="203">
        <f t="shared" si="0"/>
        <v>1867.8556422413792</v>
      </c>
      <c r="E18" s="199">
        <f>'DIA 10'!K$49</f>
        <v>0</v>
      </c>
      <c r="F18" s="199">
        <f>'DIA 10'!K$56</f>
        <v>0</v>
      </c>
      <c r="G18" s="206">
        <f t="shared" si="1"/>
        <v>1814.1411249999999</v>
      </c>
      <c r="H18" s="206">
        <f t="shared" si="1"/>
        <v>53.714517241379312</v>
      </c>
    </row>
    <row r="19" spans="1:8" x14ac:dyDescent="0.25">
      <c r="A19" s="46">
        <f>'DIA 11'!B$6</f>
        <v>44784</v>
      </c>
      <c r="B19" s="199">
        <f>'DIA 11'!G$49</f>
        <v>3379.8694249999999</v>
      </c>
      <c r="C19" s="199">
        <f>'DIA 11'!G$56</f>
        <v>391.44314655172411</v>
      </c>
      <c r="D19" s="203">
        <f t="shared" si="0"/>
        <v>3771.312571551724</v>
      </c>
      <c r="E19" s="199">
        <f>'DIA 11'!K$49</f>
        <v>3379.87</v>
      </c>
      <c r="F19" s="199">
        <f>'DIA 11'!K$56</f>
        <v>0</v>
      </c>
      <c r="G19" s="206">
        <f t="shared" si="1"/>
        <v>-5.7500000002619345E-4</v>
      </c>
      <c r="H19" s="206">
        <f t="shared" si="1"/>
        <v>391.44314655172411</v>
      </c>
    </row>
    <row r="20" spans="1:8" x14ac:dyDescent="0.25">
      <c r="A20" s="46">
        <f>'DIA 12'!B$6</f>
        <v>44785</v>
      </c>
      <c r="B20" s="199">
        <f>'DIA 12'!G$49</f>
        <v>5351.8081249999996</v>
      </c>
      <c r="C20" s="199">
        <f>'DIA 12'!G$56</f>
        <v>189.7620948275862</v>
      </c>
      <c r="D20" s="203">
        <f t="shared" si="0"/>
        <v>5541.5702198275858</v>
      </c>
      <c r="E20" s="199">
        <f>'DIA 12'!K$49</f>
        <v>0</v>
      </c>
      <c r="F20" s="199">
        <f>'DIA 12'!K$56</f>
        <v>0</v>
      </c>
      <c r="G20" s="206">
        <f t="shared" si="1"/>
        <v>5351.8081249999996</v>
      </c>
      <c r="H20" s="206">
        <f t="shared" si="1"/>
        <v>189.7620948275862</v>
      </c>
    </row>
    <row r="21" spans="1:8" x14ac:dyDescent="0.25">
      <c r="A21" s="46">
        <f>'DIA 13'!B$6</f>
        <v>44786</v>
      </c>
      <c r="B21" s="199">
        <f>'DIA 13'!G$49</f>
        <v>3983.6369499999996</v>
      </c>
      <c r="C21" s="199">
        <f>'DIA 13'!G$56</f>
        <v>280.5660948275862</v>
      </c>
      <c r="D21" s="203">
        <f t="shared" si="0"/>
        <v>4264.2030448275855</v>
      </c>
      <c r="E21" s="199">
        <f>'DIA 13'!K$49</f>
        <v>0</v>
      </c>
      <c r="F21" s="199">
        <f>'DIA 13'!K$56</f>
        <v>0</v>
      </c>
      <c r="G21" s="206">
        <f t="shared" si="1"/>
        <v>3983.6369499999996</v>
      </c>
      <c r="H21" s="206">
        <f t="shared" si="1"/>
        <v>280.5660948275862</v>
      </c>
    </row>
    <row r="22" spans="1:8" x14ac:dyDescent="0.25">
      <c r="A22" s="46">
        <f>'DIA 14'!B$6</f>
        <v>44787</v>
      </c>
      <c r="B22" s="199">
        <f>'DIA 14'!G$49</f>
        <v>3287.65625</v>
      </c>
      <c r="C22" s="199">
        <f>'DIA 14'!G$56</f>
        <v>138.07911206896551</v>
      </c>
      <c r="D22" s="203">
        <f t="shared" si="0"/>
        <v>3425.7353620689655</v>
      </c>
      <c r="E22" s="199">
        <f>'DIA 14'!K$49</f>
        <v>0</v>
      </c>
      <c r="F22" s="199">
        <f>'DIA 14'!K$56</f>
        <v>0</v>
      </c>
      <c r="G22" s="206">
        <f t="shared" si="1"/>
        <v>3287.65625</v>
      </c>
      <c r="H22" s="206">
        <f t="shared" si="1"/>
        <v>138.07911206896551</v>
      </c>
    </row>
    <row r="23" spans="1:8" x14ac:dyDescent="0.25">
      <c r="A23" s="46">
        <f>'DIA 15'!B$6</f>
        <v>44788</v>
      </c>
      <c r="B23" s="199">
        <f>'DIA 15'!G$49</f>
        <v>4441.9139000000005</v>
      </c>
      <c r="C23" s="199">
        <f>'DIA 15'!G$56</f>
        <v>51.617750000000001</v>
      </c>
      <c r="D23" s="203">
        <f t="shared" si="0"/>
        <v>4493.5316500000008</v>
      </c>
      <c r="E23" s="199">
        <f>'DIA 15'!K$49</f>
        <v>4441.91</v>
      </c>
      <c r="F23" s="199">
        <f>'DIA 15'!K$56</f>
        <v>51.62</v>
      </c>
      <c r="G23" s="206">
        <f t="shared" si="1"/>
        <v>3.9000000006126356E-3</v>
      </c>
      <c r="H23" s="206">
        <f t="shared" si="1"/>
        <v>-2.2499999999965326E-3</v>
      </c>
    </row>
    <row r="24" spans="1:8" x14ac:dyDescent="0.25">
      <c r="A24" s="46">
        <f>'DIA 16'!B$6</f>
        <v>44789</v>
      </c>
      <c r="B24" s="199">
        <f>'DIA 16'!G$49</f>
        <v>2588.1124749999999</v>
      </c>
      <c r="C24" s="199">
        <f>'DIA 16'!G$56</f>
        <v>77.552431034482751</v>
      </c>
      <c r="D24" s="203">
        <f t="shared" si="0"/>
        <v>2665.6649060344826</v>
      </c>
      <c r="E24" s="199">
        <f>'DIA 16'!K$49</f>
        <v>2588.11</v>
      </c>
      <c r="F24" s="199">
        <f>'DIA 16'!K$56</f>
        <v>77.55</v>
      </c>
      <c r="G24" s="206">
        <f t="shared" si="1"/>
        <v>2.4749999997766281E-3</v>
      </c>
      <c r="H24" s="206">
        <f t="shared" si="1"/>
        <v>2.4310344827540575E-3</v>
      </c>
    </row>
    <row r="25" spans="1:8" x14ac:dyDescent="0.25">
      <c r="A25" s="46">
        <f>'DIA 17'!B$6</f>
        <v>44790</v>
      </c>
      <c r="B25" s="199">
        <f>'DIA 17'!G$49</f>
        <v>2999.5632750000004</v>
      </c>
      <c r="C25" s="199">
        <f>'DIA 17'!G$56</f>
        <v>182.24168965517239</v>
      </c>
      <c r="D25" s="203">
        <f t="shared" si="0"/>
        <v>3181.8049646551726</v>
      </c>
      <c r="E25" s="199">
        <f>'DIA 17'!K$49</f>
        <v>0</v>
      </c>
      <c r="F25" s="199">
        <f>'DIA 17'!K$56</f>
        <v>0</v>
      </c>
      <c r="G25" s="206">
        <f t="shared" si="1"/>
        <v>2999.5632750000004</v>
      </c>
      <c r="H25" s="206">
        <f t="shared" si="1"/>
        <v>182.24168965517239</v>
      </c>
    </row>
    <row r="26" spans="1:8" x14ac:dyDescent="0.25">
      <c r="A26" s="46">
        <f>'DIA 18'!B$6</f>
        <v>44760</v>
      </c>
      <c r="B26" s="199">
        <f>'DIA 18'!G$49</f>
        <v>3157.7379999999998</v>
      </c>
      <c r="C26" s="199">
        <f>'DIA 18'!G$56</f>
        <v>69.519482758620683</v>
      </c>
      <c r="D26" s="203">
        <f t="shared" si="0"/>
        <v>3227.2574827586204</v>
      </c>
      <c r="E26" s="199">
        <f>'DIA 18'!K$49</f>
        <v>0</v>
      </c>
      <c r="F26" s="199">
        <f>'DIA 18'!K$56</f>
        <v>0</v>
      </c>
      <c r="G26" s="206">
        <f t="shared" si="1"/>
        <v>3157.7379999999998</v>
      </c>
      <c r="H26" s="206">
        <f t="shared" si="1"/>
        <v>69.519482758620683</v>
      </c>
    </row>
    <row r="27" spans="1:8" x14ac:dyDescent="0.25">
      <c r="A27" s="46">
        <f>'DIA 19'!B$6</f>
        <v>44761</v>
      </c>
      <c r="B27" s="199">
        <f>'DIA 19'!G$49</f>
        <v>1072.8031749999998</v>
      </c>
      <c r="C27" s="199">
        <f>'DIA 19'!G$56</f>
        <v>63.778999999999996</v>
      </c>
      <c r="D27" s="203">
        <f t="shared" si="0"/>
        <v>1136.5821749999998</v>
      </c>
      <c r="E27" s="199">
        <f>'DIA 19'!K$49</f>
        <v>0</v>
      </c>
      <c r="F27" s="199">
        <f>'DIA 19'!K$56</f>
        <v>0</v>
      </c>
      <c r="G27" s="206">
        <f t="shared" si="1"/>
        <v>1072.8031749999998</v>
      </c>
      <c r="H27" s="206">
        <f t="shared" si="1"/>
        <v>63.778999999999996</v>
      </c>
    </row>
    <row r="28" spans="1:8" x14ac:dyDescent="0.25">
      <c r="A28" s="46">
        <f>'DIA 20'!B$6</f>
        <v>44762</v>
      </c>
      <c r="B28" s="199">
        <f>'DIA 20'!G$49</f>
        <v>3141.5205500000002</v>
      </c>
      <c r="C28" s="199">
        <f>'DIA 20'!G$56</f>
        <v>63.928103448275856</v>
      </c>
      <c r="D28" s="203">
        <f t="shared" si="0"/>
        <v>3205.4486534482762</v>
      </c>
      <c r="E28" s="199">
        <f>'DIA 20'!K$49</f>
        <v>0</v>
      </c>
      <c r="F28" s="199">
        <f>'DIA 20'!K$56</f>
        <v>0</v>
      </c>
      <c r="G28" s="206">
        <f t="shared" si="1"/>
        <v>3141.5205500000002</v>
      </c>
      <c r="H28" s="206">
        <f t="shared" si="1"/>
        <v>63.928103448275856</v>
      </c>
    </row>
    <row r="29" spans="1:8" x14ac:dyDescent="0.25">
      <c r="A29" s="46">
        <f>'DIA 21'!B$6</f>
        <v>44763</v>
      </c>
      <c r="B29" s="199">
        <f>'DIA 21'!G$49</f>
        <v>3115.1895250000002</v>
      </c>
      <c r="C29" s="199">
        <f>'DIA 21'!G$56</f>
        <v>120.49422413793104</v>
      </c>
      <c r="D29" s="203">
        <f t="shared" si="0"/>
        <v>3235.683749137931</v>
      </c>
      <c r="E29" s="199">
        <f>'DIA 21'!K$49</f>
        <v>0</v>
      </c>
      <c r="F29" s="199">
        <f>'DIA 21'!K$56</f>
        <v>0</v>
      </c>
      <c r="G29" s="206">
        <f t="shared" si="1"/>
        <v>3115.1895250000002</v>
      </c>
      <c r="H29" s="206">
        <f t="shared" si="1"/>
        <v>120.49422413793104</v>
      </c>
    </row>
    <row r="30" spans="1:8" x14ac:dyDescent="0.25">
      <c r="A30" s="46">
        <f>'DIA 22'!B$6</f>
        <v>44399</v>
      </c>
      <c r="B30" s="199">
        <f>'DIA 22'!G$49</f>
        <v>4387.4455000000007</v>
      </c>
      <c r="C30" s="199">
        <f>'DIA 22'!G$56</f>
        <v>16.820732758620689</v>
      </c>
      <c r="D30" s="203">
        <f t="shared" si="0"/>
        <v>4404.2662327586213</v>
      </c>
      <c r="E30" s="199">
        <f>'DIA 22'!K$49</f>
        <v>0</v>
      </c>
      <c r="F30" s="199">
        <f>'DIA 22'!K$56</f>
        <v>0</v>
      </c>
      <c r="G30" s="206">
        <f t="shared" si="1"/>
        <v>4387.4455000000007</v>
      </c>
      <c r="H30" s="206">
        <f t="shared" si="1"/>
        <v>16.820732758620689</v>
      </c>
    </row>
    <row r="31" spans="1:8" x14ac:dyDescent="0.25">
      <c r="A31" s="46">
        <f>'DIA 23'!B$6</f>
        <v>44765</v>
      </c>
      <c r="B31" s="199">
        <f>'DIA 23'!G$49</f>
        <v>4228.0797750000002</v>
      </c>
      <c r="C31" s="199">
        <f>'DIA 23'!G$56</f>
        <v>47.657189655172417</v>
      </c>
      <c r="D31" s="203">
        <f t="shared" si="0"/>
        <v>4275.7369646551724</v>
      </c>
      <c r="E31" s="199">
        <f>'DIA 23'!K$49</f>
        <v>0</v>
      </c>
      <c r="F31" s="199">
        <f>'DIA 23'!K$56</f>
        <v>0</v>
      </c>
      <c r="G31" s="206">
        <f t="shared" si="1"/>
        <v>4228.0797750000002</v>
      </c>
      <c r="H31" s="206">
        <f t="shared" si="1"/>
        <v>47.657189655172417</v>
      </c>
    </row>
    <row r="32" spans="1:8" x14ac:dyDescent="0.25">
      <c r="A32" s="46">
        <f>'DIA 24'!B$6</f>
        <v>44766</v>
      </c>
      <c r="B32" s="199">
        <f>'DIA 24'!G$49</f>
        <v>5266.2149250000002</v>
      </c>
      <c r="C32" s="199">
        <f>'DIA 24'!G$56</f>
        <v>209.11758620689653</v>
      </c>
      <c r="D32" s="203">
        <f t="shared" si="0"/>
        <v>5475.3325112068969</v>
      </c>
      <c r="E32" s="199">
        <f>'DIA 24'!K$49</f>
        <v>0</v>
      </c>
      <c r="F32" s="199">
        <f>'DIA 24'!K$56</f>
        <v>0</v>
      </c>
      <c r="G32" s="206">
        <f t="shared" si="1"/>
        <v>5266.2149250000002</v>
      </c>
      <c r="H32" s="206">
        <f t="shared" si="1"/>
        <v>209.11758620689653</v>
      </c>
    </row>
    <row r="33" spans="1:8" x14ac:dyDescent="0.25">
      <c r="A33" s="46">
        <f>'DIA 25'!B$6</f>
        <v>44767</v>
      </c>
      <c r="B33" s="199">
        <f>'DIA 25'!G$49</f>
        <v>5398.1975750000001</v>
      </c>
      <c r="C33" s="199">
        <f>'DIA 25'!G$56</f>
        <v>202.9111551724138</v>
      </c>
      <c r="D33" s="203">
        <f t="shared" si="0"/>
        <v>5601.1087301724137</v>
      </c>
      <c r="E33" s="199">
        <f>'DIA 25'!K$49</f>
        <v>0</v>
      </c>
      <c r="F33" s="199">
        <f>'DIA 25'!K$56</f>
        <v>0</v>
      </c>
      <c r="G33" s="206">
        <f t="shared" si="1"/>
        <v>5398.1975750000001</v>
      </c>
      <c r="H33" s="206">
        <f t="shared" si="1"/>
        <v>202.9111551724138</v>
      </c>
    </row>
    <row r="34" spans="1:8" x14ac:dyDescent="0.25">
      <c r="A34" s="46">
        <f>'DIA 26'!B$6</f>
        <v>44738</v>
      </c>
      <c r="B34" s="199">
        <f>'DIA 26'!G$49</f>
        <v>2951.9232750000001</v>
      </c>
      <c r="C34" s="199">
        <f>'DIA 26'!G$56</f>
        <v>171.15212068965516</v>
      </c>
      <c r="D34" s="203">
        <f t="shared" si="0"/>
        <v>3123.0753956896551</v>
      </c>
      <c r="E34" s="199">
        <f>'DIA 26'!K$49</f>
        <v>0</v>
      </c>
      <c r="F34" s="199">
        <f>'DIA 26'!K$56</f>
        <v>0</v>
      </c>
      <c r="G34" s="206">
        <f t="shared" si="1"/>
        <v>2951.9232750000001</v>
      </c>
      <c r="H34" s="206">
        <f t="shared" si="1"/>
        <v>171.15212068965516</v>
      </c>
    </row>
    <row r="35" spans="1:8" x14ac:dyDescent="0.25">
      <c r="A35" s="46">
        <f>'DIA 27'!B$6</f>
        <v>44769</v>
      </c>
      <c r="B35" s="199">
        <f>'DIA 27'!G$49</f>
        <v>2504.6928499999999</v>
      </c>
      <c r="C35" s="199">
        <f>'DIA 27'!G$56</f>
        <v>0</v>
      </c>
      <c r="D35" s="203">
        <f t="shared" si="0"/>
        <v>2504.6928499999999</v>
      </c>
      <c r="E35" s="199">
        <f>'DIA 27'!K$49</f>
        <v>0</v>
      </c>
      <c r="F35" s="199">
        <f>'DIA 27'!K$56</f>
        <v>0</v>
      </c>
      <c r="G35" s="206">
        <f t="shared" si="1"/>
        <v>2504.6928499999999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3285.7308000000003</v>
      </c>
      <c r="C36" s="199">
        <f>'DIA 28'!G$56</f>
        <v>51.347500000000004</v>
      </c>
      <c r="D36" s="203">
        <f t="shared" si="0"/>
        <v>3337.0783000000001</v>
      </c>
      <c r="E36" s="199">
        <f>'DIA 28'!K$49</f>
        <v>0</v>
      </c>
      <c r="F36" s="199">
        <f>'DIA 28'!K$56</f>
        <v>0</v>
      </c>
      <c r="G36" s="206">
        <f t="shared" si="1"/>
        <v>3285.7308000000003</v>
      </c>
      <c r="H36" s="206">
        <f t="shared" si="1"/>
        <v>51.347500000000004</v>
      </c>
    </row>
    <row r="37" spans="1:8" x14ac:dyDescent="0.25">
      <c r="A37" s="46">
        <f>'DIA 29'!B$6</f>
        <v>44771</v>
      </c>
      <c r="B37" s="199">
        <f>'DIA 29'!G$49</f>
        <v>4294.4383250000001</v>
      </c>
      <c r="C37" s="199">
        <f>'DIA 29'!G$56</f>
        <v>342.60244827586206</v>
      </c>
      <c r="D37" s="203">
        <f t="shared" si="0"/>
        <v>4637.0407732758622</v>
      </c>
      <c r="E37" s="199">
        <f>'DIA 29'!K$49</f>
        <v>0</v>
      </c>
      <c r="F37" s="199">
        <f>'DIA 29'!K$56</f>
        <v>0</v>
      </c>
      <c r="G37" s="206">
        <f t="shared" si="1"/>
        <v>4294.4383250000001</v>
      </c>
      <c r="H37" s="206">
        <f t="shared" si="1"/>
        <v>342.60244827586206</v>
      </c>
    </row>
    <row r="38" spans="1:8" x14ac:dyDescent="0.25">
      <c r="A38" s="46">
        <f>'DIA 30'!B$6</f>
        <v>44772</v>
      </c>
      <c r="B38" s="199">
        <f>'DIA 30'!G$49</f>
        <v>6004.9922250000009</v>
      </c>
      <c r="C38" s="199">
        <f>'DIA 30'!G$56</f>
        <v>42.000577586206894</v>
      </c>
      <c r="D38" s="203">
        <f t="shared" si="0"/>
        <v>6046.9928025862082</v>
      </c>
      <c r="E38" s="199">
        <f>'DIA 30'!K$49</f>
        <v>0</v>
      </c>
      <c r="F38" s="199">
        <f>'DIA 30'!K$56</f>
        <v>0</v>
      </c>
      <c r="G38" s="206">
        <f t="shared" si="1"/>
        <v>6004.9922250000009</v>
      </c>
      <c r="H38" s="206">
        <f t="shared" si="1"/>
        <v>42.000577586206894</v>
      </c>
    </row>
    <row r="39" spans="1:8" x14ac:dyDescent="0.25">
      <c r="A39" s="46">
        <f>'DIA 31'!B$6</f>
        <v>44773</v>
      </c>
      <c r="B39" s="199">
        <f>'DIA 31'!G$49</f>
        <v>3775.7776750000003</v>
      </c>
      <c r="C39" s="199">
        <f>'DIA 31'!G$56</f>
        <v>42.596991379310346</v>
      </c>
      <c r="D39" s="203">
        <f t="shared" si="0"/>
        <v>3818.3746663793108</v>
      </c>
      <c r="E39" s="199">
        <f>'DIA 31'!K$49</f>
        <v>0</v>
      </c>
      <c r="F39" s="199">
        <f>'DIA 31'!K$56</f>
        <v>0</v>
      </c>
      <c r="G39" s="206">
        <f t="shared" si="1"/>
        <v>3775.7776750000003</v>
      </c>
      <c r="H39" s="206">
        <f t="shared" si="1"/>
        <v>42.596991379310346</v>
      </c>
    </row>
    <row r="40" spans="1:8" x14ac:dyDescent="0.25">
      <c r="A40" s="53" t="s">
        <v>37</v>
      </c>
      <c r="B40" s="133">
        <f>SUM(B9:B39)</f>
        <v>104613.19210000001</v>
      </c>
      <c r="C40" s="133">
        <f>SUM(C9:C38)</f>
        <v>3693.6838103448267</v>
      </c>
      <c r="D40" s="133">
        <f>SUM(D9:D38)</f>
        <v>104531.09823534482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99"/>
      <c r="B1" s="300"/>
      <c r="C1" s="301"/>
      <c r="D1" s="301"/>
      <c r="E1" s="301"/>
      <c r="F1" s="302"/>
    </row>
    <row r="2" spans="1:6" s="2" customFormat="1" ht="16.5" customHeight="1" x14ac:dyDescent="0.35">
      <c r="A2" s="299"/>
      <c r="B2" s="303" t="s">
        <v>11</v>
      </c>
      <c r="C2" s="304"/>
      <c r="D2" s="304"/>
      <c r="E2" s="304"/>
      <c r="F2" s="305"/>
    </row>
    <row r="3" spans="1:6" s="2" customFormat="1" ht="16.5" customHeight="1" x14ac:dyDescent="0.25">
      <c r="A3" s="299"/>
      <c r="B3" s="306" t="s">
        <v>31</v>
      </c>
      <c r="C3" s="307"/>
      <c r="D3" s="307"/>
      <c r="E3" s="307"/>
      <c r="F3" s="308"/>
    </row>
    <row r="4" spans="1:6" x14ac:dyDescent="0.25">
      <c r="A4" s="292" t="s">
        <v>50</v>
      </c>
      <c r="B4" s="292"/>
      <c r="C4" s="292"/>
      <c r="D4" s="292"/>
      <c r="E4" s="292"/>
      <c r="F4" s="292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>
        <f>'DIA 1'!B$6</f>
        <v>44774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44775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44776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44777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44778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44779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44780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44781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44782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44783</v>
      </c>
      <c r="B17" s="199">
        <f>'DIA 10'!B$59</f>
        <v>185.11</v>
      </c>
      <c r="C17" s="28"/>
      <c r="D17" s="1"/>
      <c r="E17" s="135">
        <f t="shared" si="0"/>
        <v>-185.11</v>
      </c>
    </row>
    <row r="18" spans="1:5" x14ac:dyDescent="0.25">
      <c r="A18" s="46">
        <f>'DIA 11'!B$6</f>
        <v>44784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44785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44786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44787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44788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44789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44790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1865.13</v>
      </c>
      <c r="C27" s="28"/>
      <c r="D27" s="1"/>
      <c r="E27" s="135">
        <f t="shared" si="0"/>
        <v>-1865.13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44399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44738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2050.2400000000002</v>
      </c>
      <c r="C39" s="33"/>
      <c r="D39" s="134">
        <f>SUM(D8:D38)</f>
        <v>0</v>
      </c>
      <c r="E39" s="134">
        <f>SUM(E8:E38)</f>
        <v>-2050.2400000000002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919783.54</v>
      </c>
    </row>
    <row r="43" spans="1:5" x14ac:dyDescent="0.25">
      <c r="A43" s="36" t="s">
        <v>48</v>
      </c>
      <c r="B43" s="37">
        <f>B39/B42</f>
        <v>2.229046194934082E-3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99"/>
      <c r="B1" s="300"/>
      <c r="C1" s="301"/>
      <c r="D1" s="301"/>
      <c r="E1" s="301"/>
      <c r="F1" s="302"/>
    </row>
    <row r="2" spans="1:9" s="2" customFormat="1" ht="16.5" customHeight="1" x14ac:dyDescent="0.35">
      <c r="A2" s="299"/>
      <c r="B2" s="303" t="s">
        <v>11</v>
      </c>
      <c r="C2" s="304"/>
      <c r="D2" s="304"/>
      <c r="E2" s="304"/>
      <c r="F2" s="305"/>
    </row>
    <row r="3" spans="1:9" s="2" customFormat="1" ht="16.5" customHeight="1" x14ac:dyDescent="0.25">
      <c r="A3" s="299"/>
      <c r="B3" s="306" t="s">
        <v>31</v>
      </c>
      <c r="C3" s="307"/>
      <c r="D3" s="307"/>
      <c r="E3" s="307"/>
      <c r="F3" s="308"/>
    </row>
    <row r="4" spans="1:9" x14ac:dyDescent="0.25">
      <c r="A4" s="292" t="s">
        <v>50</v>
      </c>
      <c r="B4" s="292"/>
      <c r="C4" s="292"/>
      <c r="D4" s="292"/>
      <c r="E4" s="292"/>
      <c r="F4" s="292"/>
    </row>
    <row r="7" spans="1:9" ht="27" customHeight="1" x14ac:dyDescent="0.25">
      <c r="A7" s="4" t="s">
        <v>28</v>
      </c>
      <c r="B7" s="4" t="s">
        <v>158</v>
      </c>
      <c r="C7" s="4" t="s">
        <v>159</v>
      </c>
      <c r="D7" s="4" t="s">
        <v>155</v>
      </c>
      <c r="E7" s="4" t="s">
        <v>85</v>
      </c>
      <c r="F7" s="3" t="s">
        <v>156</v>
      </c>
      <c r="G7" s="4" t="s">
        <v>89</v>
      </c>
      <c r="H7" s="207" t="s">
        <v>157</v>
      </c>
      <c r="I7" s="207" t="s">
        <v>160</v>
      </c>
    </row>
    <row r="8" spans="1:9" x14ac:dyDescent="0.25">
      <c r="A8" s="46">
        <f>'DIA 1'!B$6</f>
        <v>44774</v>
      </c>
      <c r="B8" s="208">
        <f>'DIA 1'!B$19</f>
        <v>1599</v>
      </c>
      <c r="C8" s="209">
        <f>'DIA 1'!B$20</f>
        <v>9258.2100000000009</v>
      </c>
      <c r="D8" s="209">
        <f>'DIA 1'!B$27</f>
        <v>20</v>
      </c>
      <c r="E8" s="209">
        <f>'DIA 1'!B$28</f>
        <v>118</v>
      </c>
      <c r="F8" s="209">
        <f>'DIA 1'!B$35</f>
        <v>25.74</v>
      </c>
      <c r="G8" s="209">
        <f>'DIA 1'!B$36</f>
        <v>149.03459999999998</v>
      </c>
      <c r="H8" s="209">
        <f>'DIA 1'!B$43</f>
        <v>1.94</v>
      </c>
      <c r="I8" s="209">
        <f>'DIA 1'!B$44</f>
        <v>11.2326</v>
      </c>
    </row>
    <row r="9" spans="1:9" x14ac:dyDescent="0.25">
      <c r="A9" s="46">
        <f>'DIA 2'!B$6</f>
        <v>44775</v>
      </c>
      <c r="B9" s="208">
        <f>'DIA 2'!B$19</f>
        <v>1936</v>
      </c>
      <c r="C9" s="209">
        <f>'DIA 2'!B$20</f>
        <v>11196.630000000001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44.23</v>
      </c>
      <c r="I9" s="209">
        <f>'DIA 2'!B$44</f>
        <v>255.64939999999999</v>
      </c>
    </row>
    <row r="10" spans="1:9" x14ac:dyDescent="0.25">
      <c r="A10" s="46">
        <f>'DIA 3'!B$6</f>
        <v>44776</v>
      </c>
      <c r="B10" s="208">
        <f>'DIA 3'!B$19</f>
        <v>1556</v>
      </c>
      <c r="C10" s="209">
        <f>'DIA 3'!B$20</f>
        <v>9024.2199999999993</v>
      </c>
      <c r="D10" s="209">
        <f>'DIA 3'!B$27</f>
        <v>50</v>
      </c>
      <c r="E10" s="209">
        <f>'DIA 3'!B$28</f>
        <v>294.70000000000005</v>
      </c>
      <c r="F10" s="209">
        <f>'DIA 3'!B$35</f>
        <v>0</v>
      </c>
      <c r="G10" s="209">
        <f>'DIA 3'!B$36</f>
        <v>0</v>
      </c>
      <c r="H10" s="209">
        <f>'DIA 3'!B$43</f>
        <v>44.35</v>
      </c>
      <c r="I10" s="209">
        <f>'DIA 3'!B$44</f>
        <v>256.99650000000003</v>
      </c>
    </row>
    <row r="11" spans="1:9" x14ac:dyDescent="0.25">
      <c r="A11" s="46">
        <f>'DIA 4'!B$6</f>
        <v>44777</v>
      </c>
      <c r="B11" s="208">
        <f>'DIA 4'!B$19</f>
        <v>1630</v>
      </c>
      <c r="C11" s="209">
        <f>'DIA 4'!B$20</f>
        <v>9472.75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24.38</v>
      </c>
      <c r="I11" s="209">
        <f>'DIA 4'!B$44</f>
        <v>141.1602</v>
      </c>
    </row>
    <row r="12" spans="1:9" x14ac:dyDescent="0.25">
      <c r="A12" s="46">
        <f>'DIA 5'!B$6</f>
        <v>44778</v>
      </c>
      <c r="B12" s="208">
        <f>'DIA 5'!B$19</f>
        <v>2254</v>
      </c>
      <c r="C12" s="209">
        <f>'DIA 5'!B$20</f>
        <v>13205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11.95</v>
      </c>
      <c r="I12" s="209">
        <f>'DIA 5'!B$44</f>
        <v>70.088000000000008</v>
      </c>
    </row>
    <row r="13" spans="1:9" x14ac:dyDescent="0.25">
      <c r="A13" s="46">
        <f>'DIA 6'!B$6</f>
        <v>44779</v>
      </c>
      <c r="B13" s="208">
        <f>'DIA 6'!B$19</f>
        <v>2845</v>
      </c>
      <c r="C13" s="209">
        <f>'DIA 6'!B$20</f>
        <v>16700.150000000001</v>
      </c>
      <c r="D13" s="209">
        <f>'DIA 6'!B$27</f>
        <v>0</v>
      </c>
      <c r="E13" s="209">
        <f>'DIA 6'!B$28</f>
        <v>0</v>
      </c>
      <c r="F13" s="209">
        <f>'DIA 6'!B$35</f>
        <v>43.6</v>
      </c>
      <c r="G13" s="209">
        <f>'DIA 6'!B$36</f>
        <v>255.93200000000002</v>
      </c>
      <c r="H13" s="209">
        <f>'DIA 6'!B$43</f>
        <v>24.17</v>
      </c>
      <c r="I13" s="209">
        <f>'DIA 6'!B$44</f>
        <v>141.87790000000001</v>
      </c>
    </row>
    <row r="14" spans="1:9" x14ac:dyDescent="0.25">
      <c r="A14" s="46">
        <f>'DIA 7'!B$6</f>
        <v>44780</v>
      </c>
      <c r="B14" s="208">
        <f>'DIA 7'!B$19</f>
        <v>3042</v>
      </c>
      <c r="C14" s="209">
        <f>'DIA 7'!B$20</f>
        <v>17856.54</v>
      </c>
      <c r="D14" s="209">
        <f>'DIA 7'!B$27</f>
        <v>20</v>
      </c>
      <c r="E14" s="209">
        <f>'DIA 7'!B$28</f>
        <v>119.2</v>
      </c>
      <c r="F14" s="209">
        <f>'DIA 7'!B$35</f>
        <v>23.3</v>
      </c>
      <c r="G14" s="209">
        <f>'DIA 7'!B$36</f>
        <v>136.77100000000002</v>
      </c>
      <c r="H14" s="209">
        <f>'DIA 7'!B$43</f>
        <v>85.48</v>
      </c>
      <c r="I14" s="209">
        <f>'DIA 7'!B$44</f>
        <v>501.76760000000002</v>
      </c>
    </row>
    <row r="15" spans="1:9" x14ac:dyDescent="0.25">
      <c r="A15" s="46">
        <f>'DIA 8'!B$6</f>
        <v>44781</v>
      </c>
      <c r="B15" s="208">
        <f>'DIA 8'!B$19</f>
        <v>1715</v>
      </c>
      <c r="C15" s="209">
        <f>'DIA 8'!B$20</f>
        <v>10067.050000000001</v>
      </c>
      <c r="D15" s="209">
        <f>'DIA 8'!B$27</f>
        <v>2</v>
      </c>
      <c r="E15" s="209">
        <f>'DIA 8'!B$28</f>
        <v>11.92</v>
      </c>
      <c r="F15" s="209">
        <f>'DIA 8'!B$35</f>
        <v>26.83</v>
      </c>
      <c r="G15" s="209">
        <f>'DIA 8'!B$36</f>
        <v>157.49209999999999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44782</v>
      </c>
      <c r="B16" s="208">
        <f>'DIA 9'!B$19</f>
        <v>1659</v>
      </c>
      <c r="C16" s="209">
        <f>'DIA 9'!B$20</f>
        <v>9764.01</v>
      </c>
      <c r="D16" s="209">
        <f>'DIA 9'!B$27</f>
        <v>10</v>
      </c>
      <c r="E16" s="209">
        <f>'DIA 9'!B$28</f>
        <v>59.6</v>
      </c>
      <c r="F16" s="209">
        <f>'DIA 9'!B$35</f>
        <v>28.74</v>
      </c>
      <c r="G16" s="209">
        <f>'DIA 9'!B$36</f>
        <v>168.7038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44783</v>
      </c>
      <c r="B17" s="208">
        <f>'DIA 10'!B$19</f>
        <v>2032</v>
      </c>
      <c r="C17" s="209">
        <f>'DIA 10'!B$20</f>
        <v>11992.880000000001</v>
      </c>
      <c r="D17" s="209">
        <f>'DIA 10'!B$27</f>
        <v>20</v>
      </c>
      <c r="E17" s="209">
        <f>'DIA 10'!B$28</f>
        <v>119.2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44784</v>
      </c>
      <c r="B18" s="208">
        <f>'DIA 11'!B$19</f>
        <v>1798</v>
      </c>
      <c r="C18" s="209">
        <f>'DIA 11'!B$20</f>
        <v>10656.94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17.77</v>
      </c>
      <c r="I18" s="209">
        <f>'DIA 11'!B$44</f>
        <v>105.19839999999999</v>
      </c>
    </row>
    <row r="19" spans="1:9" x14ac:dyDescent="0.25">
      <c r="A19" s="46">
        <f>'DIA 12'!B$6</f>
        <v>44785</v>
      </c>
      <c r="B19" s="208">
        <f>'DIA 12'!B$19</f>
        <v>2272</v>
      </c>
      <c r="C19" s="209">
        <f>'DIA 12'!B$20</f>
        <v>13559.77</v>
      </c>
      <c r="D19" s="209">
        <f>'DIA 12'!B$27</f>
        <v>1.2</v>
      </c>
      <c r="E19" s="209">
        <f>'DIA 12'!B$28</f>
        <v>7.38</v>
      </c>
      <c r="F19" s="209">
        <f>'DIA 12'!B$35</f>
        <v>27.43</v>
      </c>
      <c r="G19" s="209">
        <f>'DIA 12'!B$36</f>
        <v>164.03140000000002</v>
      </c>
      <c r="H19" s="209">
        <f>'DIA 12'!B$43</f>
        <v>4.43</v>
      </c>
      <c r="I19" s="209">
        <f>'DIA 12'!B$44</f>
        <v>26.491399999999999</v>
      </c>
    </row>
    <row r="20" spans="1:9" x14ac:dyDescent="0.25">
      <c r="A20" s="46">
        <f>'DIA 13'!B$6</f>
        <v>44786</v>
      </c>
      <c r="B20" s="208">
        <f>'DIA 13'!B$19</f>
        <v>3397</v>
      </c>
      <c r="C20" s="209">
        <f>'DIA 13'!B$20</f>
        <v>20314.060000000001</v>
      </c>
      <c r="D20" s="209">
        <f>'DIA 13'!B$27</f>
        <v>0</v>
      </c>
      <c r="E20" s="209">
        <f>'DIA 13'!B$28</f>
        <v>0</v>
      </c>
      <c r="F20" s="209">
        <f>'DIA 13'!B$35</f>
        <v>89.12</v>
      </c>
      <c r="G20" s="209">
        <f>'DIA 13'!B$36</f>
        <v>532.93760000000009</v>
      </c>
      <c r="H20" s="209">
        <f>'DIA 13'!B$43</f>
        <v>26.85</v>
      </c>
      <c r="I20" s="209">
        <f>'DIA 13'!B$44</f>
        <v>160.56300000000002</v>
      </c>
    </row>
    <row r="21" spans="1:9" x14ac:dyDescent="0.25">
      <c r="A21" s="46">
        <f>'DIA 14'!B$6</f>
        <v>44787</v>
      </c>
      <c r="B21" s="208">
        <f>'DIA 14'!B$19</f>
        <v>3021</v>
      </c>
      <c r="C21" s="209">
        <f>'DIA 14'!B$20</f>
        <v>18065.580000000002</v>
      </c>
      <c r="D21" s="209">
        <f>'DIA 14'!B$27</f>
        <v>0</v>
      </c>
      <c r="E21" s="209">
        <f>'DIA 14'!B$28</f>
        <v>0</v>
      </c>
      <c r="F21" s="209">
        <f>'DIA 14'!B$35</f>
        <v>17.64</v>
      </c>
      <c r="G21" s="209">
        <f>'DIA 14'!B$36</f>
        <v>105.48720000000002</v>
      </c>
      <c r="H21" s="209">
        <f>'DIA 14'!B$43</f>
        <v>44.96</v>
      </c>
      <c r="I21" s="209">
        <f>'DIA 14'!B$44</f>
        <v>268.86080000000004</v>
      </c>
    </row>
    <row r="22" spans="1:9" x14ac:dyDescent="0.25">
      <c r="A22" s="46">
        <f>'DIA 15'!B$6</f>
        <v>44788</v>
      </c>
      <c r="B22" s="208">
        <f>'DIA 15'!B$19</f>
        <v>1806</v>
      </c>
      <c r="C22" s="209">
        <f>'DIA 15'!B$20</f>
        <v>10799.880000000001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41.2</v>
      </c>
      <c r="I22" s="209">
        <f>'DIA 15'!B$44</f>
        <v>246.37600000000003</v>
      </c>
    </row>
    <row r="23" spans="1:9" x14ac:dyDescent="0.25">
      <c r="A23" s="46">
        <f>'DIA 16'!B$6</f>
        <v>44789</v>
      </c>
      <c r="B23" s="208">
        <f>'DIA 16'!B$19</f>
        <v>1815</v>
      </c>
      <c r="C23" s="209">
        <f>'DIA 16'!B$20</f>
        <v>10853.7</v>
      </c>
      <c r="D23" s="209">
        <f>'DIA 16'!B$27</f>
        <v>0</v>
      </c>
      <c r="E23" s="209">
        <f>'DIA 16'!B$28</f>
        <v>0</v>
      </c>
      <c r="F23" s="209">
        <f>'DIA 16'!B$35</f>
        <v>72.290000000000006</v>
      </c>
      <c r="G23" s="209">
        <f>'DIA 16'!B$36</f>
        <v>432.29420000000005</v>
      </c>
      <c r="H23" s="209">
        <f>'DIA 16'!B$43</f>
        <v>42.44</v>
      </c>
      <c r="I23" s="209">
        <f>'DIA 16'!B$44</f>
        <v>253.7912</v>
      </c>
    </row>
    <row r="24" spans="1:9" x14ac:dyDescent="0.25">
      <c r="A24" s="46">
        <f>'DIA 17'!B$6</f>
        <v>44790</v>
      </c>
      <c r="B24" s="208">
        <f>'DIA 17'!B$19</f>
        <v>1661</v>
      </c>
      <c r="C24" s="209">
        <f>'DIA 17'!B$20</f>
        <v>9922.1999999999989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39.19</v>
      </c>
      <c r="I24" s="209">
        <f>'DIA 17'!B$44</f>
        <v>234.00689999999997</v>
      </c>
    </row>
    <row r="25" spans="1:9" x14ac:dyDescent="0.25">
      <c r="A25" s="46">
        <f>'DIA 18'!B$6</f>
        <v>44760</v>
      </c>
      <c r="B25" s="208">
        <f>'DIA 18'!B$19</f>
        <v>1244</v>
      </c>
      <c r="C25" s="209">
        <f>'DIA 18'!B$20</f>
        <v>7090.8</v>
      </c>
      <c r="D25" s="209">
        <f>'DIA 18'!B$27</f>
        <v>100</v>
      </c>
      <c r="E25" s="209">
        <f>'DIA 18'!B$28</f>
        <v>578</v>
      </c>
      <c r="F25" s="209">
        <f>'DIA 18'!B$35</f>
        <v>26.04</v>
      </c>
      <c r="G25" s="209">
        <f>'DIA 18'!B$36</f>
        <v>148.428</v>
      </c>
      <c r="H25" s="209">
        <f>'DIA 18'!B$43</f>
        <v>35.340000000000003</v>
      </c>
      <c r="I25" s="209">
        <f>'DIA 18'!B$44</f>
        <v>201.43800000000002</v>
      </c>
    </row>
    <row r="26" spans="1:9" x14ac:dyDescent="0.25">
      <c r="A26" s="46">
        <f>'DIA 19'!B$6</f>
        <v>44761</v>
      </c>
      <c r="B26" s="208">
        <f>'DIA 19'!B$19</f>
        <v>1892</v>
      </c>
      <c r="C26" s="209">
        <f>'DIA 19'!B$20</f>
        <v>10784.4</v>
      </c>
      <c r="D26" s="209">
        <f>'DIA 19'!B$27</f>
        <v>0</v>
      </c>
      <c r="E26" s="209">
        <f>'DIA 19'!B$28</f>
        <v>0</v>
      </c>
      <c r="F26" s="209">
        <f>'DIA 19'!B$35</f>
        <v>10.99</v>
      </c>
      <c r="G26" s="209">
        <f>'DIA 19'!B$36</f>
        <v>62.643000000000001</v>
      </c>
      <c r="H26" s="209">
        <f>'DIA 19'!B$43</f>
        <v>30.11</v>
      </c>
      <c r="I26" s="209">
        <f>'DIA 19'!B$44</f>
        <v>171.62700000000001</v>
      </c>
    </row>
    <row r="27" spans="1:9" x14ac:dyDescent="0.25">
      <c r="A27" s="46">
        <f>'DIA 20'!B$6</f>
        <v>44762</v>
      </c>
      <c r="B27" s="208">
        <f>'DIA 20'!B$19</f>
        <v>2133</v>
      </c>
      <c r="C27" s="209">
        <f>'DIA 20'!B$20</f>
        <v>12196.53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19.78</v>
      </c>
      <c r="I27" s="209">
        <f>'DIA 20'!B$44</f>
        <v>113.33940000000001</v>
      </c>
    </row>
    <row r="28" spans="1:9" x14ac:dyDescent="0.25">
      <c r="A28" s="46">
        <f>'DIA 21'!B$6</f>
        <v>44763</v>
      </c>
      <c r="B28" s="208">
        <f>'DIA 21'!B$19</f>
        <v>2160</v>
      </c>
      <c r="C28" s="209">
        <f>'DIA 21'!B$20</f>
        <v>12376.800000000001</v>
      </c>
      <c r="D28" s="209">
        <f>'DIA 21'!B$27</f>
        <v>0</v>
      </c>
      <c r="E28" s="209">
        <f>'DIA 21'!B$28</f>
        <v>0</v>
      </c>
      <c r="F28" s="209">
        <f>'DIA 21'!B$35</f>
        <v>54.57</v>
      </c>
      <c r="G28" s="209">
        <f>'DIA 21'!B$36</f>
        <v>312.68610000000001</v>
      </c>
      <c r="H28" s="209">
        <f>'DIA 21'!B$43</f>
        <v>95.77</v>
      </c>
      <c r="I28" s="209">
        <f>'DIA 21'!B$44</f>
        <v>548.76210000000003</v>
      </c>
    </row>
    <row r="29" spans="1:9" x14ac:dyDescent="0.25">
      <c r="A29" s="46">
        <f>'DIA 22'!B$6</f>
        <v>44399</v>
      </c>
      <c r="B29" s="208">
        <f>'DIA 22'!B$19</f>
        <v>2612</v>
      </c>
      <c r="C29" s="209">
        <f>'DIA 22'!B$20</f>
        <v>14966.76</v>
      </c>
      <c r="D29" s="209">
        <f>'DIA 22'!B$27</f>
        <v>120</v>
      </c>
      <c r="E29" s="209">
        <f>'DIA 22'!B$28</f>
        <v>702.3</v>
      </c>
      <c r="F29" s="209">
        <f>'DIA 22'!B$35</f>
        <v>82.87</v>
      </c>
      <c r="G29" s="209">
        <f>'DIA 22'!B$36</f>
        <v>474.84510000000006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2601</v>
      </c>
      <c r="C30" s="209">
        <f>'DIA 23'!B$20</f>
        <v>14903.730000000001</v>
      </c>
      <c r="D30" s="209">
        <f>'DIA 23'!B$27</f>
        <v>55</v>
      </c>
      <c r="E30" s="209">
        <f>'DIA 23'!B$28</f>
        <v>322.3</v>
      </c>
      <c r="F30" s="209">
        <f>'DIA 23'!B$35</f>
        <v>65.05</v>
      </c>
      <c r="G30" s="209">
        <f>'DIA 23'!B$36</f>
        <v>372.73650000000004</v>
      </c>
      <c r="H30" s="209">
        <f>'DIA 23'!B$43</f>
        <v>37.340000000000003</v>
      </c>
      <c r="I30" s="209">
        <f>'DIA 23'!B$44</f>
        <v>213.95820000000003</v>
      </c>
    </row>
    <row r="31" spans="1:9" x14ac:dyDescent="0.25">
      <c r="A31" s="46">
        <f>'DIA 24'!B$6</f>
        <v>44766</v>
      </c>
      <c r="B31" s="208">
        <f>'DIA 24'!B$19</f>
        <v>2477</v>
      </c>
      <c r="C31" s="209">
        <f>'DIA 24'!B$20</f>
        <v>14193.210000000001</v>
      </c>
      <c r="D31" s="209">
        <f>'DIA 24'!B$27</f>
        <v>0</v>
      </c>
      <c r="E31" s="209">
        <f>'DIA 24'!B$28</f>
        <v>0</v>
      </c>
      <c r="F31" s="209">
        <f>'DIA 24'!B$35</f>
        <v>75.72</v>
      </c>
      <c r="G31" s="209">
        <f>'DIA 24'!B$36</f>
        <v>433.87560000000002</v>
      </c>
      <c r="H31" s="209">
        <f>'DIA 24'!B$43</f>
        <v>61.67</v>
      </c>
      <c r="I31" s="209">
        <f>'DIA 24'!B$44</f>
        <v>353.36910000000006</v>
      </c>
    </row>
    <row r="32" spans="1:9" x14ac:dyDescent="0.25">
      <c r="A32" s="46">
        <f>'DIA 25'!B$6</f>
        <v>44767</v>
      </c>
      <c r="B32" s="208">
        <f>'DIA 25'!B$19</f>
        <v>1681</v>
      </c>
      <c r="C32" s="209">
        <f>'DIA 25'!B$20</f>
        <v>9632.130000000001</v>
      </c>
      <c r="D32" s="209">
        <f>'DIA 25'!B$27</f>
        <v>0</v>
      </c>
      <c r="E32" s="209">
        <f>'DIA 25'!B$28</f>
        <v>0</v>
      </c>
      <c r="F32" s="209">
        <f>'DIA 25'!B$35</f>
        <v>19.829999999999998</v>
      </c>
      <c r="G32" s="209">
        <f>'DIA 25'!B$36</f>
        <v>113.6259</v>
      </c>
      <c r="H32" s="209">
        <f>'DIA 25'!B$43</f>
        <v>39.69</v>
      </c>
      <c r="I32" s="209">
        <f>'DIA 25'!B$44</f>
        <v>227.4237</v>
      </c>
    </row>
    <row r="33" spans="1:9" x14ac:dyDescent="0.25">
      <c r="A33" s="46">
        <f>'DIA 26'!B$6</f>
        <v>44738</v>
      </c>
      <c r="B33" s="208">
        <f>'DIA 26'!B$19</f>
        <v>1845</v>
      </c>
      <c r="C33" s="209">
        <f>'DIA 26'!B$20</f>
        <v>10589.5</v>
      </c>
      <c r="D33" s="209">
        <f>'DIA 26'!B$27</f>
        <v>0</v>
      </c>
      <c r="E33" s="209">
        <f>'DIA 26'!B$28</f>
        <v>0</v>
      </c>
      <c r="F33" s="209">
        <f>'DIA 26'!B$35</f>
        <v>10.11</v>
      </c>
      <c r="G33" s="209">
        <f>'DIA 26'!B$36</f>
        <v>58.132499999999993</v>
      </c>
      <c r="H33" s="209">
        <f>'DIA 26'!B$43</f>
        <v>95.93</v>
      </c>
      <c r="I33" s="209">
        <f>'DIA 26'!B$44</f>
        <v>551.21410000000003</v>
      </c>
    </row>
    <row r="34" spans="1:9" x14ac:dyDescent="0.25">
      <c r="A34" s="46">
        <f>'DIA 27'!B$6</f>
        <v>44769</v>
      </c>
      <c r="B34" s="208">
        <f>'DIA 27'!B$19</f>
        <v>1639</v>
      </c>
      <c r="C34" s="209">
        <f>'DIA 27'!B$20</f>
        <v>9429.49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41.25</v>
      </c>
      <c r="I34" s="209">
        <f>'DIA 27'!B$44</f>
        <v>237.1875</v>
      </c>
    </row>
    <row r="35" spans="1:9" x14ac:dyDescent="0.25">
      <c r="A35" s="46">
        <f>'DIA 28'!B$6</f>
        <v>44770</v>
      </c>
      <c r="B35" s="208">
        <f>'DIA 28'!B$19</f>
        <v>1823</v>
      </c>
      <c r="C35" s="209">
        <f>'DIA 28'!B$20</f>
        <v>10526.94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46.1</v>
      </c>
      <c r="I35" s="209">
        <f>'DIA 28'!B$44</f>
        <v>266.31669999999997</v>
      </c>
    </row>
    <row r="36" spans="1:9" x14ac:dyDescent="0.25">
      <c r="A36" s="46">
        <f>'DIA 29'!B$6</f>
        <v>44771</v>
      </c>
      <c r="B36" s="208">
        <f>'DIA 29'!B$19</f>
        <v>2287</v>
      </c>
      <c r="C36" s="209">
        <f>'DIA 29'!B$20</f>
        <v>13233.829999999998</v>
      </c>
      <c r="D36" s="209">
        <f>'DIA 29'!B$27</f>
        <v>5</v>
      </c>
      <c r="E36" s="209">
        <f>'DIA 29'!B$28</f>
        <v>29.47</v>
      </c>
      <c r="F36" s="209">
        <f>'DIA 29'!B$35</f>
        <v>55.46</v>
      </c>
      <c r="G36" s="209">
        <f>'DIA 29'!B$36</f>
        <v>321.11340000000001</v>
      </c>
      <c r="H36" s="209">
        <f>'DIA 29'!B$43</f>
        <v>47.97</v>
      </c>
      <c r="I36" s="209">
        <f>'DIA 29'!B$44</f>
        <v>277.74630000000002</v>
      </c>
    </row>
    <row r="37" spans="1:9" x14ac:dyDescent="0.25">
      <c r="A37" s="46">
        <f>'DIA 30'!B$6</f>
        <v>44772</v>
      </c>
      <c r="B37" s="208">
        <f>'DIA 30'!B$19</f>
        <v>2589</v>
      </c>
      <c r="C37" s="209">
        <f>'DIA 30'!B$20</f>
        <v>14990.31</v>
      </c>
      <c r="D37" s="209">
        <f>'DIA 30'!B$27</f>
        <v>0</v>
      </c>
      <c r="E37" s="209">
        <f>'DIA 30'!B$28</f>
        <v>0</v>
      </c>
      <c r="F37" s="209">
        <f>'DIA 30'!B$35</f>
        <v>69.459999999999994</v>
      </c>
      <c r="G37" s="209">
        <f>'DIA 30'!B$36</f>
        <v>402.17339999999996</v>
      </c>
      <c r="H37" s="209">
        <f>'DIA 30'!B$43</f>
        <v>38.090000000000003</v>
      </c>
      <c r="I37" s="209">
        <f>'DIA 30'!B$44</f>
        <v>220.54110000000003</v>
      </c>
    </row>
    <row r="38" spans="1:9" x14ac:dyDescent="0.25">
      <c r="A38" s="46">
        <f>'DIA 31'!B$6</f>
        <v>44773</v>
      </c>
      <c r="B38" s="208">
        <f>'DIA 31'!B$19</f>
        <v>2314</v>
      </c>
      <c r="C38" s="209">
        <f>'DIA 31'!B$20</f>
        <v>13398.06</v>
      </c>
      <c r="D38" s="209">
        <f>'DIA 31'!B$27</f>
        <v>0</v>
      </c>
      <c r="E38" s="209">
        <f>'DIA 31'!B$28</f>
        <v>0</v>
      </c>
      <c r="F38" s="209">
        <f>'DIA 31'!B$35</f>
        <v>142.44999999999999</v>
      </c>
      <c r="G38" s="209">
        <f>'DIA 31'!B$36</f>
        <v>824.78549999999996</v>
      </c>
      <c r="H38" s="209">
        <f>'DIA 31'!B$43</f>
        <v>20.68</v>
      </c>
      <c r="I38" s="209">
        <f>'DIA 31'!B$44</f>
        <v>119.7372</v>
      </c>
    </row>
    <row r="39" spans="1:9" x14ac:dyDescent="0.25">
      <c r="A39" s="32" t="s">
        <v>42</v>
      </c>
      <c r="B39" s="134">
        <f>SUM(B8:B38)</f>
        <v>65335</v>
      </c>
      <c r="C39" s="134"/>
      <c r="D39" s="134">
        <f>SUM(D8:D38)</f>
        <v>403.2</v>
      </c>
      <c r="E39" s="134">
        <f>SUM(F8:F38)</f>
        <v>967.24000000000024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919783.54</v>
      </c>
    </row>
    <row r="43" spans="1:9" x14ac:dyDescent="0.25">
      <c r="A43" s="36" t="s">
        <v>48</v>
      </c>
      <c r="B43" s="37">
        <f>B39/B42</f>
        <v>7.1033017181412056E-2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3" zoomScale="90" zoomScaleNormal="90" workbookViewId="0">
      <selection activeCell="O52" sqref="O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9"/>
      <c r="B1" s="326"/>
      <c r="C1" s="326"/>
      <c r="D1" s="326"/>
      <c r="E1" s="326"/>
      <c r="F1" s="326"/>
      <c r="G1" s="326"/>
      <c r="H1" s="326"/>
      <c r="M1" s="76"/>
      <c r="N1" s="71"/>
    </row>
    <row r="2" spans="1:28" s="84" customFormat="1" ht="16.5" customHeight="1" x14ac:dyDescent="0.35">
      <c r="A2" s="289"/>
      <c r="B2" s="326" t="s">
        <v>11</v>
      </c>
      <c r="C2" s="326"/>
      <c r="D2" s="326"/>
      <c r="E2" s="326"/>
      <c r="F2" s="326"/>
      <c r="G2" s="326"/>
      <c r="H2" s="326"/>
      <c r="M2" s="76"/>
      <c r="N2" s="71"/>
    </row>
    <row r="3" spans="1:28" s="84" customFormat="1" ht="21.75" customHeight="1" x14ac:dyDescent="0.25">
      <c r="A3" s="289"/>
      <c r="B3" s="327" t="s">
        <v>20</v>
      </c>
      <c r="C3" s="327"/>
      <c r="D3" s="327"/>
      <c r="E3" s="327"/>
      <c r="F3" s="327"/>
      <c r="G3" s="327"/>
      <c r="H3" s="327"/>
      <c r="M3" s="76"/>
      <c r="N3" s="71"/>
    </row>
    <row r="4" spans="1:28" x14ac:dyDescent="0.25">
      <c r="B4" s="328" t="s">
        <v>189</v>
      </c>
      <c r="C4" s="328"/>
      <c r="D4" s="328"/>
      <c r="E4" s="328"/>
      <c r="F4" s="328"/>
      <c r="G4" s="328"/>
      <c r="H4" s="328"/>
    </row>
    <row r="6" spans="1:28" x14ac:dyDescent="0.25">
      <c r="A6" s="7" t="s">
        <v>21</v>
      </c>
      <c r="B6" s="72">
        <v>44774</v>
      </c>
      <c r="D6" s="85" t="s">
        <v>22</v>
      </c>
      <c r="E6" s="8" t="s">
        <v>273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>
        <v>5.9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1308</v>
      </c>
      <c r="C12" s="15"/>
      <c r="D12" s="56"/>
      <c r="E12" s="16"/>
      <c r="F12" s="56"/>
      <c r="G12" s="56"/>
      <c r="H12" s="17"/>
      <c r="I12" s="83">
        <v>1308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188</v>
      </c>
      <c r="P12" s="158">
        <v>207</v>
      </c>
      <c r="Q12" s="158">
        <v>11</v>
      </c>
      <c r="R12" s="159">
        <v>772.08</v>
      </c>
      <c r="S12" s="160"/>
      <c r="T12" s="160">
        <v>5</v>
      </c>
      <c r="U12" s="189">
        <f>((T12/U$10)*U$9)</f>
        <v>0.21551724137931039</v>
      </c>
      <c r="V12" s="189">
        <f>R12*V$10</f>
        <v>5.7906000000000004</v>
      </c>
      <c r="W12" s="189">
        <f>+S12*V$10</f>
        <v>0</v>
      </c>
      <c r="X12" s="189">
        <f>+T12*X$10</f>
        <v>0.125</v>
      </c>
      <c r="Y12" s="189">
        <f>R12-V12</f>
        <v>766.2894</v>
      </c>
      <c r="Z12" s="189">
        <f>S12-W12</f>
        <v>0</v>
      </c>
      <c r="AA12" s="189">
        <f>T12-U12-X12</f>
        <v>4.6594827586206895</v>
      </c>
      <c r="AB12" s="156"/>
    </row>
    <row r="13" spans="1:28" ht="15.75" x14ac:dyDescent="0.25">
      <c r="A13" s="86" t="s">
        <v>74</v>
      </c>
      <c r="B13" s="89">
        <v>1599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1599</v>
      </c>
      <c r="K13" s="75"/>
      <c r="L13" s="186">
        <f t="shared" ref="L13:L28" si="1">+G13-K13</f>
        <v>0</v>
      </c>
      <c r="M13" s="106"/>
      <c r="N13" s="104">
        <v>2</v>
      </c>
      <c r="O13" s="152" t="s">
        <v>188</v>
      </c>
      <c r="P13" s="158">
        <v>208</v>
      </c>
      <c r="Q13" s="158">
        <v>11</v>
      </c>
      <c r="R13" s="159">
        <v>1856.14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13.921050000000001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1842.2189500000002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9258.2100000000009</v>
      </c>
      <c r="C14" s="15"/>
      <c r="D14" s="56"/>
      <c r="E14" s="16"/>
      <c r="F14" s="56"/>
      <c r="G14" s="56"/>
      <c r="H14" s="17"/>
      <c r="I14" s="83"/>
      <c r="J14" s="81">
        <f t="shared" si="0"/>
        <v>9258.2100000000009</v>
      </c>
      <c r="K14" s="80"/>
      <c r="L14" s="186">
        <f t="shared" si="1"/>
        <v>0</v>
      </c>
      <c r="M14" s="107"/>
      <c r="N14" s="104">
        <v>3</v>
      </c>
      <c r="O14" s="152" t="s">
        <v>188</v>
      </c>
      <c r="P14" s="158">
        <v>588</v>
      </c>
      <c r="Q14" s="158">
        <v>2</v>
      </c>
      <c r="R14" s="159">
        <v>486.4</v>
      </c>
      <c r="S14" s="160"/>
      <c r="T14" s="161"/>
      <c r="U14" s="189">
        <f t="shared" si="2"/>
        <v>0</v>
      </c>
      <c r="V14" s="189">
        <f t="shared" si="3"/>
        <v>3.6479999999999997</v>
      </c>
      <c r="W14" s="189">
        <f t="shared" si="4"/>
        <v>0</v>
      </c>
      <c r="X14" s="189">
        <f t="shared" si="5"/>
        <v>0</v>
      </c>
      <c r="Y14" s="189">
        <f t="shared" si="6"/>
        <v>482.75199999999995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188</v>
      </c>
      <c r="P15" s="158">
        <v>589</v>
      </c>
      <c r="Q15" s="158">
        <v>2</v>
      </c>
      <c r="R15" s="159">
        <v>2712.05</v>
      </c>
      <c r="S15" s="160"/>
      <c r="T15" s="161">
        <v>23.29</v>
      </c>
      <c r="U15" s="189">
        <f t="shared" si="2"/>
        <v>1.0038793103448276</v>
      </c>
      <c r="V15" s="189">
        <f t="shared" si="3"/>
        <v>20.340375000000002</v>
      </c>
      <c r="W15" s="189">
        <f t="shared" si="4"/>
        <v>0</v>
      </c>
      <c r="X15" s="189">
        <f t="shared" si="5"/>
        <v>0.58225000000000005</v>
      </c>
      <c r="Y15" s="189">
        <f t="shared" si="6"/>
        <v>2691.709625</v>
      </c>
      <c r="Z15" s="189">
        <f t="shared" si="7"/>
        <v>0</v>
      </c>
      <c r="AA15" s="189">
        <f t="shared" si="8"/>
        <v>21.703870689655172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188</v>
      </c>
      <c r="P16" s="158">
        <v>571</v>
      </c>
      <c r="Q16" s="158">
        <v>4</v>
      </c>
      <c r="R16" s="159">
        <v>1865.68</v>
      </c>
      <c r="S16" s="160"/>
      <c r="T16" s="161">
        <v>301.44</v>
      </c>
      <c r="U16" s="189">
        <f t="shared" si="2"/>
        <v>12.993103448275864</v>
      </c>
      <c r="V16" s="189">
        <f t="shared" si="3"/>
        <v>13.992599999999999</v>
      </c>
      <c r="W16" s="189">
        <f t="shared" si="4"/>
        <v>0</v>
      </c>
      <c r="X16" s="189">
        <f t="shared" si="5"/>
        <v>7.5360000000000005</v>
      </c>
      <c r="Y16" s="189">
        <f t="shared" si="6"/>
        <v>1851.6874</v>
      </c>
      <c r="Z16" s="189">
        <f t="shared" si="7"/>
        <v>0</v>
      </c>
      <c r="AA16" s="189">
        <f t="shared" si="8"/>
        <v>280.91089655172414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188</v>
      </c>
      <c r="P17" s="158">
        <v>658</v>
      </c>
      <c r="Q17" s="158">
        <v>18</v>
      </c>
      <c r="R17" s="159">
        <v>626.49</v>
      </c>
      <c r="S17" s="160"/>
      <c r="T17" s="161">
        <v>55.47</v>
      </c>
      <c r="U17" s="189">
        <f t="shared" si="2"/>
        <v>2.390948275862069</v>
      </c>
      <c r="V17" s="189">
        <f t="shared" si="3"/>
        <v>4.6986749999999997</v>
      </c>
      <c r="W17" s="189">
        <f t="shared" si="4"/>
        <v>0</v>
      </c>
      <c r="X17" s="189">
        <f t="shared" si="5"/>
        <v>1.3867500000000001</v>
      </c>
      <c r="Y17" s="189">
        <f t="shared" si="6"/>
        <v>621.79132500000003</v>
      </c>
      <c r="Z17" s="189">
        <f t="shared" si="7"/>
        <v>0</v>
      </c>
      <c r="AA17" s="189">
        <f t="shared" si="8"/>
        <v>51.692301724137927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188</v>
      </c>
      <c r="P18" s="158">
        <v>659</v>
      </c>
      <c r="Q18" s="158">
        <v>18</v>
      </c>
      <c r="R18" s="159">
        <v>1013.3</v>
      </c>
      <c r="S18" s="160"/>
      <c r="T18" s="161"/>
      <c r="U18" s="189">
        <f t="shared" si="2"/>
        <v>0</v>
      </c>
      <c r="V18" s="189">
        <f t="shared" si="3"/>
        <v>7.5997499999999993</v>
      </c>
      <c r="W18" s="189">
        <f t="shared" si="4"/>
        <v>0</v>
      </c>
      <c r="X18" s="189">
        <f t="shared" si="5"/>
        <v>0</v>
      </c>
      <c r="Y18" s="189">
        <f t="shared" si="6"/>
        <v>1005.70025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1599</v>
      </c>
      <c r="C19" s="95"/>
      <c r="D19" s="94"/>
      <c r="E19" s="96"/>
      <c r="F19" s="94"/>
      <c r="G19" s="94"/>
      <c r="H19" s="98"/>
      <c r="I19" s="99">
        <v>1599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188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9258.2100000000009</v>
      </c>
      <c r="C20" s="95"/>
      <c r="D20" s="94"/>
      <c r="E20" s="96"/>
      <c r="F20" s="94"/>
      <c r="G20" s="94"/>
      <c r="H20" s="98"/>
      <c r="I20" s="99">
        <v>9242.2199999999993</v>
      </c>
      <c r="J20" s="185">
        <f t="shared" si="0"/>
        <v>15.990000000001601</v>
      </c>
      <c r="K20" s="99"/>
      <c r="L20" s="187">
        <f t="shared" si="1"/>
        <v>0</v>
      </c>
      <c r="M20" s="107"/>
      <c r="N20" s="104">
        <v>9</v>
      </c>
      <c r="O20" s="152" t="s">
        <v>188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188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85</v>
      </c>
      <c r="B22" s="57">
        <f>B21*D8</f>
        <v>118</v>
      </c>
      <c r="C22" s="100"/>
      <c r="D22" s="66"/>
      <c r="E22" s="67"/>
      <c r="F22" s="66"/>
      <c r="G22" s="66"/>
      <c r="H22" s="102"/>
      <c r="I22" s="79"/>
      <c r="J22" s="81">
        <f t="shared" si="0"/>
        <v>118</v>
      </c>
      <c r="K22" s="80"/>
      <c r="L22" s="186">
        <f t="shared" si="1"/>
        <v>0</v>
      </c>
      <c r="M22" s="107"/>
      <c r="N22" s="104">
        <v>11</v>
      </c>
      <c r="O22" s="152" t="s">
        <v>188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188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188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188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118</v>
      </c>
      <c r="C28" s="95"/>
      <c r="D28" s="94"/>
      <c r="E28" s="96"/>
      <c r="F28" s="94"/>
      <c r="G28" s="94"/>
      <c r="H28" s="98"/>
      <c r="I28" s="99"/>
      <c r="J28" s="185">
        <f t="shared" si="0"/>
        <v>118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>
        <v>25.74</v>
      </c>
      <c r="C29" s="100"/>
      <c r="D29" s="66"/>
      <c r="E29" s="67"/>
      <c r="F29" s="66"/>
      <c r="G29" s="66"/>
      <c r="H29" s="102"/>
      <c r="I29" s="79"/>
      <c r="J29" s="81">
        <f t="shared" si="0"/>
        <v>25.74</v>
      </c>
      <c r="K29" s="80"/>
      <c r="L29" s="186">
        <f>K29-B29</f>
        <v>-25.74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149.03459999999998</v>
      </c>
      <c r="C30" s="100"/>
      <c r="D30" s="66"/>
      <c r="E30" s="67"/>
      <c r="F30" s="66"/>
      <c r="G30" s="66"/>
      <c r="H30" s="102"/>
      <c r="I30" s="79"/>
      <c r="J30" s="81">
        <f t="shared" si="0"/>
        <v>149.03459999999998</v>
      </c>
      <c r="K30" s="80"/>
      <c r="L30" s="186">
        <f>K30-B30</f>
        <v>-149.03459999999998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42" si="9">+G33-K33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25.74</v>
      </c>
      <c r="C35" s="95"/>
      <c r="D35" s="94"/>
      <c r="E35" s="96"/>
      <c r="F35" s="94"/>
      <c r="G35" s="94"/>
      <c r="H35" s="98"/>
      <c r="I35" s="99">
        <v>25.74</v>
      </c>
      <c r="J35" s="185">
        <f t="shared" si="0"/>
        <v>0</v>
      </c>
      <c r="K35" s="99"/>
      <c r="L35" s="187">
        <f t="shared" ref="L35:L40" si="10">K35-B35</f>
        <v>-25.74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149.03459999999998</v>
      </c>
      <c r="C36" s="95"/>
      <c r="D36" s="94"/>
      <c r="E36" s="96"/>
      <c r="F36" s="94"/>
      <c r="G36" s="94"/>
      <c r="H36" s="98"/>
      <c r="I36" s="99"/>
      <c r="J36" s="185">
        <f t="shared" si="0"/>
        <v>149.03459999999998</v>
      </c>
      <c r="K36" s="99"/>
      <c r="L36" s="187">
        <f t="shared" si="10"/>
        <v>-149.03459999999998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>
        <v>1.94</v>
      </c>
      <c r="C37" s="100"/>
      <c r="D37" s="66"/>
      <c r="E37" s="67"/>
      <c r="F37" s="66"/>
      <c r="G37" s="66"/>
      <c r="H37" s="102"/>
      <c r="I37" s="79"/>
      <c r="J37" s="81">
        <f t="shared" si="0"/>
        <v>1.94</v>
      </c>
      <c r="K37" s="80"/>
      <c r="L37" s="186">
        <f t="shared" si="10"/>
        <v>-1.94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11.2326</v>
      </c>
      <c r="C38" s="100"/>
      <c r="D38" s="66"/>
      <c r="E38" s="67"/>
      <c r="F38" s="66"/>
      <c r="G38" s="66"/>
      <c r="H38" s="102"/>
      <c r="I38" s="79"/>
      <c r="J38" s="81">
        <f t="shared" si="0"/>
        <v>11.2326</v>
      </c>
      <c r="K38" s="80"/>
      <c r="L38" s="186">
        <f t="shared" si="10"/>
        <v>-11.2326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0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23" t="s">
        <v>105</v>
      </c>
      <c r="O42" s="324"/>
      <c r="P42" s="324"/>
      <c r="Q42" s="325"/>
      <c r="R42" s="190">
        <f t="shared" ref="R42:Y42" si="11">SUM(R12:R41)</f>
        <v>9332.14</v>
      </c>
      <c r="S42" s="190">
        <f t="shared" si="11"/>
        <v>0</v>
      </c>
      <c r="T42" s="190">
        <f t="shared" si="11"/>
        <v>385.20000000000005</v>
      </c>
      <c r="U42" s="190">
        <f t="shared" si="11"/>
        <v>16.603448275862071</v>
      </c>
      <c r="V42" s="190">
        <f t="shared" si="11"/>
        <v>69.991050000000001</v>
      </c>
      <c r="W42" s="190">
        <f t="shared" si="11"/>
        <v>0</v>
      </c>
      <c r="X42" s="190">
        <f t="shared" si="11"/>
        <v>9.629999999999999</v>
      </c>
      <c r="Y42" s="190">
        <f t="shared" si="11"/>
        <v>9262.1489499999989</v>
      </c>
      <c r="Z42" s="190">
        <f t="shared" ref="Z42" si="12">SUM(Z12:Z41)</f>
        <v>0</v>
      </c>
      <c r="AA42" s="190">
        <f t="shared" ref="AA42" si="13">SUM(AA12:AA41)</f>
        <v>358.9665517241379</v>
      </c>
      <c r="AB42" s="166"/>
    </row>
    <row r="43" spans="1:28" ht="15.75" x14ac:dyDescent="0.25">
      <c r="A43" s="93" t="s">
        <v>101</v>
      </c>
      <c r="B43" s="97">
        <f>+B37+B39+B41</f>
        <v>1.94</v>
      </c>
      <c r="C43" s="95"/>
      <c r="D43" s="94"/>
      <c r="E43" s="96"/>
      <c r="F43" s="94"/>
      <c r="G43" s="94"/>
      <c r="H43" s="98"/>
      <c r="I43" s="99">
        <v>1.94</v>
      </c>
      <c r="J43" s="185">
        <f t="shared" si="0"/>
        <v>0</v>
      </c>
      <c r="K43" s="99"/>
      <c r="L43" s="187">
        <f>K43-B43</f>
        <v>-1.94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4">((T43/U$10)*U$9)</f>
        <v>0</v>
      </c>
      <c r="V43" s="189">
        <f t="shared" ref="V43" si="15">R43*V$10</f>
        <v>0</v>
      </c>
      <c r="W43" s="189">
        <f t="shared" ref="W43" si="16">+S43*V$10</f>
        <v>0</v>
      </c>
      <c r="X43" s="189">
        <f t="shared" ref="X43" si="17">+T43*X$10</f>
        <v>0</v>
      </c>
      <c r="Y43" s="189">
        <f t="shared" ref="Y43" si="18">R43-V43</f>
        <v>0</v>
      </c>
      <c r="Z43" s="189">
        <f t="shared" ref="Z43" si="19">S43-W43</f>
        <v>0</v>
      </c>
      <c r="AA43" s="189">
        <f t="shared" ref="AA43" si="20">T43-U43-X43</f>
        <v>0</v>
      </c>
      <c r="AB43" s="156"/>
    </row>
    <row r="44" spans="1:28" ht="15.75" x14ac:dyDescent="0.25">
      <c r="A44" s="93" t="s">
        <v>102</v>
      </c>
      <c r="B44" s="97">
        <f>+B38+B40+B42</f>
        <v>11.2326</v>
      </c>
      <c r="C44" s="95"/>
      <c r="D44" s="94"/>
      <c r="E44" s="96"/>
      <c r="F44" s="94"/>
      <c r="G44" s="94"/>
      <c r="H44" s="98"/>
      <c r="I44" s="99"/>
      <c r="J44" s="185">
        <f t="shared" si="0"/>
        <v>11.2326</v>
      </c>
      <c r="K44" s="99"/>
      <c r="L44" s="187">
        <f>K44-B44</f>
        <v>-11.2326</v>
      </c>
      <c r="M44" s="107"/>
      <c r="N44" s="104">
        <v>2</v>
      </c>
      <c r="O44" s="167" t="s">
        <v>69</v>
      </c>
      <c r="P44" s="158"/>
      <c r="Q44" s="158"/>
      <c r="R44" s="160">
        <v>653.54999999999995</v>
      </c>
      <c r="S44" s="160"/>
      <c r="T44" s="155"/>
      <c r="U44" s="189">
        <f t="shared" ref="U44:U62" si="21">((T44/U$10)*U$9)</f>
        <v>0</v>
      </c>
      <c r="V44" s="189">
        <f t="shared" ref="V44:V62" si="22">R44*V$10</f>
        <v>4.9016249999999992</v>
      </c>
      <c r="W44" s="189">
        <f t="shared" ref="W44:W62" si="23">+S44*V$10</f>
        <v>0</v>
      </c>
      <c r="X44" s="189">
        <f t="shared" ref="X44:X62" si="24">+T44*X$10</f>
        <v>0</v>
      </c>
      <c r="Y44" s="189">
        <f t="shared" ref="Y44:Y62" si="25">R44-V44</f>
        <v>648.64837499999999</v>
      </c>
      <c r="Z44" s="189">
        <f t="shared" ref="Z44:Z62" si="26">S44-W44</f>
        <v>0</v>
      </c>
      <c r="AA44" s="189">
        <f t="shared" ref="AA44:AA62" si="27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904.13</v>
      </c>
      <c r="S45" s="160"/>
      <c r="T45" s="155">
        <v>198.87</v>
      </c>
      <c r="U45" s="189">
        <f t="shared" si="21"/>
        <v>8.57198275862069</v>
      </c>
      <c r="V45" s="189">
        <f t="shared" si="22"/>
        <v>6.7809749999999998</v>
      </c>
      <c r="W45" s="189">
        <f t="shared" si="23"/>
        <v>0</v>
      </c>
      <c r="X45" s="189">
        <f t="shared" si="24"/>
        <v>4.9717500000000001</v>
      </c>
      <c r="Y45" s="189">
        <f t="shared" si="25"/>
        <v>897.34902499999998</v>
      </c>
      <c r="Z45" s="189">
        <f t="shared" si="26"/>
        <v>0</v>
      </c>
      <c r="AA45" s="189">
        <f t="shared" si="27"/>
        <v>185.3262672413793</v>
      </c>
      <c r="AB45" s="156"/>
    </row>
    <row r="46" spans="1:28" ht="15.75" x14ac:dyDescent="0.25">
      <c r="A46" s="115" t="s">
        <v>27</v>
      </c>
      <c r="B46" s="117">
        <f>R42</f>
        <v>9332.14</v>
      </c>
      <c r="C46" s="116">
        <v>7.4999999999999997E-3</v>
      </c>
      <c r="D46" s="117">
        <f>B46*C46</f>
        <v>69.991049999999987</v>
      </c>
      <c r="E46" s="172">
        <v>0</v>
      </c>
      <c r="F46" s="117">
        <f t="shared" ref="F46:F50" si="28">D46*E46</f>
        <v>0</v>
      </c>
      <c r="G46" s="117">
        <f t="shared" ref="G46:G51" si="29">B46-D46-F46</f>
        <v>9262.1489499999989</v>
      </c>
      <c r="H46" s="173">
        <f>B$6+1</f>
        <v>44775</v>
      </c>
      <c r="I46" s="174">
        <v>9332.14</v>
      </c>
      <c r="J46" s="81">
        <f t="shared" si="0"/>
        <v>0</v>
      </c>
      <c r="K46" s="80">
        <v>9285.19</v>
      </c>
      <c r="L46" s="186">
        <f>K46-G46</f>
        <v>23.041050000001633</v>
      </c>
      <c r="M46" s="107"/>
      <c r="N46" s="104">
        <v>4</v>
      </c>
      <c r="O46" s="167" t="s">
        <v>69</v>
      </c>
      <c r="P46" s="158"/>
      <c r="Q46" s="158"/>
      <c r="R46" s="160"/>
      <c r="S46" s="155"/>
      <c r="T46" s="155"/>
      <c r="U46" s="189">
        <f t="shared" si="21"/>
        <v>0</v>
      </c>
      <c r="V46" s="189">
        <f t="shared" si="22"/>
        <v>0</v>
      </c>
      <c r="W46" s="189">
        <f t="shared" si="23"/>
        <v>0</v>
      </c>
      <c r="X46" s="189">
        <f t="shared" si="24"/>
        <v>0</v>
      </c>
      <c r="Y46" s="189">
        <f t="shared" si="25"/>
        <v>0</v>
      </c>
      <c r="Z46" s="189">
        <f t="shared" si="26"/>
        <v>0</v>
      </c>
      <c r="AA46" s="189">
        <f t="shared" si="27"/>
        <v>0</v>
      </c>
      <c r="AB46" s="156"/>
    </row>
    <row r="47" spans="1:28" ht="15.75" x14ac:dyDescent="0.25">
      <c r="A47" s="115" t="s">
        <v>1</v>
      </c>
      <c r="B47" s="117">
        <f>R63</f>
        <v>1557.6799999999998</v>
      </c>
      <c r="C47" s="116">
        <v>7.4999999999999997E-3</v>
      </c>
      <c r="D47" s="117">
        <f t="shared" ref="D47:D50" si="30">B47*C47</f>
        <v>11.682599999999999</v>
      </c>
      <c r="E47" s="172">
        <v>0</v>
      </c>
      <c r="F47" s="117">
        <f t="shared" si="28"/>
        <v>0</v>
      </c>
      <c r="G47" s="117">
        <f t="shared" si="29"/>
        <v>1545.9973999999997</v>
      </c>
      <c r="H47" s="173">
        <f>B$6+1</f>
        <v>44775</v>
      </c>
      <c r="I47" s="175">
        <v>1557.68</v>
      </c>
      <c r="J47" s="81">
        <f t="shared" si="0"/>
        <v>0</v>
      </c>
      <c r="K47" s="80">
        <v>1546</v>
      </c>
      <c r="L47" s="186">
        <f t="shared" ref="L47:L64" si="31">+G47-K47</f>
        <v>-2.6000000002568413E-3</v>
      </c>
      <c r="M47" s="107"/>
      <c r="N47" s="104">
        <v>5</v>
      </c>
      <c r="O47" s="167" t="s">
        <v>69</v>
      </c>
      <c r="P47" s="158"/>
      <c r="Q47" s="158"/>
      <c r="R47" s="160"/>
      <c r="S47" s="155"/>
      <c r="T47" s="155"/>
      <c r="U47" s="189">
        <f t="shared" si="21"/>
        <v>0</v>
      </c>
      <c r="V47" s="189">
        <f t="shared" si="22"/>
        <v>0</v>
      </c>
      <c r="W47" s="189">
        <f t="shared" si="23"/>
        <v>0</v>
      </c>
      <c r="X47" s="189">
        <f t="shared" si="24"/>
        <v>0</v>
      </c>
      <c r="Y47" s="189">
        <f t="shared" si="25"/>
        <v>0</v>
      </c>
      <c r="Z47" s="189">
        <f t="shared" si="26"/>
        <v>0</v>
      </c>
      <c r="AA47" s="189">
        <f t="shared" si="27"/>
        <v>0</v>
      </c>
      <c r="AB47" s="156"/>
    </row>
    <row r="48" spans="1:28" ht="30" x14ac:dyDescent="0.25">
      <c r="A48" s="115" t="s">
        <v>191</v>
      </c>
      <c r="B48" s="117">
        <f>R69</f>
        <v>138.29000000000002</v>
      </c>
      <c r="C48" s="116">
        <v>1.4999999999999999E-2</v>
      </c>
      <c r="D48" s="117">
        <f t="shared" si="30"/>
        <v>2.0743500000000004</v>
      </c>
      <c r="E48" s="172">
        <v>0</v>
      </c>
      <c r="F48" s="117">
        <f t="shared" si="28"/>
        <v>0</v>
      </c>
      <c r="G48" s="117">
        <f t="shared" si="29"/>
        <v>136.21565000000001</v>
      </c>
      <c r="H48" s="173">
        <f t="shared" ref="H48:H61" si="32">B$6+1</f>
        <v>44775</v>
      </c>
      <c r="I48" s="176">
        <v>138.29</v>
      </c>
      <c r="J48" s="81">
        <f t="shared" si="0"/>
        <v>0</v>
      </c>
      <c r="K48" s="80">
        <v>136.22</v>
      </c>
      <c r="L48" s="186">
        <f t="shared" si="31"/>
        <v>-4.3499999999880856E-3</v>
      </c>
      <c r="M48" s="107"/>
      <c r="N48" s="104">
        <v>6</v>
      </c>
      <c r="O48" s="167" t="s">
        <v>69</v>
      </c>
      <c r="P48" s="158"/>
      <c r="Q48" s="158"/>
      <c r="R48" s="160"/>
      <c r="S48" s="155"/>
      <c r="T48" s="155"/>
      <c r="U48" s="189">
        <f t="shared" si="21"/>
        <v>0</v>
      </c>
      <c r="V48" s="189">
        <f t="shared" si="22"/>
        <v>0</v>
      </c>
      <c r="W48" s="189">
        <f t="shared" si="23"/>
        <v>0</v>
      </c>
      <c r="X48" s="189">
        <f t="shared" si="24"/>
        <v>0</v>
      </c>
      <c r="Y48" s="189">
        <f t="shared" si="25"/>
        <v>0</v>
      </c>
      <c r="Z48" s="189">
        <f t="shared" si="26"/>
        <v>0</v>
      </c>
      <c r="AA48" s="189">
        <f t="shared" si="27"/>
        <v>0</v>
      </c>
      <c r="AB48" s="156"/>
    </row>
    <row r="49" spans="1:28" ht="15.75" x14ac:dyDescent="0.25">
      <c r="A49" s="115" t="s">
        <v>203</v>
      </c>
      <c r="B49" s="117">
        <f>R75</f>
        <v>1572.8</v>
      </c>
      <c r="C49" s="116">
        <v>7.4999999999999997E-3</v>
      </c>
      <c r="D49" s="117">
        <f t="shared" si="30"/>
        <v>11.795999999999999</v>
      </c>
      <c r="E49" s="172">
        <v>0</v>
      </c>
      <c r="F49" s="117">
        <f t="shared" si="28"/>
        <v>0</v>
      </c>
      <c r="G49" s="117">
        <f t="shared" si="29"/>
        <v>1561.0039999999999</v>
      </c>
      <c r="H49" s="173">
        <f t="shared" si="32"/>
        <v>44775</v>
      </c>
      <c r="I49" s="176">
        <v>1428.05</v>
      </c>
      <c r="J49" s="81">
        <f t="shared" si="0"/>
        <v>144.75</v>
      </c>
      <c r="K49" s="80">
        <v>1561</v>
      </c>
      <c r="L49" s="186">
        <f t="shared" si="31"/>
        <v>3.9999999999054126E-3</v>
      </c>
      <c r="M49" s="107"/>
      <c r="N49" s="104">
        <v>7</v>
      </c>
      <c r="O49" s="167" t="s">
        <v>69</v>
      </c>
      <c r="P49" s="158"/>
      <c r="Q49" s="158"/>
      <c r="R49" s="160"/>
      <c r="S49" s="155"/>
      <c r="T49" s="155"/>
      <c r="U49" s="189">
        <f t="shared" si="21"/>
        <v>0</v>
      </c>
      <c r="V49" s="189">
        <f t="shared" si="22"/>
        <v>0</v>
      </c>
      <c r="W49" s="189">
        <f t="shared" si="23"/>
        <v>0</v>
      </c>
      <c r="X49" s="189">
        <f t="shared" si="24"/>
        <v>0</v>
      </c>
      <c r="Y49" s="189">
        <f t="shared" si="25"/>
        <v>0</v>
      </c>
      <c r="Z49" s="189">
        <f t="shared" si="26"/>
        <v>0</v>
      </c>
      <c r="AA49" s="189">
        <f t="shared" si="27"/>
        <v>0</v>
      </c>
      <c r="AB49" s="156"/>
    </row>
    <row r="50" spans="1:28" ht="15.75" x14ac:dyDescent="0.25">
      <c r="A50" s="115" t="s">
        <v>61</v>
      </c>
      <c r="B50" s="171">
        <f>P98+Q98</f>
        <v>1408.4299999999998</v>
      </c>
      <c r="C50" s="116">
        <v>7.4999999999999997E-3</v>
      </c>
      <c r="D50" s="117">
        <f t="shared" si="30"/>
        <v>10.563224999999999</v>
      </c>
      <c r="E50" s="172">
        <v>0</v>
      </c>
      <c r="F50" s="117">
        <f t="shared" si="28"/>
        <v>0</v>
      </c>
      <c r="G50" s="117">
        <f t="shared" si="29"/>
        <v>1397.8667749999997</v>
      </c>
      <c r="H50" s="173">
        <f t="shared" si="32"/>
        <v>44775</v>
      </c>
      <c r="I50" s="175">
        <v>1804.98</v>
      </c>
      <c r="J50" s="81">
        <f t="shared" si="0"/>
        <v>-396.55000000000018</v>
      </c>
      <c r="K50" s="80">
        <v>1397.87</v>
      </c>
      <c r="L50" s="186">
        <f t="shared" si="31"/>
        <v>-3.2250000001567969E-3</v>
      </c>
      <c r="M50" s="107"/>
      <c r="N50" s="104">
        <v>8</v>
      </c>
      <c r="O50" s="167" t="s">
        <v>69</v>
      </c>
      <c r="P50" s="158"/>
      <c r="Q50" s="158"/>
      <c r="R50" s="160"/>
      <c r="S50" s="155"/>
      <c r="T50" s="155"/>
      <c r="U50" s="189">
        <f t="shared" si="21"/>
        <v>0</v>
      </c>
      <c r="V50" s="189">
        <f t="shared" si="22"/>
        <v>0</v>
      </c>
      <c r="W50" s="189">
        <f t="shared" si="23"/>
        <v>0</v>
      </c>
      <c r="X50" s="189">
        <f t="shared" si="24"/>
        <v>0</v>
      </c>
      <c r="Y50" s="189">
        <f t="shared" si="25"/>
        <v>0</v>
      </c>
      <c r="Z50" s="189">
        <f t="shared" si="26"/>
        <v>0</v>
      </c>
      <c r="AA50" s="189">
        <f t="shared" si="27"/>
        <v>0</v>
      </c>
      <c r="AB50" s="156"/>
    </row>
    <row r="51" spans="1:28" ht="15.75" x14ac:dyDescent="0.25">
      <c r="A51" s="115" t="s">
        <v>67</v>
      </c>
      <c r="B51" s="117">
        <f>U98+V98</f>
        <v>396.19</v>
      </c>
      <c r="C51" s="116">
        <v>1.4999999999999999E-2</v>
      </c>
      <c r="D51" s="117">
        <f>+B51*C51</f>
        <v>5.94285</v>
      </c>
      <c r="E51" s="172">
        <v>0</v>
      </c>
      <c r="F51" s="117">
        <f>D51*E51</f>
        <v>0</v>
      </c>
      <c r="G51" s="117">
        <f t="shared" si="29"/>
        <v>390.24714999999998</v>
      </c>
      <c r="H51" s="173">
        <f t="shared" si="32"/>
        <v>44775</v>
      </c>
      <c r="I51" s="175"/>
      <c r="J51" s="81">
        <f t="shared" si="0"/>
        <v>396.19</v>
      </c>
      <c r="K51" s="80">
        <v>390.25</v>
      </c>
      <c r="L51" s="186">
        <f t="shared" si="31"/>
        <v>-2.8500000000235559E-3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1"/>
        <v>0</v>
      </c>
      <c r="V51" s="189">
        <f t="shared" si="22"/>
        <v>0</v>
      </c>
      <c r="W51" s="189">
        <f t="shared" si="23"/>
        <v>0</v>
      </c>
      <c r="X51" s="189">
        <f t="shared" si="24"/>
        <v>0</v>
      </c>
      <c r="Y51" s="189">
        <f t="shared" si="25"/>
        <v>0</v>
      </c>
      <c r="Z51" s="189">
        <f t="shared" si="26"/>
        <v>0</v>
      </c>
      <c r="AA51" s="189">
        <f t="shared" si="27"/>
        <v>0</v>
      </c>
      <c r="AB51" s="156"/>
    </row>
    <row r="52" spans="1:28" ht="15.75" x14ac:dyDescent="0.25">
      <c r="A52" s="115" t="s">
        <v>117</v>
      </c>
      <c r="B52" s="117">
        <f>T42</f>
        <v>385.20000000000005</v>
      </c>
      <c r="C52" s="116">
        <v>2.5000000000000001E-2</v>
      </c>
      <c r="D52" s="117">
        <f>B52*C52</f>
        <v>9.6300000000000026</v>
      </c>
      <c r="E52" s="172">
        <v>0.05</v>
      </c>
      <c r="F52" s="117">
        <f>(B52/E$10)*E52</f>
        <v>16.603448275862075</v>
      </c>
      <c r="G52" s="117">
        <f>B52-D52-F52</f>
        <v>358.96655172413796</v>
      </c>
      <c r="H52" s="188">
        <f t="shared" si="32"/>
        <v>44775</v>
      </c>
      <c r="I52" s="176">
        <v>385.2</v>
      </c>
      <c r="J52" s="81">
        <f t="shared" si="0"/>
        <v>0</v>
      </c>
      <c r="K52" s="80">
        <v>337.24</v>
      </c>
      <c r="L52" s="186">
        <f>K52-G52</f>
        <v>-21.726551724137948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1"/>
        <v>0</v>
      </c>
      <c r="V52" s="189">
        <f t="shared" si="22"/>
        <v>0</v>
      </c>
      <c r="W52" s="189">
        <f t="shared" si="23"/>
        <v>0</v>
      </c>
      <c r="X52" s="189">
        <f t="shared" si="24"/>
        <v>0</v>
      </c>
      <c r="Y52" s="189">
        <f t="shared" si="25"/>
        <v>0</v>
      </c>
      <c r="Z52" s="189">
        <f t="shared" si="26"/>
        <v>0</v>
      </c>
      <c r="AA52" s="189">
        <f t="shared" si="27"/>
        <v>0</v>
      </c>
      <c r="AB52" s="156"/>
    </row>
    <row r="53" spans="1:28" ht="15.75" x14ac:dyDescent="0.25">
      <c r="A53" s="115" t="s">
        <v>2</v>
      </c>
      <c r="B53" s="117">
        <f>T63</f>
        <v>198.87</v>
      </c>
      <c r="C53" s="116">
        <v>2.5000000000000001E-2</v>
      </c>
      <c r="D53" s="117">
        <f t="shared" ref="D53:D56" si="33">B53*C53</f>
        <v>4.9717500000000001</v>
      </c>
      <c r="E53" s="172">
        <v>0.05</v>
      </c>
      <c r="F53" s="117">
        <f t="shared" ref="F53:F56" si="34">(B53/E$10)*E53</f>
        <v>8.57198275862069</v>
      </c>
      <c r="G53" s="117">
        <f t="shared" ref="G53:G58" si="35">B53-D53-F53</f>
        <v>185.32626724137933</v>
      </c>
      <c r="H53" s="188">
        <f t="shared" si="32"/>
        <v>44775</v>
      </c>
      <c r="I53" s="176">
        <v>198.87</v>
      </c>
      <c r="J53" s="81">
        <f t="shared" si="0"/>
        <v>0</v>
      </c>
      <c r="K53" s="80">
        <v>185.33</v>
      </c>
      <c r="L53" s="186">
        <f t="shared" si="31"/>
        <v>-3.7327586206856722E-3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1"/>
        <v>0</v>
      </c>
      <c r="V53" s="189">
        <f t="shared" si="22"/>
        <v>0</v>
      </c>
      <c r="W53" s="189">
        <f t="shared" si="23"/>
        <v>0</v>
      </c>
      <c r="X53" s="189">
        <f t="shared" si="24"/>
        <v>0</v>
      </c>
      <c r="Y53" s="189">
        <f t="shared" si="25"/>
        <v>0</v>
      </c>
      <c r="Z53" s="189">
        <f t="shared" si="26"/>
        <v>0</v>
      </c>
      <c r="AA53" s="189">
        <f t="shared" si="27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3"/>
        <v>0</v>
      </c>
      <c r="E54" s="172">
        <v>0.05</v>
      </c>
      <c r="F54" s="117">
        <f t="shared" si="34"/>
        <v>0</v>
      </c>
      <c r="G54" s="117">
        <f t="shared" si="35"/>
        <v>0</v>
      </c>
      <c r="H54" s="173">
        <f t="shared" si="32"/>
        <v>44775</v>
      </c>
      <c r="I54" s="176"/>
      <c r="J54" s="81">
        <f t="shared" si="0"/>
        <v>0</v>
      </c>
      <c r="K54" s="80"/>
      <c r="L54" s="186">
        <f t="shared" si="31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1"/>
        <v>0</v>
      </c>
      <c r="V54" s="189">
        <f t="shared" si="22"/>
        <v>0</v>
      </c>
      <c r="W54" s="189">
        <f t="shared" si="23"/>
        <v>0</v>
      </c>
      <c r="X54" s="189">
        <f t="shared" si="24"/>
        <v>0</v>
      </c>
      <c r="Y54" s="189">
        <f t="shared" si="25"/>
        <v>0</v>
      </c>
      <c r="Z54" s="189">
        <f t="shared" si="26"/>
        <v>0</v>
      </c>
      <c r="AA54" s="189">
        <f t="shared" si="27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>B55*C55</f>
        <v>0</v>
      </c>
      <c r="E55" s="172">
        <v>0.05</v>
      </c>
      <c r="F55" s="117">
        <f t="shared" si="34"/>
        <v>0</v>
      </c>
      <c r="G55" s="117">
        <f t="shared" si="35"/>
        <v>0</v>
      </c>
      <c r="H55" s="173">
        <f t="shared" si="32"/>
        <v>44775</v>
      </c>
      <c r="I55" s="176"/>
      <c r="J55" s="81">
        <f t="shared" si="0"/>
        <v>0</v>
      </c>
      <c r="K55" s="80"/>
      <c r="L55" s="186">
        <f t="shared" si="31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1"/>
        <v>0</v>
      </c>
      <c r="V55" s="189">
        <f t="shared" si="22"/>
        <v>0</v>
      </c>
      <c r="W55" s="189">
        <f t="shared" si="23"/>
        <v>0</v>
      </c>
      <c r="X55" s="189">
        <f t="shared" si="24"/>
        <v>0</v>
      </c>
      <c r="Y55" s="189">
        <f t="shared" si="25"/>
        <v>0</v>
      </c>
      <c r="Z55" s="189">
        <f t="shared" si="26"/>
        <v>0</v>
      </c>
      <c r="AA55" s="189">
        <f t="shared" si="27"/>
        <v>0</v>
      </c>
      <c r="AB55" s="156"/>
    </row>
    <row r="56" spans="1:28" ht="15.75" x14ac:dyDescent="0.25">
      <c r="A56" s="115" t="s">
        <v>175</v>
      </c>
      <c r="B56" s="117">
        <f>T75</f>
        <v>0</v>
      </c>
      <c r="C56" s="116">
        <v>2.5000000000000001E-2</v>
      </c>
      <c r="D56" s="117">
        <f t="shared" si="33"/>
        <v>0</v>
      </c>
      <c r="E56" s="172">
        <v>0.05</v>
      </c>
      <c r="F56" s="117">
        <f t="shared" si="34"/>
        <v>0</v>
      </c>
      <c r="G56" s="117">
        <f t="shared" si="35"/>
        <v>0</v>
      </c>
      <c r="H56" s="173">
        <f t="shared" si="32"/>
        <v>44775</v>
      </c>
      <c r="I56" s="176"/>
      <c r="J56" s="81">
        <f t="shared" si="0"/>
        <v>0</v>
      </c>
      <c r="K56" s="80"/>
      <c r="L56" s="186">
        <f t="shared" si="31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1"/>
        <v>0</v>
      </c>
      <c r="V56" s="189">
        <f t="shared" si="22"/>
        <v>0</v>
      </c>
      <c r="W56" s="189">
        <f t="shared" si="23"/>
        <v>0</v>
      </c>
      <c r="X56" s="189">
        <f t="shared" si="24"/>
        <v>0</v>
      </c>
      <c r="Y56" s="189">
        <f t="shared" si="25"/>
        <v>0</v>
      </c>
      <c r="Z56" s="189">
        <f t="shared" si="26"/>
        <v>0</v>
      </c>
      <c r="AA56" s="189">
        <f t="shared" si="27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5"/>
        <v>0</v>
      </c>
      <c r="H57" s="173">
        <f>B6+3</f>
        <v>44777</v>
      </c>
      <c r="I57" s="175"/>
      <c r="J57" s="81">
        <f t="shared" si="0"/>
        <v>0</v>
      </c>
      <c r="K57" s="80"/>
      <c r="L57" s="186">
        <f t="shared" si="31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1"/>
        <v>0</v>
      </c>
      <c r="V57" s="189">
        <f t="shared" si="22"/>
        <v>0</v>
      </c>
      <c r="W57" s="189">
        <f t="shared" si="23"/>
        <v>0</v>
      </c>
      <c r="X57" s="189">
        <f t="shared" si="24"/>
        <v>0</v>
      </c>
      <c r="Y57" s="189">
        <f t="shared" si="25"/>
        <v>0</v>
      </c>
      <c r="Z57" s="189">
        <f t="shared" si="26"/>
        <v>0</v>
      </c>
      <c r="AA57" s="189">
        <f t="shared" si="27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5"/>
        <v>0</v>
      </c>
      <c r="H58" s="173">
        <f>B$6+5</f>
        <v>44779</v>
      </c>
      <c r="I58" s="175"/>
      <c r="J58" s="81">
        <f t="shared" si="0"/>
        <v>0</v>
      </c>
      <c r="K58" s="80"/>
      <c r="L58" s="186">
        <f t="shared" si="31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1"/>
        <v>0</v>
      </c>
      <c r="V58" s="189">
        <f t="shared" si="22"/>
        <v>0</v>
      </c>
      <c r="W58" s="189">
        <f t="shared" si="23"/>
        <v>0</v>
      </c>
      <c r="X58" s="189">
        <f t="shared" si="24"/>
        <v>0</v>
      </c>
      <c r="Y58" s="189">
        <f t="shared" si="25"/>
        <v>0</v>
      </c>
      <c r="Z58" s="189">
        <f t="shared" si="26"/>
        <v>0</v>
      </c>
      <c r="AA58" s="189">
        <f t="shared" si="27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1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1"/>
        <v>0</v>
      </c>
      <c r="V59" s="189">
        <f t="shared" si="22"/>
        <v>0</v>
      </c>
      <c r="W59" s="189">
        <f t="shared" si="23"/>
        <v>0</v>
      </c>
      <c r="X59" s="189">
        <f t="shared" si="24"/>
        <v>0</v>
      </c>
      <c r="Y59" s="189">
        <f t="shared" si="25"/>
        <v>0</v>
      </c>
      <c r="Z59" s="189">
        <f t="shared" si="26"/>
        <v>0</v>
      </c>
      <c r="AA59" s="189">
        <f t="shared" si="27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6">B60-D60-F60</f>
        <v>0</v>
      </c>
      <c r="H60" s="173">
        <f>B6+30</f>
        <v>44804</v>
      </c>
      <c r="I60" s="175"/>
      <c r="J60" s="81">
        <f t="shared" si="0"/>
        <v>0</v>
      </c>
      <c r="K60" s="80"/>
      <c r="L60" s="186">
        <f t="shared" si="31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1"/>
        <v>0</v>
      </c>
      <c r="V60" s="189">
        <f t="shared" si="22"/>
        <v>0</v>
      </c>
      <c r="W60" s="189">
        <f t="shared" si="23"/>
        <v>0</v>
      </c>
      <c r="X60" s="189">
        <f t="shared" si="24"/>
        <v>0</v>
      </c>
      <c r="Y60" s="189">
        <f t="shared" si="25"/>
        <v>0</v>
      </c>
      <c r="Z60" s="189">
        <f t="shared" si="26"/>
        <v>0</v>
      </c>
      <c r="AA60" s="189">
        <f t="shared" si="27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126.65182499999999</v>
      </c>
      <c r="E61" s="177"/>
      <c r="F61" s="57">
        <f>SUM(F46:F58)</f>
        <v>25.175431034482763</v>
      </c>
      <c r="G61" s="57">
        <f>SUM(G46:G58)</f>
        <v>14837.772743965514</v>
      </c>
      <c r="H61" s="173">
        <f t="shared" si="32"/>
        <v>44775</v>
      </c>
      <c r="I61" s="175"/>
      <c r="J61" s="81">
        <f t="shared" si="0"/>
        <v>0</v>
      </c>
      <c r="K61" s="80"/>
      <c r="L61" s="186">
        <f t="shared" si="31"/>
        <v>14837.772743965514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1"/>
        <v>0</v>
      </c>
      <c r="V61" s="189">
        <f t="shared" si="22"/>
        <v>0</v>
      </c>
      <c r="W61" s="189">
        <f t="shared" si="23"/>
        <v>0</v>
      </c>
      <c r="X61" s="189">
        <f t="shared" si="24"/>
        <v>0</v>
      </c>
      <c r="Y61" s="189">
        <f t="shared" si="25"/>
        <v>0</v>
      </c>
      <c r="Z61" s="189">
        <f t="shared" si="26"/>
        <v>0</v>
      </c>
      <c r="AA61" s="189">
        <f t="shared" si="27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44775</v>
      </c>
      <c r="I62" s="176"/>
      <c r="J62" s="81">
        <f t="shared" si="0"/>
        <v>0</v>
      </c>
      <c r="K62" s="80"/>
      <c r="L62" s="186">
        <f t="shared" si="31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1"/>
        <v>0</v>
      </c>
      <c r="V62" s="189">
        <f t="shared" si="22"/>
        <v>0</v>
      </c>
      <c r="W62" s="189">
        <f t="shared" si="23"/>
        <v>0</v>
      </c>
      <c r="X62" s="189">
        <f t="shared" si="24"/>
        <v>0</v>
      </c>
      <c r="Y62" s="189">
        <f t="shared" si="25"/>
        <v>0</v>
      </c>
      <c r="Z62" s="189">
        <f t="shared" si="26"/>
        <v>0</v>
      </c>
      <c r="AA62" s="189">
        <f t="shared" si="27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2" t="s">
        <v>107</v>
      </c>
      <c r="O63" s="312"/>
      <c r="P63" s="312"/>
      <c r="Q63" s="312"/>
      <c r="R63" s="191">
        <f>SUM(R43:R62)</f>
        <v>1557.6799999999998</v>
      </c>
      <c r="S63" s="191">
        <f>SUM(S43:S62)</f>
        <v>0</v>
      </c>
      <c r="T63" s="191">
        <f>SUM(T43:T62)</f>
        <v>198.87</v>
      </c>
      <c r="U63" s="191">
        <f t="shared" ref="U63:W63" si="37">SUM(U43:U62)</f>
        <v>8.57198275862069</v>
      </c>
      <c r="V63" s="191">
        <f t="shared" si="37"/>
        <v>11.682599999999999</v>
      </c>
      <c r="W63" s="191">
        <f t="shared" si="37"/>
        <v>0</v>
      </c>
      <c r="X63" s="191">
        <f t="shared" ref="X63" si="38">SUM(X43:X62)</f>
        <v>4.9717500000000001</v>
      </c>
      <c r="Y63" s="191">
        <f>SUM(Y43:Y62)</f>
        <v>1545.9974</v>
      </c>
      <c r="Z63" s="191">
        <f t="shared" ref="Z63:AA63" si="39">SUM(Z43:Z62)</f>
        <v>0</v>
      </c>
      <c r="AA63" s="191">
        <f t="shared" si="39"/>
        <v>185.3262672413793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29675.545487931027</v>
      </c>
      <c r="H64" s="184"/>
      <c r="I64" s="175"/>
      <c r="J64" s="81">
        <f t="shared" si="0"/>
        <v>0</v>
      </c>
      <c r="K64" s="80"/>
      <c r="L64" s="186">
        <f t="shared" si="31"/>
        <v>29675.545487931027</v>
      </c>
      <c r="M64" s="130"/>
      <c r="N64" s="87">
        <v>1</v>
      </c>
      <c r="O64" s="122" t="s">
        <v>233</v>
      </c>
      <c r="P64" s="225"/>
      <c r="Q64" s="225">
        <v>5792</v>
      </c>
      <c r="R64" s="225">
        <v>14.84</v>
      </c>
      <c r="S64" s="225"/>
      <c r="T64" s="87"/>
      <c r="U64" s="189">
        <f t="shared" ref="U64" si="40">((T64/U$10)*U$9)</f>
        <v>0</v>
      </c>
      <c r="V64" s="189">
        <f t="shared" ref="V64" si="41">R64*V$10</f>
        <v>0.1113</v>
      </c>
      <c r="W64" s="189">
        <f t="shared" ref="W64" si="42">+S64*V$10</f>
        <v>0</v>
      </c>
      <c r="X64" s="189">
        <f t="shared" ref="X64" si="43">+T64*X$10</f>
        <v>0</v>
      </c>
      <c r="Y64" s="189">
        <f t="shared" ref="Y64" si="44">R64-V64</f>
        <v>14.7287</v>
      </c>
      <c r="Z64" s="189">
        <f t="shared" ref="Z64" si="45">S64-W64</f>
        <v>0</v>
      </c>
      <c r="AA64" s="189">
        <f t="shared" ref="AA64" si="46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25834.0772</v>
      </c>
      <c r="G65" s="22"/>
      <c r="L65" s="132"/>
      <c r="M65" s="131"/>
      <c r="N65" s="87">
        <v>2</v>
      </c>
      <c r="O65" s="122" t="s">
        <v>233</v>
      </c>
      <c r="P65" s="225"/>
      <c r="Q65" s="225">
        <v>3421</v>
      </c>
      <c r="R65" s="240">
        <v>58.8</v>
      </c>
      <c r="S65" s="225"/>
      <c r="T65" s="87"/>
      <c r="U65" s="189">
        <f t="shared" ref="U65:U68" si="47">((T65/U$10)*U$9)</f>
        <v>0</v>
      </c>
      <c r="V65" s="189">
        <f t="shared" ref="V65:V68" si="48">R65*V$10</f>
        <v>0.44099999999999995</v>
      </c>
      <c r="W65" s="189">
        <f t="shared" ref="W65:W68" si="49">+S65*V$10</f>
        <v>0</v>
      </c>
      <c r="X65" s="189">
        <f t="shared" ref="X65:X68" si="50">+T65*X$10</f>
        <v>0</v>
      </c>
      <c r="Y65" s="189">
        <f t="shared" ref="Y65:Y68" si="51">R65-V65</f>
        <v>58.358999999999995</v>
      </c>
      <c r="Z65" s="189">
        <f t="shared" ref="Z65:Z68" si="52">S65-W65</f>
        <v>0</v>
      </c>
      <c r="AA65" s="189">
        <f t="shared" ref="AA65:AA68" si="53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233</v>
      </c>
      <c r="P66" s="225"/>
      <c r="Q66" s="225">
        <v>7291</v>
      </c>
      <c r="R66" s="225">
        <v>64.650000000000006</v>
      </c>
      <c r="S66" s="225"/>
      <c r="T66" s="87"/>
      <c r="U66" s="189">
        <f t="shared" si="47"/>
        <v>0</v>
      </c>
      <c r="V66" s="189">
        <f t="shared" si="48"/>
        <v>0.484875</v>
      </c>
      <c r="W66" s="189">
        <f t="shared" si="49"/>
        <v>0</v>
      </c>
      <c r="X66" s="189">
        <f t="shared" si="50"/>
        <v>0</v>
      </c>
      <c r="Y66" s="189">
        <f t="shared" si="51"/>
        <v>64.165125000000003</v>
      </c>
      <c r="Z66" s="189">
        <f t="shared" si="52"/>
        <v>0</v>
      </c>
      <c r="AA66" s="189">
        <f t="shared" si="53"/>
        <v>0</v>
      </c>
      <c r="AB66" s="87"/>
    </row>
    <row r="67" spans="1:30" ht="15.75" x14ac:dyDescent="0.25">
      <c r="A67" s="329" t="s">
        <v>19</v>
      </c>
      <c r="B67" s="330"/>
      <c r="F67" s="331" t="s">
        <v>134</v>
      </c>
      <c r="G67" s="331"/>
      <c r="H67" s="331"/>
      <c r="I67" s="332" t="s">
        <v>136</v>
      </c>
      <c r="J67" s="333"/>
      <c r="K67" s="138"/>
      <c r="L67" s="265"/>
      <c r="N67" s="87">
        <v>4</v>
      </c>
      <c r="O67" s="122" t="s">
        <v>233</v>
      </c>
      <c r="P67" s="225"/>
      <c r="Q67" s="225"/>
      <c r="R67" s="225"/>
      <c r="S67" s="225"/>
      <c r="T67" s="87"/>
      <c r="U67" s="189">
        <f t="shared" si="47"/>
        <v>0</v>
      </c>
      <c r="V67" s="189">
        <f t="shared" si="48"/>
        <v>0</v>
      </c>
      <c r="W67" s="189">
        <f t="shared" si="49"/>
        <v>0</v>
      </c>
      <c r="X67" s="189">
        <f t="shared" si="50"/>
        <v>0</v>
      </c>
      <c r="Y67" s="189">
        <f t="shared" si="51"/>
        <v>0</v>
      </c>
      <c r="Z67" s="189">
        <f t="shared" si="52"/>
        <v>0</v>
      </c>
      <c r="AA67" s="189">
        <f t="shared" si="53"/>
        <v>0</v>
      </c>
      <c r="AB67" s="87"/>
    </row>
    <row r="68" spans="1:30" ht="15.75" x14ac:dyDescent="0.25">
      <c r="A68" s="23" t="s">
        <v>18</v>
      </c>
      <c r="B68" s="77">
        <v>25634.03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233</v>
      </c>
      <c r="P68" s="225"/>
      <c r="Q68" s="225"/>
      <c r="R68" s="225"/>
      <c r="S68" s="225"/>
      <c r="T68" s="87"/>
      <c r="U68" s="189">
        <f t="shared" si="47"/>
        <v>0</v>
      </c>
      <c r="V68" s="189">
        <f t="shared" si="48"/>
        <v>0</v>
      </c>
      <c r="W68" s="189">
        <f t="shared" si="49"/>
        <v>0</v>
      </c>
      <c r="X68" s="189">
        <f t="shared" si="50"/>
        <v>0</v>
      </c>
      <c r="Y68" s="189">
        <f t="shared" si="51"/>
        <v>0</v>
      </c>
      <c r="Z68" s="189">
        <f t="shared" si="52"/>
        <v>0</v>
      </c>
      <c r="AA68" s="189">
        <f t="shared" si="53"/>
        <v>0</v>
      </c>
      <c r="AB68" s="87"/>
    </row>
    <row r="69" spans="1:30" ht="16.5" thickBot="1" x14ac:dyDescent="0.3">
      <c r="A69" s="24" t="s">
        <v>5</v>
      </c>
      <c r="B69" s="62">
        <v>25377.360000000001</v>
      </c>
      <c r="C69" s="59"/>
      <c r="F69" s="87" t="s">
        <v>127</v>
      </c>
      <c r="G69" s="22"/>
      <c r="H69" s="89"/>
      <c r="I69" s="136"/>
      <c r="J69" s="136">
        <f>K52</f>
        <v>337.24</v>
      </c>
      <c r="N69" s="312" t="s">
        <v>108</v>
      </c>
      <c r="O69" s="312"/>
      <c r="P69" s="313"/>
      <c r="Q69" s="313"/>
      <c r="R69" s="192">
        <f>SUM(R64:R68)</f>
        <v>138.29000000000002</v>
      </c>
      <c r="S69" s="123"/>
      <c r="T69" s="192">
        <f>SUM(T64:T68)</f>
        <v>0</v>
      </c>
      <c r="U69" s="192">
        <f>SUM(U64:U68)</f>
        <v>0</v>
      </c>
      <c r="V69" s="192">
        <f t="shared" ref="V69:AA69" si="54">SUM(V64:V68)</f>
        <v>1.037175</v>
      </c>
      <c r="W69" s="192">
        <f t="shared" si="54"/>
        <v>0</v>
      </c>
      <c r="X69" s="192">
        <f t="shared" si="54"/>
        <v>0</v>
      </c>
      <c r="Y69" s="192">
        <f t="shared" si="54"/>
        <v>137.252825</v>
      </c>
      <c r="Z69" s="192">
        <f t="shared" si="54"/>
        <v>0</v>
      </c>
      <c r="AA69" s="193">
        <f t="shared" si="5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256.66999999999825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197</v>
      </c>
      <c r="P70" s="225"/>
      <c r="Q70" s="225">
        <v>189</v>
      </c>
      <c r="R70" s="221">
        <v>923.66</v>
      </c>
      <c r="S70" s="225"/>
      <c r="T70" s="225"/>
      <c r="U70" s="189">
        <f t="shared" ref="U70:U74" si="55">((T70/U$10)*U$9)</f>
        <v>0</v>
      </c>
      <c r="V70" s="189">
        <f t="shared" ref="V70:V74" si="56">R70*V$10</f>
        <v>6.9274499999999994</v>
      </c>
      <c r="W70" s="189">
        <f t="shared" ref="W70:W74" si="57">+S70*V$10</f>
        <v>0</v>
      </c>
      <c r="X70" s="189">
        <f t="shared" ref="X70:X74" si="58">+T70*X$10</f>
        <v>0</v>
      </c>
      <c r="Y70" s="189">
        <f t="shared" ref="Y70:Y74" si="59">R70-V70</f>
        <v>916.73254999999995</v>
      </c>
      <c r="Z70" s="189">
        <f t="shared" ref="Z70:Z74" si="60">S70-W70</f>
        <v>0</v>
      </c>
      <c r="AA70" s="189">
        <f t="shared" ref="AA70:AA74" si="61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200.04720000000088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337.24</v>
      </c>
      <c r="N71" s="87">
        <v>2</v>
      </c>
      <c r="O71" s="122" t="s">
        <v>197</v>
      </c>
      <c r="P71" s="225"/>
      <c r="Q71" s="225">
        <v>39</v>
      </c>
      <c r="R71" s="221">
        <v>467.66</v>
      </c>
      <c r="S71" s="225"/>
      <c r="T71" s="225"/>
      <c r="U71" s="189">
        <f t="shared" si="55"/>
        <v>0</v>
      </c>
      <c r="V71" s="189">
        <f t="shared" si="56"/>
        <v>3.50745</v>
      </c>
      <c r="W71" s="189">
        <f t="shared" si="57"/>
        <v>0</v>
      </c>
      <c r="X71" s="189">
        <f t="shared" si="58"/>
        <v>0</v>
      </c>
      <c r="Y71" s="189">
        <f t="shared" si="59"/>
        <v>464.15255000000002</v>
      </c>
      <c r="Z71" s="189">
        <f t="shared" si="60"/>
        <v>0</v>
      </c>
      <c r="AA71" s="189">
        <f t="shared" si="61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197</v>
      </c>
      <c r="P72" s="225"/>
      <c r="Q72" s="225">
        <v>40</v>
      </c>
      <c r="R72" s="221">
        <v>36.89</v>
      </c>
      <c r="S72" s="225"/>
      <c r="T72" s="225"/>
      <c r="U72" s="189">
        <f t="shared" si="55"/>
        <v>0</v>
      </c>
      <c r="V72" s="189">
        <f t="shared" si="56"/>
        <v>0.276675</v>
      </c>
      <c r="W72" s="189">
        <f t="shared" si="57"/>
        <v>0</v>
      </c>
      <c r="X72" s="189">
        <f t="shared" si="58"/>
        <v>0</v>
      </c>
      <c r="Y72" s="189">
        <f t="shared" si="59"/>
        <v>36.613325000000003</v>
      </c>
      <c r="Z72" s="189">
        <f t="shared" si="60"/>
        <v>0</v>
      </c>
      <c r="AA72" s="189">
        <f t="shared" si="61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197</v>
      </c>
      <c r="P73" s="225"/>
      <c r="Q73" s="225">
        <v>194</v>
      </c>
      <c r="R73" s="221">
        <v>144.59</v>
      </c>
      <c r="S73" s="225"/>
      <c r="T73" s="225"/>
      <c r="U73" s="189">
        <f t="shared" si="55"/>
        <v>0</v>
      </c>
      <c r="V73" s="189">
        <f t="shared" si="56"/>
        <v>1.084425</v>
      </c>
      <c r="W73" s="189">
        <f t="shared" si="57"/>
        <v>0</v>
      </c>
      <c r="X73" s="189">
        <f t="shared" si="58"/>
        <v>0</v>
      </c>
      <c r="Y73" s="189">
        <f t="shared" si="59"/>
        <v>143.50557499999999</v>
      </c>
      <c r="Z73" s="189">
        <f t="shared" si="60"/>
        <v>0</v>
      </c>
      <c r="AA73" s="189">
        <f t="shared" si="61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2">+H69+H70+H71+H72+H73</f>
        <v>0</v>
      </c>
      <c r="N74" s="87">
        <v>5</v>
      </c>
      <c r="O74" s="122"/>
      <c r="P74" s="225"/>
      <c r="Q74" s="225"/>
      <c r="R74" s="221"/>
      <c r="S74" s="225"/>
      <c r="T74" s="225"/>
      <c r="U74" s="189">
        <f t="shared" si="55"/>
        <v>0</v>
      </c>
      <c r="V74" s="189">
        <f t="shared" si="56"/>
        <v>0</v>
      </c>
      <c r="W74" s="189">
        <f t="shared" si="57"/>
        <v>0</v>
      </c>
      <c r="X74" s="189">
        <f t="shared" si="58"/>
        <v>0</v>
      </c>
      <c r="Y74" s="189">
        <f t="shared" si="59"/>
        <v>0</v>
      </c>
      <c r="Z74" s="189">
        <f t="shared" si="60"/>
        <v>0</v>
      </c>
      <c r="AA74" s="189">
        <f t="shared" si="61"/>
        <v>0</v>
      </c>
      <c r="AB74" s="87"/>
    </row>
    <row r="75" spans="1:30" ht="15.75" x14ac:dyDescent="0.25">
      <c r="N75" s="312" t="s">
        <v>126</v>
      </c>
      <c r="O75" s="312"/>
      <c r="P75" s="313"/>
      <c r="Q75" s="313"/>
      <c r="R75" s="192">
        <f>SUM(R70:R74)</f>
        <v>1572.8</v>
      </c>
      <c r="S75" s="192"/>
      <c r="T75" s="192">
        <f>SUM(T70:T74)</f>
        <v>0</v>
      </c>
      <c r="U75" s="192">
        <f>SUM(U70:U74)</f>
        <v>0</v>
      </c>
      <c r="V75" s="192">
        <f t="shared" ref="V75" si="63">SUM(V70:V74)</f>
        <v>11.795999999999999</v>
      </c>
      <c r="W75" s="192">
        <f t="shared" ref="W75" si="64">SUM(W70:W74)</f>
        <v>0</v>
      </c>
      <c r="X75" s="192">
        <f t="shared" ref="X75" si="65">SUM(X70:X74)</f>
        <v>0</v>
      </c>
      <c r="Y75" s="192">
        <f t="shared" ref="Y75" si="66">SUM(Y70:Y74)</f>
        <v>1561.0039999999999</v>
      </c>
      <c r="Z75" s="192">
        <f t="shared" ref="Z75" si="67">SUM(Z70:Z74)</f>
        <v>0</v>
      </c>
      <c r="AA75" s="193">
        <f t="shared" ref="AA75" si="68">SUM(AA70:AA74)</f>
        <v>0</v>
      </c>
      <c r="AB75" s="103"/>
    </row>
    <row r="76" spans="1:30" ht="15.75" x14ac:dyDescent="0.25">
      <c r="N76" s="314" t="s">
        <v>71</v>
      </c>
      <c r="O76" s="316" t="s">
        <v>66</v>
      </c>
      <c r="P76" s="312" t="s">
        <v>61</v>
      </c>
      <c r="Q76" s="312"/>
      <c r="R76" s="312"/>
      <c r="S76" s="312"/>
      <c r="T76" s="312"/>
      <c r="U76" s="318" t="s">
        <v>67</v>
      </c>
      <c r="V76" s="319"/>
      <c r="W76" s="319"/>
      <c r="X76" s="319"/>
      <c r="Y76" s="320"/>
      <c r="Z76" s="309" t="s">
        <v>53</v>
      </c>
      <c r="AA76" s="309" t="s">
        <v>63</v>
      </c>
      <c r="AB76" s="309" t="s">
        <v>122</v>
      </c>
      <c r="AC76" s="310" t="s">
        <v>125</v>
      </c>
      <c r="AD76" s="311" t="s">
        <v>64</v>
      </c>
    </row>
    <row r="77" spans="1:30" ht="60" x14ac:dyDescent="0.25">
      <c r="F77" s="321" t="s">
        <v>138</v>
      </c>
      <c r="G77" s="322"/>
      <c r="H77" s="141" t="s">
        <v>140</v>
      </c>
      <c r="N77" s="315"/>
      <c r="O77" s="317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309"/>
      <c r="AA77" s="309"/>
      <c r="AB77" s="309"/>
      <c r="AC77" s="310" t="s">
        <v>125</v>
      </c>
      <c r="AD77" s="311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145.82+334.34+151.27</f>
        <v>631.42999999999995</v>
      </c>
      <c r="R78" s="82">
        <v>7.4999999999999997E-3</v>
      </c>
      <c r="S78" s="194">
        <f>+(P78+Q78)*R78</f>
        <v>4.7357249999999995</v>
      </c>
      <c r="T78" s="235">
        <f>+(P78+Q78)-S78</f>
        <v>626.69427499999995</v>
      </c>
      <c r="U78" s="112">
        <f>98.58+104.86</f>
        <v>203.44</v>
      </c>
      <c r="V78" s="112"/>
      <c r="W78" s="113">
        <v>1.4999999999999999E-2</v>
      </c>
      <c r="X78" s="196">
        <f>+(U78+V78)*W78</f>
        <v>3.0515999999999996</v>
      </c>
      <c r="Y78" s="235">
        <f>+(U78+V78)-X78</f>
        <v>200.38839999999999</v>
      </c>
      <c r="Z78" s="87"/>
      <c r="AA78" s="189">
        <f t="shared" ref="AA78:AA97" si="69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137">
        <f>11.55+136.6</f>
        <v>148.15</v>
      </c>
      <c r="R79" s="82">
        <v>7.4999999999999997E-3</v>
      </c>
      <c r="S79" s="194">
        <f t="shared" ref="S79:S97" si="70">+(P79+Q79)*R79</f>
        <v>1.1111249999999999</v>
      </c>
      <c r="T79" s="235">
        <f t="shared" ref="T79:T97" si="71">+(P79+Q79)-S79</f>
        <v>147.03887500000002</v>
      </c>
      <c r="U79" s="211">
        <v>30.21</v>
      </c>
      <c r="V79" s="112"/>
      <c r="W79" s="113">
        <v>1.4999999999999999E-2</v>
      </c>
      <c r="X79" s="196">
        <f t="shared" ref="X79:X97" si="72">+(U79+V79)*W79</f>
        <v>0.45315</v>
      </c>
      <c r="Y79" s="235">
        <f t="shared" ref="Y79:Y97" si="73">+(U79+V79)-X79</f>
        <v>29.75685</v>
      </c>
      <c r="Z79" s="87"/>
      <c r="AA79" s="189">
        <f t="shared" si="69"/>
        <v>0</v>
      </c>
      <c r="AB79" s="189">
        <f t="shared" ref="AB79:AB97" si="74">+Z79*X$10</f>
        <v>0</v>
      </c>
      <c r="AC79" s="189">
        <f t="shared" ref="AC79:AC97" si="75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>
        <f>317.44+13.99</f>
        <v>331.43</v>
      </c>
      <c r="R80" s="82">
        <v>7.4999999999999997E-3</v>
      </c>
      <c r="S80" s="194">
        <f t="shared" si="70"/>
        <v>2.485725</v>
      </c>
      <c r="T80" s="235">
        <f t="shared" si="71"/>
        <v>328.944275</v>
      </c>
      <c r="U80" s="211">
        <f>88.52</f>
        <v>88.52</v>
      </c>
      <c r="V80" s="112"/>
      <c r="W80" s="113">
        <v>1.4999999999999999E-2</v>
      </c>
      <c r="X80" s="196">
        <f t="shared" si="72"/>
        <v>1.3277999999999999</v>
      </c>
      <c r="Y80" s="235">
        <f t="shared" si="73"/>
        <v>87.1922</v>
      </c>
      <c r="Z80" s="87"/>
      <c r="AA80" s="189">
        <f t="shared" si="69"/>
        <v>0</v>
      </c>
      <c r="AB80" s="189">
        <f t="shared" si="74"/>
        <v>0</v>
      </c>
      <c r="AC80" s="189">
        <f t="shared" si="75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>
        <f>29</f>
        <v>29</v>
      </c>
      <c r="R81" s="82">
        <v>7.4999999999999997E-3</v>
      </c>
      <c r="S81" s="194">
        <f t="shared" si="70"/>
        <v>0.2175</v>
      </c>
      <c r="T81" s="235">
        <f t="shared" si="71"/>
        <v>28.782499999999999</v>
      </c>
      <c r="U81" s="211"/>
      <c r="V81" s="112"/>
      <c r="W81" s="113">
        <v>1.4999999999999999E-2</v>
      </c>
      <c r="X81" s="196">
        <f t="shared" si="72"/>
        <v>0</v>
      </c>
      <c r="Y81" s="254">
        <f t="shared" si="73"/>
        <v>0</v>
      </c>
      <c r="Z81" s="87"/>
      <c r="AA81" s="189">
        <f t="shared" si="69"/>
        <v>0</v>
      </c>
      <c r="AB81" s="189">
        <f t="shared" si="74"/>
        <v>0</v>
      </c>
      <c r="AC81" s="189">
        <f t="shared" si="75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87"/>
      <c r="Q82" s="137">
        <f>233.01+35.41</f>
        <v>268.41999999999996</v>
      </c>
      <c r="R82" s="82">
        <v>7.4999999999999997E-3</v>
      </c>
      <c r="S82" s="194">
        <f t="shared" si="70"/>
        <v>2.0131499999999996</v>
      </c>
      <c r="T82" s="235">
        <f t="shared" si="71"/>
        <v>266.40684999999996</v>
      </c>
      <c r="U82" s="211">
        <f>74.02</f>
        <v>74.02</v>
      </c>
      <c r="V82" s="112"/>
      <c r="W82" s="113">
        <v>1.4999999999999999E-2</v>
      </c>
      <c r="X82" s="196">
        <f t="shared" si="72"/>
        <v>1.1102999999999998</v>
      </c>
      <c r="Y82" s="235">
        <f t="shared" si="73"/>
        <v>72.909700000000001</v>
      </c>
      <c r="Z82" s="87"/>
      <c r="AA82" s="189">
        <f t="shared" si="69"/>
        <v>0</v>
      </c>
      <c r="AB82" s="189">
        <f t="shared" si="74"/>
        <v>0</v>
      </c>
      <c r="AC82" s="189">
        <f t="shared" si="75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70"/>
        <v>0</v>
      </c>
      <c r="T83" s="254">
        <f t="shared" si="71"/>
        <v>0</v>
      </c>
      <c r="U83" s="211"/>
      <c r="V83" s="112"/>
      <c r="W83" s="113">
        <v>1.4999999999999999E-2</v>
      </c>
      <c r="X83" s="196">
        <f t="shared" si="72"/>
        <v>0</v>
      </c>
      <c r="Y83" s="234">
        <f t="shared" si="73"/>
        <v>0</v>
      </c>
      <c r="Z83" s="87"/>
      <c r="AA83" s="189">
        <f t="shared" si="69"/>
        <v>0</v>
      </c>
      <c r="AB83" s="189">
        <f t="shared" si="74"/>
        <v>0</v>
      </c>
      <c r="AC83" s="189">
        <f t="shared" si="75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70"/>
        <v>0</v>
      </c>
      <c r="T84" s="219">
        <f t="shared" si="71"/>
        <v>0</v>
      </c>
      <c r="U84" s="211"/>
      <c r="V84" s="112"/>
      <c r="W84" s="113">
        <v>1.4999999999999999E-2</v>
      </c>
      <c r="X84" s="196">
        <f t="shared" si="72"/>
        <v>0</v>
      </c>
      <c r="Y84" s="254">
        <f t="shared" si="73"/>
        <v>0</v>
      </c>
      <c r="Z84" s="87"/>
      <c r="AA84" s="189">
        <f t="shared" si="69"/>
        <v>0</v>
      </c>
      <c r="AB84" s="189">
        <f t="shared" si="74"/>
        <v>0</v>
      </c>
      <c r="AC84" s="189">
        <f t="shared" si="75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70"/>
        <v>0</v>
      </c>
      <c r="T85" s="254">
        <f t="shared" si="71"/>
        <v>0</v>
      </c>
      <c r="U85" s="112"/>
      <c r="V85" s="112"/>
      <c r="W85" s="113">
        <v>1.4999999999999999E-2</v>
      </c>
      <c r="X85" s="196">
        <f t="shared" si="72"/>
        <v>0</v>
      </c>
      <c r="Y85" s="217">
        <f t="shared" si="73"/>
        <v>0</v>
      </c>
      <c r="Z85" s="87"/>
      <c r="AA85" s="189">
        <f t="shared" si="69"/>
        <v>0</v>
      </c>
      <c r="AB85" s="189">
        <f t="shared" si="74"/>
        <v>0</v>
      </c>
      <c r="AC85" s="189">
        <f t="shared" si="75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70"/>
        <v>0</v>
      </c>
      <c r="T86" s="219">
        <f t="shared" si="71"/>
        <v>0</v>
      </c>
      <c r="U86" s="112"/>
      <c r="V86" s="112"/>
      <c r="W86" s="113">
        <v>1.4999999999999999E-2</v>
      </c>
      <c r="X86" s="196">
        <f t="shared" si="72"/>
        <v>0</v>
      </c>
      <c r="Y86" s="217">
        <f t="shared" si="73"/>
        <v>0</v>
      </c>
      <c r="Z86" s="87"/>
      <c r="AA86" s="189">
        <f t="shared" si="69"/>
        <v>0</v>
      </c>
      <c r="AB86" s="189">
        <f t="shared" si="74"/>
        <v>0</v>
      </c>
      <c r="AC86" s="189">
        <f t="shared" si="75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70"/>
        <v>0</v>
      </c>
      <c r="T87" s="194">
        <f t="shared" si="71"/>
        <v>0</v>
      </c>
      <c r="U87" s="112"/>
      <c r="V87" s="112"/>
      <c r="W87" s="113">
        <v>1.4999999999999999E-2</v>
      </c>
      <c r="X87" s="196">
        <f t="shared" si="72"/>
        <v>0</v>
      </c>
      <c r="Y87" s="217">
        <f t="shared" si="73"/>
        <v>0</v>
      </c>
      <c r="Z87" s="87"/>
      <c r="AA87" s="189">
        <f t="shared" si="69"/>
        <v>0</v>
      </c>
      <c r="AB87" s="189">
        <f t="shared" si="74"/>
        <v>0</v>
      </c>
      <c r="AC87" s="189">
        <f t="shared" si="75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70"/>
        <v>0</v>
      </c>
      <c r="T88" s="194">
        <f t="shared" si="71"/>
        <v>0</v>
      </c>
      <c r="U88" s="112"/>
      <c r="V88" s="112"/>
      <c r="W88" s="113">
        <v>1.4999999999999999E-2</v>
      </c>
      <c r="X88" s="196">
        <f t="shared" si="72"/>
        <v>0</v>
      </c>
      <c r="Y88" s="196">
        <f t="shared" si="73"/>
        <v>0</v>
      </c>
      <c r="Z88" s="87"/>
      <c r="AA88" s="189">
        <f t="shared" si="69"/>
        <v>0</v>
      </c>
      <c r="AB88" s="189">
        <f t="shared" si="74"/>
        <v>0</v>
      </c>
      <c r="AC88" s="189">
        <f t="shared" si="75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70"/>
        <v>0</v>
      </c>
      <c r="T89" s="194">
        <f t="shared" si="71"/>
        <v>0</v>
      </c>
      <c r="U89" s="112"/>
      <c r="V89" s="112"/>
      <c r="W89" s="113">
        <v>1.4999999999999999E-2</v>
      </c>
      <c r="X89" s="196">
        <f t="shared" si="72"/>
        <v>0</v>
      </c>
      <c r="Y89" s="196">
        <f t="shared" si="73"/>
        <v>0</v>
      </c>
      <c r="Z89" s="87"/>
      <c r="AA89" s="189">
        <f t="shared" si="69"/>
        <v>0</v>
      </c>
      <c r="AB89" s="189">
        <f t="shared" si="74"/>
        <v>0</v>
      </c>
      <c r="AC89" s="189">
        <f t="shared" si="75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70"/>
        <v>0</v>
      </c>
      <c r="T90" s="194">
        <f t="shared" si="71"/>
        <v>0</v>
      </c>
      <c r="U90" s="112"/>
      <c r="V90" s="112"/>
      <c r="W90" s="113">
        <v>1.4999999999999999E-2</v>
      </c>
      <c r="X90" s="196">
        <f t="shared" si="72"/>
        <v>0</v>
      </c>
      <c r="Y90" s="196">
        <f t="shared" si="73"/>
        <v>0</v>
      </c>
      <c r="Z90" s="87"/>
      <c r="AA90" s="189">
        <f t="shared" si="69"/>
        <v>0</v>
      </c>
      <c r="AB90" s="189">
        <f t="shared" si="74"/>
        <v>0</v>
      </c>
      <c r="AC90" s="189">
        <f t="shared" si="75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70"/>
        <v>0</v>
      </c>
      <c r="T91" s="194">
        <f t="shared" si="71"/>
        <v>0</v>
      </c>
      <c r="U91" s="112"/>
      <c r="V91" s="112"/>
      <c r="W91" s="113">
        <v>1.4999999999999999E-2</v>
      </c>
      <c r="X91" s="196">
        <f t="shared" si="72"/>
        <v>0</v>
      </c>
      <c r="Y91" s="196">
        <f t="shared" si="73"/>
        <v>0</v>
      </c>
      <c r="Z91" s="87"/>
      <c r="AA91" s="189">
        <f t="shared" si="69"/>
        <v>0</v>
      </c>
      <c r="AB91" s="189">
        <f t="shared" si="74"/>
        <v>0</v>
      </c>
      <c r="AC91" s="189">
        <f t="shared" si="75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70"/>
        <v>0</v>
      </c>
      <c r="T92" s="194">
        <f t="shared" si="71"/>
        <v>0</v>
      </c>
      <c r="U92" s="112"/>
      <c r="V92" s="112"/>
      <c r="W92" s="113">
        <v>1.4999999999999999E-2</v>
      </c>
      <c r="X92" s="196">
        <f t="shared" si="72"/>
        <v>0</v>
      </c>
      <c r="Y92" s="196">
        <f t="shared" si="73"/>
        <v>0</v>
      </c>
      <c r="Z92" s="87"/>
      <c r="AA92" s="189">
        <f t="shared" si="69"/>
        <v>0</v>
      </c>
      <c r="AB92" s="189">
        <f t="shared" si="74"/>
        <v>0</v>
      </c>
      <c r="AC92" s="189">
        <f t="shared" si="75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70"/>
        <v>0</v>
      </c>
      <c r="T93" s="194">
        <f t="shared" si="71"/>
        <v>0</v>
      </c>
      <c r="U93" s="112"/>
      <c r="V93" s="112"/>
      <c r="W93" s="113">
        <v>1.4999999999999999E-2</v>
      </c>
      <c r="X93" s="196">
        <f t="shared" si="72"/>
        <v>0</v>
      </c>
      <c r="Y93" s="196">
        <f t="shared" si="73"/>
        <v>0</v>
      </c>
      <c r="Z93" s="87"/>
      <c r="AA93" s="189">
        <f t="shared" si="69"/>
        <v>0</v>
      </c>
      <c r="AB93" s="189">
        <f t="shared" si="74"/>
        <v>0</v>
      </c>
      <c r="AC93" s="189">
        <f t="shared" si="75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70"/>
        <v>0</v>
      </c>
      <c r="T94" s="194">
        <f t="shared" si="71"/>
        <v>0</v>
      </c>
      <c r="U94" s="211"/>
      <c r="V94" s="112"/>
      <c r="W94" s="113">
        <v>1.4999999999999999E-2</v>
      </c>
      <c r="X94" s="196">
        <f t="shared" si="72"/>
        <v>0</v>
      </c>
      <c r="Y94" s="196">
        <f t="shared" si="73"/>
        <v>0</v>
      </c>
      <c r="Z94" s="87"/>
      <c r="AA94" s="189">
        <f t="shared" si="69"/>
        <v>0</v>
      </c>
      <c r="AB94" s="189">
        <f t="shared" si="74"/>
        <v>0</v>
      </c>
      <c r="AC94" s="189">
        <f t="shared" si="75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70"/>
        <v>0</v>
      </c>
      <c r="T95" s="194">
        <f t="shared" si="71"/>
        <v>0</v>
      </c>
      <c r="U95" s="112"/>
      <c r="V95" s="112"/>
      <c r="W95" s="113">
        <v>1.4999999999999999E-2</v>
      </c>
      <c r="X95" s="196">
        <f t="shared" si="72"/>
        <v>0</v>
      </c>
      <c r="Y95" s="196">
        <f t="shared" si="73"/>
        <v>0</v>
      </c>
      <c r="Z95" s="87"/>
      <c r="AA95" s="189">
        <f t="shared" si="69"/>
        <v>0</v>
      </c>
      <c r="AB95" s="189">
        <f t="shared" si="74"/>
        <v>0</v>
      </c>
      <c r="AC95" s="189">
        <f t="shared" si="75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70"/>
        <v>0</v>
      </c>
      <c r="T96" s="194">
        <f t="shared" si="71"/>
        <v>0</v>
      </c>
      <c r="U96" s="112"/>
      <c r="V96" s="112"/>
      <c r="W96" s="113">
        <v>1.4999999999999999E-2</v>
      </c>
      <c r="X96" s="196">
        <f t="shared" si="72"/>
        <v>0</v>
      </c>
      <c r="Y96" s="196">
        <f t="shared" si="73"/>
        <v>0</v>
      </c>
      <c r="Z96" s="87"/>
      <c r="AA96" s="189">
        <f t="shared" si="69"/>
        <v>0</v>
      </c>
      <c r="AB96" s="189">
        <f t="shared" si="74"/>
        <v>0</v>
      </c>
      <c r="AC96" s="189">
        <f t="shared" si="75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70"/>
        <v>0</v>
      </c>
      <c r="T97" s="194">
        <f t="shared" si="71"/>
        <v>0</v>
      </c>
      <c r="U97" s="112"/>
      <c r="V97" s="112"/>
      <c r="W97" s="113">
        <v>1.4999999999999999E-2</v>
      </c>
      <c r="X97" s="196">
        <f t="shared" si="72"/>
        <v>0</v>
      </c>
      <c r="Y97" s="196">
        <f t="shared" si="73"/>
        <v>0</v>
      </c>
      <c r="Z97" s="87"/>
      <c r="AA97" s="189">
        <f t="shared" si="69"/>
        <v>0</v>
      </c>
      <c r="AB97" s="189">
        <f t="shared" si="74"/>
        <v>0</v>
      </c>
      <c r="AC97" s="189">
        <f t="shared" si="75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1408.4299999999998</v>
      </c>
      <c r="R98" s="111"/>
      <c r="S98" s="195">
        <f>SUM(S78:S97)</f>
        <v>10.563224999999999</v>
      </c>
      <c r="T98" s="195">
        <f>SUM(T78:T97)</f>
        <v>1397.866775</v>
      </c>
      <c r="U98" s="114">
        <f>SUM(U78:U97)</f>
        <v>396.19</v>
      </c>
      <c r="V98" s="114">
        <f>SUM(V78:V97)</f>
        <v>0</v>
      </c>
      <c r="W98" s="112"/>
      <c r="X98" s="197">
        <f>SUM(X78:X97)</f>
        <v>5.9428499999999991</v>
      </c>
      <c r="Y98" s="197">
        <f>SUM(Y78:Y97)</f>
        <v>390.24714999999998</v>
      </c>
      <c r="Z98" s="63">
        <f>SUM(Z78:Z97)</f>
        <v>0</v>
      </c>
      <c r="AA98" s="198">
        <f t="shared" ref="AA98:AB98" si="76">SUM(AA78:AA97)</f>
        <v>0</v>
      </c>
      <c r="AB98" s="198">
        <f t="shared" si="76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834.86999999999989</v>
      </c>
      <c r="Q100" s="84"/>
    </row>
    <row r="101" spans="14:30" x14ac:dyDescent="0.25">
      <c r="N101" s="85"/>
      <c r="O101" s="84"/>
      <c r="P101" s="215">
        <f t="shared" ref="P101:P109" si="77">P79+Q79+U79</f>
        <v>178.36</v>
      </c>
      <c r="Q101" s="84"/>
    </row>
    <row r="102" spans="14:30" x14ac:dyDescent="0.25">
      <c r="N102" s="85"/>
      <c r="O102" s="84"/>
      <c r="P102" s="215">
        <f t="shared" si="77"/>
        <v>419.95</v>
      </c>
      <c r="Q102" s="84"/>
    </row>
    <row r="103" spans="14:30" x14ac:dyDescent="0.25">
      <c r="N103" s="85"/>
      <c r="O103" s="84"/>
      <c r="P103" s="215">
        <f t="shared" ref="P103:P108" si="78">P81+Q81+U81</f>
        <v>29</v>
      </c>
      <c r="Q103" s="84"/>
    </row>
    <row r="104" spans="14:30" x14ac:dyDescent="0.25">
      <c r="N104" s="85"/>
      <c r="O104" s="84"/>
      <c r="P104" s="233">
        <f>P82+Q82+U82</f>
        <v>342.43999999999994</v>
      </c>
      <c r="Q104" s="84"/>
    </row>
    <row r="105" spans="14:30" x14ac:dyDescent="0.25">
      <c r="N105" s="85"/>
      <c r="O105" s="84"/>
      <c r="P105" s="233">
        <f t="shared" si="78"/>
        <v>0</v>
      </c>
      <c r="Q105" s="84"/>
    </row>
    <row r="106" spans="14:30" x14ac:dyDescent="0.25">
      <c r="N106" s="85"/>
      <c r="O106" s="84"/>
      <c r="P106" s="233">
        <f t="shared" si="78"/>
        <v>0</v>
      </c>
      <c r="Q106" s="84"/>
    </row>
    <row r="107" spans="14:30" x14ac:dyDescent="0.25">
      <c r="N107" s="85"/>
      <c r="O107" s="84"/>
      <c r="P107" s="241">
        <f t="shared" si="78"/>
        <v>0</v>
      </c>
      <c r="Q107" s="84"/>
    </row>
    <row r="108" spans="14:30" x14ac:dyDescent="0.25">
      <c r="N108" s="85"/>
      <c r="O108" s="84"/>
      <c r="P108" s="84">
        <f t="shared" si="78"/>
        <v>0</v>
      </c>
      <c r="Q108" s="84"/>
    </row>
    <row r="109" spans="14:30" x14ac:dyDescent="0.25">
      <c r="N109" s="85"/>
      <c r="O109" s="84"/>
      <c r="P109" s="241">
        <f t="shared" si="77"/>
        <v>0</v>
      </c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20" x14ac:dyDescent="0.25">
      <c r="N113" s="85"/>
      <c r="T113" s="85">
        <v>112.07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2021-11-05T17:35:49Z</cp:lastPrinted>
  <dcterms:created xsi:type="dcterms:W3CDTF">2013-07-24T18:56:16Z</dcterms:created>
  <dcterms:modified xsi:type="dcterms:W3CDTF">2022-08-19T19:22:13Z</dcterms:modified>
</cp:coreProperties>
</file>