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comments10.xml" ContentType="application/vnd.openxmlformats-officedocument.spreadsheetml.comments+xml"/>
  <Override PartName="/xl/drawings/drawing19.xml" ContentType="application/vnd.openxmlformats-officedocument.drawing+xml"/>
  <Override PartName="/xl/comments11.xml" ContentType="application/vnd.openxmlformats-officedocument.spreadsheetml.comments+xml"/>
  <Override PartName="/xl/drawings/drawing20.xml" ContentType="application/vnd.openxmlformats-officedocument.drawing+xml"/>
  <Override PartName="/xl/comments12.xml" ContentType="application/vnd.openxmlformats-officedocument.spreadsheetml.comments+xml"/>
  <Override PartName="/xl/drawings/drawing21.xml" ContentType="application/vnd.openxmlformats-officedocument.drawing+xml"/>
  <Override PartName="/xl/comments13.xml" ContentType="application/vnd.openxmlformats-officedocument.spreadsheetml.comments+xml"/>
  <Override PartName="/xl/drawings/drawing22.xml" ContentType="application/vnd.openxmlformats-officedocument.drawing+xml"/>
  <Override PartName="/xl/comments14.xml" ContentType="application/vnd.openxmlformats-officedocument.spreadsheetml.comments+xml"/>
  <Override PartName="/xl/drawings/drawing23.xml" ContentType="application/vnd.openxmlformats-officedocument.drawing+xml"/>
  <Override PartName="/xl/comments15.xml" ContentType="application/vnd.openxmlformats-officedocument.spreadsheetml.comments+xml"/>
  <Override PartName="/xl/drawings/drawing24.xml" ContentType="application/vnd.openxmlformats-officedocument.drawing+xml"/>
  <Override PartName="/xl/comments16.xml" ContentType="application/vnd.openxmlformats-officedocument.spreadsheetml.comments+xml"/>
  <Override PartName="/xl/drawings/drawing25.xml" ContentType="application/vnd.openxmlformats-officedocument.drawing+xml"/>
  <Override PartName="/xl/comments17.xml" ContentType="application/vnd.openxmlformats-officedocument.spreadsheetml.comments+xml"/>
  <Override PartName="/xl/drawings/drawing26.xml" ContentType="application/vnd.openxmlformats-officedocument.drawing+xml"/>
  <Override PartName="/xl/comments18.xml" ContentType="application/vnd.openxmlformats-officedocument.spreadsheetml.comments+xml"/>
  <Override PartName="/xl/drawings/drawing27.xml" ContentType="application/vnd.openxmlformats-officedocument.drawing+xml"/>
  <Override PartName="/xl/comments19.xml" ContentType="application/vnd.openxmlformats-officedocument.spreadsheetml.comments+xml"/>
  <Override PartName="/xl/drawings/drawing28.xml" ContentType="application/vnd.openxmlformats-officedocument.drawing+xml"/>
  <Override PartName="/xl/comments20.xml" ContentType="application/vnd.openxmlformats-officedocument.spreadsheetml.comments+xml"/>
  <Override PartName="/xl/drawings/drawing29.xml" ContentType="application/vnd.openxmlformats-officedocument.drawing+xml"/>
  <Override PartName="/xl/comments21.xml" ContentType="application/vnd.openxmlformats-officedocument.spreadsheetml.comments+xml"/>
  <Override PartName="/xl/drawings/drawing30.xml" ContentType="application/vnd.openxmlformats-officedocument.drawing+xml"/>
  <Override PartName="/xl/comments22.xml" ContentType="application/vnd.openxmlformats-officedocument.spreadsheetml.comments+xml"/>
  <Override PartName="/xl/drawings/drawing31.xml" ContentType="application/vnd.openxmlformats-officedocument.drawing+xml"/>
  <Override PartName="/xl/comments23.xml" ContentType="application/vnd.openxmlformats-officedocument.spreadsheetml.comments+xml"/>
  <Override PartName="/xl/drawings/drawing32.xml" ContentType="application/vnd.openxmlformats-officedocument.drawing+xml"/>
  <Override PartName="/xl/comments24.xml" ContentType="application/vnd.openxmlformats-officedocument.spreadsheetml.comments+xml"/>
  <Override PartName="/xl/drawings/drawing33.xml" ContentType="application/vnd.openxmlformats-officedocument.drawing+xml"/>
  <Override PartName="/xl/comments25.xml" ContentType="application/vnd.openxmlformats-officedocument.spreadsheetml.comments+xml"/>
  <Override PartName="/xl/drawings/drawing34.xml" ContentType="application/vnd.openxmlformats-officedocument.drawing+xml"/>
  <Override PartName="/xl/comments26.xml" ContentType="application/vnd.openxmlformats-officedocument.spreadsheetml.comments+xml"/>
  <Override PartName="/xl/drawings/drawing35.xml" ContentType="application/vnd.openxmlformats-officedocument.drawing+xml"/>
  <Override PartName="/xl/comments27.xml" ContentType="application/vnd.openxmlformats-officedocument.spreadsheetml.comments+xml"/>
  <Override PartName="/xl/drawings/drawing36.xml" ContentType="application/vnd.openxmlformats-officedocument.drawing+xml"/>
  <Override PartName="/xl/comments28.xml" ContentType="application/vnd.openxmlformats-officedocument.spreadsheetml.comments+xml"/>
  <Override PartName="/xl/drawings/drawing37.xml" ContentType="application/vnd.openxmlformats-officedocument.drawing+xml"/>
  <Override PartName="/xl/comments29.xml" ContentType="application/vnd.openxmlformats-officedocument.spreadsheetml.comments+xml"/>
  <Override PartName="/xl/drawings/drawing38.xml" ContentType="application/vnd.openxmlformats-officedocument.drawing+xml"/>
  <Override PartName="/xl/comments30.xml" ContentType="application/vnd.openxmlformats-officedocument.spreadsheetml.comments+xml"/>
  <Override PartName="/xl/drawings/drawing39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NFORME AUDITORIA 2022 KEYLA\LEIBYS CAPOTE\INFORME AUDITORIA ME AGOSTO 2022\"/>
    </mc:Choice>
  </mc:AlternateContent>
  <bookViews>
    <workbookView xWindow="7875" yWindow="-15" windowWidth="7920" windowHeight="10440" tabRatio="599" firstSheet="20" activeTab="20"/>
  </bookViews>
  <sheets>
    <sheet name="RESUMEN GENERAL DE VENTAS" sheetId="77" r:id="rId1"/>
    <sheet name="PROVINCIAL" sheetId="34" r:id="rId2"/>
    <sheet name="BANESCO" sheetId="140" r:id="rId3"/>
    <sheet name="VENEZUELA" sheetId="141" r:id="rId4"/>
    <sheet name="PLAZA" sheetId="142" r:id="rId5"/>
    <sheet name="BANCRECER" sheetId="143" r:id="rId6"/>
    <sheet name="VENTAS A CREDITO" sheetId="75" r:id="rId7"/>
    <sheet name="DIVISAS Y TRANSFERENCIAS" sheetId="109" r:id="rId8"/>
    <sheet name="DIA 1" sheetId="40" r:id="rId9"/>
    <sheet name="DIA 2" sheetId="110" r:id="rId10"/>
    <sheet name="DIA 3" sheetId="111" r:id="rId11"/>
    <sheet name="DIA 4" sheetId="112" r:id="rId12"/>
    <sheet name="DIA 5" sheetId="113" r:id="rId13"/>
    <sheet name="DIA 6" sheetId="114" r:id="rId14"/>
    <sheet name="DIA 7" sheetId="115" r:id="rId15"/>
    <sheet name="DIA 8" sheetId="116" r:id="rId16"/>
    <sheet name="DIA 9" sheetId="117" r:id="rId17"/>
    <sheet name="DIA 10" sheetId="118" r:id="rId18"/>
    <sheet name="DIA 11" sheetId="119" r:id="rId19"/>
    <sheet name="DIA 12" sheetId="120" r:id="rId20"/>
    <sheet name="DIA 13" sheetId="121" r:id="rId21"/>
    <sheet name="DIA 14" sheetId="122" r:id="rId22"/>
    <sheet name="DIA 15" sheetId="123" r:id="rId23"/>
    <sheet name="DIA 16" sheetId="124" r:id="rId24"/>
    <sheet name="DIA 17" sheetId="125" r:id="rId25"/>
    <sheet name="DIA 18" sheetId="126" r:id="rId26"/>
    <sheet name="DIA 19" sheetId="127" r:id="rId27"/>
    <sheet name="DIA 20" sheetId="128" r:id="rId28"/>
    <sheet name="DIA 21" sheetId="129" r:id="rId29"/>
    <sheet name="DIA 22" sheetId="130" r:id="rId30"/>
    <sheet name="DIA 23" sheetId="131" r:id="rId31"/>
    <sheet name="DIA 24" sheetId="132" r:id="rId32"/>
    <sheet name="DIA 25" sheetId="133" r:id="rId33"/>
    <sheet name="DIA 26" sheetId="134" r:id="rId34"/>
    <sheet name="DIA 27" sheetId="135" r:id="rId35"/>
    <sheet name="DIA 28" sheetId="136" r:id="rId36"/>
    <sheet name="DIA 29" sheetId="137" r:id="rId37"/>
    <sheet name="DIA 30" sheetId="138" r:id="rId38"/>
    <sheet name="DIA 31" sheetId="139" r:id="rId39"/>
  </sheets>
  <definedNames>
    <definedName name="_xlnm.Print_Area" localSheetId="8">'DIA 1'!$A$1:$H$71</definedName>
    <definedName name="_xlnm.Print_Area" localSheetId="17">'DIA 10'!$A$1:$H$71</definedName>
    <definedName name="_xlnm.Print_Area" localSheetId="18">'DIA 11'!$A$1:$H$71</definedName>
    <definedName name="_xlnm.Print_Area" localSheetId="19">'DIA 12'!$A$1:$H$71</definedName>
    <definedName name="_xlnm.Print_Area" localSheetId="20">'DIA 13'!$A$1:$H$71</definedName>
    <definedName name="_xlnm.Print_Area" localSheetId="21">'DIA 14'!$A$1:$H$71</definedName>
    <definedName name="_xlnm.Print_Area" localSheetId="22">'DIA 15'!$A$1:$H$71</definedName>
    <definedName name="_xlnm.Print_Area" localSheetId="23">'DIA 16'!$A$1:$H$71</definedName>
    <definedName name="_xlnm.Print_Area" localSheetId="24">'DIA 17'!$A$1:$H$71</definedName>
    <definedName name="_xlnm.Print_Area" localSheetId="25">'DIA 18'!$A$1:$H$71</definedName>
    <definedName name="_xlnm.Print_Area" localSheetId="26">'DIA 19'!$A$1:$H$71</definedName>
    <definedName name="_xlnm.Print_Area" localSheetId="9">'DIA 2'!$A$1:$H$71</definedName>
    <definedName name="_xlnm.Print_Area" localSheetId="27">'DIA 20'!$A$1:$H$71</definedName>
    <definedName name="_xlnm.Print_Area" localSheetId="28">'DIA 21'!$A$1:$H$71</definedName>
    <definedName name="_xlnm.Print_Area" localSheetId="29">'DIA 22'!$A$1:$H$71</definedName>
    <definedName name="_xlnm.Print_Area" localSheetId="30">'DIA 23'!$A$1:$H$71</definedName>
    <definedName name="_xlnm.Print_Area" localSheetId="31">'DIA 24'!$A$1:$H$71</definedName>
    <definedName name="_xlnm.Print_Area" localSheetId="32">'DIA 25'!$A$1:$H$71</definedName>
    <definedName name="_xlnm.Print_Area" localSheetId="33">'DIA 26'!$A$1:$H$71</definedName>
    <definedName name="_xlnm.Print_Area" localSheetId="34">'DIA 27'!$A$1:$H$71</definedName>
    <definedName name="_xlnm.Print_Area" localSheetId="35">'DIA 28'!$A$1:$H$71</definedName>
    <definedName name="_xlnm.Print_Area" localSheetId="36">'DIA 29'!$A$1:$H$71</definedName>
    <definedName name="_xlnm.Print_Area" localSheetId="10">'DIA 3'!$A$1:$H$71</definedName>
    <definedName name="_xlnm.Print_Area" localSheetId="37">'DIA 30'!$A$1:$H$71</definedName>
    <definedName name="_xlnm.Print_Area" localSheetId="38">'DIA 31'!$A$1:$H$71</definedName>
    <definedName name="_xlnm.Print_Area" localSheetId="11">'DIA 4'!$A$1:$H$71</definedName>
    <definedName name="_xlnm.Print_Area" localSheetId="12">'DIA 5'!$A$1:$H$71</definedName>
    <definedName name="_xlnm.Print_Area" localSheetId="13">'DIA 6'!$A$1:$H$71</definedName>
    <definedName name="_xlnm.Print_Area" localSheetId="14">'DIA 7'!$A$1:$H$71</definedName>
    <definedName name="_xlnm.Print_Area" localSheetId="15">'DIA 8'!$A$1:$H$71</definedName>
    <definedName name="_xlnm.Print_Area" localSheetId="16">'DIA 9'!$A$1:$H$71</definedName>
  </definedNames>
  <calcPr calcId="162913"/>
</workbook>
</file>

<file path=xl/calcChain.xml><?xml version="1.0" encoding="utf-8"?>
<calcChain xmlns="http://schemas.openxmlformats.org/spreadsheetml/2006/main">
  <c r="K46" i="123" l="1"/>
  <c r="B37" i="123" l="1"/>
  <c r="B13" i="123"/>
  <c r="B12" i="123"/>
  <c r="Q79" i="123"/>
  <c r="U79" i="123"/>
  <c r="U78" i="123"/>
  <c r="Q78" i="123"/>
  <c r="B70" i="123"/>
  <c r="B71" i="122"/>
  <c r="B13" i="122"/>
  <c r="B12" i="122"/>
  <c r="U79" i="122"/>
  <c r="Q79" i="122"/>
  <c r="Q78" i="122"/>
  <c r="U78" i="122"/>
  <c r="R75" i="122"/>
  <c r="B13" i="121" l="1"/>
  <c r="B12" i="121"/>
  <c r="S78" i="121"/>
  <c r="Q79" i="121"/>
  <c r="U79" i="121"/>
  <c r="U78" i="121"/>
  <c r="Q78" i="121"/>
  <c r="B71" i="120"/>
  <c r="B70" i="120"/>
  <c r="B69" i="120"/>
  <c r="B68" i="120"/>
  <c r="B17" i="120"/>
  <c r="B15" i="120"/>
  <c r="B13" i="120"/>
  <c r="B12" i="120"/>
  <c r="U79" i="120"/>
  <c r="Q79" i="120"/>
  <c r="U78" i="120"/>
  <c r="Q78" i="120"/>
  <c r="B68" i="119"/>
  <c r="B15" i="119"/>
  <c r="B13" i="119"/>
  <c r="B12" i="119"/>
  <c r="U79" i="119"/>
  <c r="Q79" i="119"/>
  <c r="U78" i="119"/>
  <c r="Q78" i="119"/>
  <c r="B68" i="118"/>
  <c r="B13" i="118"/>
  <c r="B12" i="118"/>
  <c r="S78" i="118"/>
  <c r="S79" i="118"/>
  <c r="S80" i="118"/>
  <c r="S81" i="118"/>
  <c r="S82" i="118"/>
  <c r="S83" i="118"/>
  <c r="S84" i="118"/>
  <c r="S85" i="118"/>
  <c r="T78" i="118"/>
  <c r="Q79" i="118"/>
  <c r="U79" i="118"/>
  <c r="Q78" i="118"/>
  <c r="U78" i="118"/>
  <c r="B39" i="117"/>
  <c r="B68" i="117"/>
  <c r="B15" i="117"/>
  <c r="B13" i="117"/>
  <c r="B12" i="117"/>
  <c r="U79" i="117"/>
  <c r="U78" i="117"/>
  <c r="Q78" i="117"/>
  <c r="B13" i="115"/>
  <c r="B12" i="115"/>
  <c r="U78" i="116" l="1"/>
  <c r="Q78" i="116"/>
  <c r="B13" i="116"/>
  <c r="B12" i="116"/>
  <c r="U79" i="116"/>
  <c r="Q79" i="116"/>
  <c r="U79" i="115"/>
  <c r="Q79" i="115"/>
  <c r="Q78" i="115"/>
  <c r="U78" i="115"/>
  <c r="B71" i="114" l="1"/>
  <c r="B70" i="114"/>
  <c r="B70" i="113"/>
  <c r="B13" i="114" l="1"/>
  <c r="U79" i="114"/>
  <c r="Q79" i="114"/>
  <c r="U78" i="114"/>
  <c r="Q78" i="114"/>
  <c r="B15" i="113"/>
  <c r="B13" i="113"/>
  <c r="B12" i="113"/>
  <c r="U79" i="113"/>
  <c r="Q79" i="113"/>
  <c r="U78" i="113"/>
  <c r="Q78" i="113"/>
  <c r="Q79" i="112"/>
  <c r="U79" i="112"/>
  <c r="U78" i="112"/>
  <c r="Q78" i="112"/>
  <c r="B71" i="111"/>
  <c r="B13" i="111"/>
  <c r="B12" i="111"/>
  <c r="R12" i="111"/>
  <c r="U79" i="111"/>
  <c r="R74" i="111"/>
  <c r="R72" i="111"/>
  <c r="U78" i="111"/>
  <c r="Q78" i="111"/>
  <c r="I49" i="110" l="1"/>
  <c r="B70" i="110"/>
  <c r="B12" i="110"/>
  <c r="B68" i="110"/>
  <c r="B15" i="110"/>
  <c r="B13" i="110"/>
  <c r="R70" i="110"/>
  <c r="Q79" i="110"/>
  <c r="U78" i="110"/>
  <c r="Q78" i="110"/>
  <c r="R71" i="110"/>
  <c r="Q80" i="40" l="1"/>
  <c r="U79" i="40"/>
  <c r="Q79" i="40"/>
  <c r="I49" i="40"/>
  <c r="B70" i="40"/>
  <c r="B13" i="40"/>
  <c r="R72" i="40"/>
  <c r="B38" i="40"/>
  <c r="T42" i="139" l="1"/>
  <c r="B13" i="139"/>
  <c r="B12" i="139"/>
  <c r="R74" i="139"/>
  <c r="U80" i="139"/>
  <c r="Q80" i="139"/>
  <c r="Q79" i="139"/>
  <c r="U79" i="139"/>
  <c r="U78" i="139"/>
  <c r="Q78" i="139"/>
  <c r="B71" i="136" l="1"/>
  <c r="B71" i="137"/>
  <c r="B71" i="138"/>
  <c r="B13" i="138" l="1"/>
  <c r="B12" i="138"/>
  <c r="U80" i="138"/>
  <c r="Q80" i="138"/>
  <c r="R74" i="138"/>
  <c r="U79" i="138"/>
  <c r="Q79" i="138"/>
  <c r="Q78" i="138"/>
  <c r="U78" i="138"/>
  <c r="U80" i="137"/>
  <c r="Q80" i="137"/>
  <c r="U79" i="137"/>
  <c r="Q79" i="137"/>
  <c r="B15" i="137"/>
  <c r="B13" i="137"/>
  <c r="I49" i="136"/>
  <c r="R71" i="136"/>
  <c r="B15" i="136"/>
  <c r="B13" i="136"/>
  <c r="B12" i="136"/>
  <c r="B8" i="136"/>
  <c r="R72" i="136"/>
  <c r="R70" i="136"/>
  <c r="U79" i="136"/>
  <c r="Q79" i="136"/>
  <c r="U78" i="136"/>
  <c r="Q78" i="136"/>
  <c r="I49" i="135" l="1"/>
  <c r="Q79" i="135"/>
  <c r="U79" i="135"/>
  <c r="Q78" i="135"/>
  <c r="U78" i="135"/>
  <c r="B12" i="135"/>
  <c r="R73" i="135"/>
  <c r="R71" i="135"/>
  <c r="R74" i="135"/>
  <c r="Q100" i="134" l="1"/>
  <c r="I49" i="134"/>
  <c r="R74" i="134"/>
  <c r="R73" i="134"/>
  <c r="K51" i="131" l="1"/>
  <c r="R72" i="133" l="1"/>
  <c r="T70" i="132" l="1"/>
  <c r="L36" i="132"/>
  <c r="L35" i="132"/>
  <c r="L30" i="132"/>
  <c r="L29" i="132"/>
  <c r="K37" i="132"/>
  <c r="R70" i="132"/>
  <c r="I49" i="132"/>
  <c r="R71" i="132"/>
  <c r="R72" i="132"/>
  <c r="I49" i="131"/>
  <c r="R72" i="131"/>
  <c r="I49" i="130"/>
  <c r="R73" i="130"/>
  <c r="R74" i="130"/>
  <c r="R71" i="130"/>
  <c r="I49" i="129" l="1"/>
  <c r="R73" i="129"/>
  <c r="R74" i="129"/>
  <c r="I49" i="128"/>
  <c r="R74" i="128"/>
  <c r="R70" i="128"/>
  <c r="I49" i="127" l="1"/>
  <c r="R73" i="127"/>
  <c r="R74" i="127"/>
  <c r="Q80" i="125" l="1"/>
  <c r="L44" i="126" l="1"/>
  <c r="L43" i="126"/>
  <c r="L38" i="126"/>
  <c r="L37" i="126"/>
  <c r="I56" i="126"/>
  <c r="I49" i="126"/>
  <c r="R72" i="126"/>
  <c r="I49" i="124" l="1"/>
  <c r="R72" i="124"/>
  <c r="R73" i="124"/>
  <c r="R74" i="124"/>
  <c r="L44" i="125"/>
  <c r="L43" i="125"/>
  <c r="L38" i="125"/>
  <c r="L37" i="125"/>
  <c r="K37" i="125"/>
  <c r="R73" i="125"/>
  <c r="I56" i="125"/>
  <c r="I49" i="125"/>
  <c r="R101" i="125"/>
  <c r="R74" i="125"/>
  <c r="R70" i="125"/>
  <c r="L31" i="122" l="1"/>
  <c r="P104" i="118" l="1"/>
  <c r="Q107" i="115" l="1"/>
  <c r="Q106" i="115"/>
  <c r="L38" i="40" l="1"/>
  <c r="L37" i="40"/>
  <c r="B70" i="111" l="1"/>
  <c r="B77" i="143"/>
  <c r="B70" i="137" l="1"/>
  <c r="B70" i="121"/>
  <c r="B70" i="112"/>
  <c r="P103" i="138" l="1"/>
  <c r="P104" i="138"/>
  <c r="P102" i="138"/>
  <c r="P101" i="138"/>
  <c r="B70" i="138"/>
  <c r="B70" i="135" l="1"/>
  <c r="B70" i="134" l="1"/>
  <c r="L29" i="134"/>
  <c r="P100" i="133" l="1"/>
  <c r="B70" i="133"/>
  <c r="B70" i="132"/>
  <c r="Q100" i="132"/>
  <c r="B70" i="129"/>
  <c r="B70" i="128" l="1"/>
  <c r="B70" i="127"/>
  <c r="B70" i="126" l="1"/>
  <c r="B70" i="124" l="1"/>
  <c r="Q102" i="124" l="1"/>
  <c r="R104" i="123" l="1"/>
  <c r="B70" i="122"/>
  <c r="B70" i="119" l="1"/>
  <c r="B70" i="118" l="1"/>
  <c r="B70" i="117" l="1"/>
  <c r="Q109" i="117"/>
  <c r="Q108" i="117"/>
  <c r="Q107" i="117"/>
  <c r="B70" i="116"/>
  <c r="B70" i="115"/>
  <c r="M76" i="111" l="1"/>
  <c r="P106" i="138" l="1"/>
  <c r="P105" i="138"/>
  <c r="Q105" i="137"/>
  <c r="B70" i="136" l="1"/>
  <c r="L37" i="132" l="1"/>
  <c r="Q105" i="132"/>
  <c r="L29" i="131" l="1"/>
  <c r="B16" i="125" l="1"/>
  <c r="B14" i="125"/>
  <c r="R103" i="128"/>
  <c r="R104" i="128"/>
  <c r="R102" i="128"/>
  <c r="Q104" i="124" l="1"/>
  <c r="J12" i="122"/>
  <c r="P106" i="118" l="1"/>
  <c r="Q106" i="114" l="1"/>
  <c r="Q109" i="114"/>
  <c r="Q108" i="114"/>
  <c r="Q107" i="114"/>
  <c r="Q105" i="114"/>
  <c r="Q104" i="114"/>
  <c r="Q103" i="114"/>
  <c r="B70" i="131" l="1"/>
  <c r="L37" i="131"/>
  <c r="B70" i="130"/>
  <c r="D60" i="130"/>
  <c r="P101" i="126"/>
  <c r="B70" i="125"/>
  <c r="R103" i="125"/>
  <c r="R102" i="125"/>
  <c r="R105" i="123" l="1"/>
  <c r="R103" i="123"/>
  <c r="R101" i="123"/>
  <c r="R102" i="123"/>
  <c r="B55" i="121" l="1"/>
  <c r="S78" i="134" l="1"/>
  <c r="S79" i="134"/>
  <c r="T79" i="134" s="1"/>
  <c r="T78" i="134"/>
  <c r="L37" i="139" l="1"/>
  <c r="L29" i="139"/>
  <c r="P102" i="139"/>
  <c r="P101" i="139"/>
  <c r="Q110" i="137" l="1"/>
  <c r="Q109" i="137"/>
  <c r="Q108" i="137"/>
  <c r="Q107" i="137"/>
  <c r="Q106" i="137"/>
  <c r="L29" i="136" l="1"/>
  <c r="L29" i="135" l="1"/>
  <c r="L37" i="135"/>
  <c r="L37" i="124" l="1"/>
  <c r="P101" i="127" l="1"/>
  <c r="L29" i="121" l="1"/>
  <c r="L37" i="121"/>
  <c r="Q103" i="120"/>
  <c r="Q105" i="110" l="1"/>
  <c r="P101" i="136" l="1"/>
  <c r="P104" i="135"/>
  <c r="P103" i="135"/>
  <c r="Q101" i="134" l="1"/>
  <c r="Q102" i="134"/>
  <c r="Q106" i="129" l="1"/>
  <c r="Q105" i="129"/>
  <c r="L37" i="118" l="1"/>
  <c r="L29" i="118"/>
  <c r="Q104" i="117"/>
  <c r="Q103" i="110" l="1"/>
  <c r="P100" i="40" l="1"/>
  <c r="Q102" i="137" l="1"/>
  <c r="Q103" i="137"/>
  <c r="P106" i="135"/>
  <c r="P104" i="133"/>
  <c r="R100" i="125" l="1"/>
  <c r="Q103" i="124"/>
  <c r="Q101" i="124"/>
  <c r="P104" i="121" l="1"/>
  <c r="P103" i="118" l="1"/>
  <c r="Q102" i="115" l="1"/>
  <c r="Q102" i="113"/>
  <c r="Q103" i="113"/>
  <c r="P104" i="136" l="1"/>
  <c r="P103" i="136"/>
  <c r="P102" i="136"/>
  <c r="P101" i="135"/>
  <c r="B14" i="131" l="1"/>
  <c r="P104" i="131"/>
  <c r="P103" i="131"/>
  <c r="L37" i="114" l="1"/>
  <c r="Q106" i="110" l="1"/>
  <c r="Q102" i="110"/>
  <c r="Q98" i="138" l="1"/>
  <c r="B16" i="132" l="1"/>
  <c r="R101" i="128" l="1"/>
  <c r="P101" i="128"/>
  <c r="P100" i="128"/>
  <c r="Q101" i="120" l="1"/>
  <c r="Q104" i="119" l="1"/>
  <c r="B30" i="40" l="1"/>
  <c r="L37" i="130" l="1"/>
  <c r="L31" i="130"/>
  <c r="L29" i="130"/>
  <c r="Q98" i="120" l="1"/>
  <c r="L37" i="113" l="1"/>
  <c r="Q98" i="113"/>
  <c r="L39" i="40" l="1"/>
  <c r="P100" i="130" l="1"/>
  <c r="L29" i="129"/>
  <c r="L37" i="129"/>
  <c r="Q103" i="122" l="1"/>
  <c r="P103" i="121" l="1"/>
  <c r="P102" i="121"/>
  <c r="Q98" i="119" l="1"/>
  <c r="Q102" i="119"/>
  <c r="Q105" i="117" l="1"/>
  <c r="Q106" i="117" l="1"/>
  <c r="Q104" i="113" l="1"/>
  <c r="P103" i="112"/>
  <c r="P102" i="112"/>
  <c r="P100" i="112"/>
  <c r="P101" i="112" l="1"/>
  <c r="Q98" i="111" l="1"/>
  <c r="Q102" i="111"/>
  <c r="Q101" i="111"/>
  <c r="Q100" i="111"/>
  <c r="Q101" i="110" l="1"/>
  <c r="Q98" i="40"/>
  <c r="P102" i="40" l="1"/>
  <c r="P103" i="40"/>
  <c r="P101" i="40"/>
  <c r="P102" i="135" l="1"/>
  <c r="P102" i="131" l="1"/>
  <c r="P101" i="131"/>
  <c r="Q102" i="129" l="1"/>
  <c r="B22" i="119"/>
  <c r="Q103" i="134" l="1"/>
  <c r="Q106" i="134"/>
  <c r="Q105" i="134"/>
  <c r="Q104" i="134"/>
  <c r="Q98" i="134"/>
  <c r="P102" i="133" l="1"/>
  <c r="P103" i="133"/>
  <c r="P101" i="133"/>
  <c r="P106" i="133"/>
  <c r="Q104" i="132" l="1"/>
  <c r="Q103" i="132"/>
  <c r="Q102" i="132"/>
  <c r="Q101" i="132"/>
  <c r="Q104" i="129" l="1"/>
  <c r="P103" i="130" l="1"/>
  <c r="P108" i="130"/>
  <c r="Q107" i="129" l="1"/>
  <c r="P105" i="126" l="1"/>
  <c r="P104" i="126"/>
  <c r="P106" i="126"/>
  <c r="P103" i="126"/>
  <c r="Q98" i="126" l="1"/>
  <c r="P102" i="126"/>
  <c r="R106" i="123" l="1"/>
  <c r="R107" i="123"/>
  <c r="Q102" i="122" l="1"/>
  <c r="Q98" i="121" l="1"/>
  <c r="Q105" i="115" l="1"/>
  <c r="Q104" i="115"/>
  <c r="Q103" i="115"/>
  <c r="Q101" i="115"/>
  <c r="Q106" i="113" l="1"/>
  <c r="Q105" i="113"/>
  <c r="Q104" i="110" l="1"/>
  <c r="P105" i="139" l="1"/>
  <c r="P104" i="139"/>
  <c r="P103" i="139"/>
  <c r="Q98" i="139" l="1"/>
  <c r="Q104" i="137" l="1"/>
  <c r="Q101" i="137"/>
  <c r="Q98" i="137"/>
  <c r="Q98" i="136" l="1"/>
  <c r="P105" i="135" l="1"/>
  <c r="Q98" i="135" l="1"/>
  <c r="P105" i="133" l="1"/>
  <c r="Q98" i="133"/>
  <c r="Q98" i="132" l="1"/>
  <c r="Q98" i="131" l="1"/>
  <c r="P105" i="130" l="1"/>
  <c r="P104" i="130"/>
  <c r="P102" i="130"/>
  <c r="P101" i="130"/>
  <c r="Q98" i="130"/>
  <c r="Q103" i="129" l="1"/>
  <c r="Q98" i="129"/>
  <c r="Q98" i="128" l="1"/>
  <c r="P106" i="127" l="1"/>
  <c r="P105" i="127"/>
  <c r="P104" i="127"/>
  <c r="P103" i="127"/>
  <c r="P102" i="127"/>
  <c r="Q98" i="127"/>
  <c r="Q98" i="125" l="1"/>
  <c r="Q106" i="124" l="1"/>
  <c r="Q105" i="124"/>
  <c r="Q98" i="124"/>
  <c r="Q98" i="123" l="1"/>
  <c r="Q98" i="122" l="1"/>
  <c r="Q107" i="122"/>
  <c r="Q104" i="122"/>
  <c r="Q105" i="122"/>
  <c r="Q106" i="122"/>
  <c r="P106" i="121" l="1"/>
  <c r="P105" i="121"/>
  <c r="P101" i="121"/>
  <c r="Q106" i="120" l="1"/>
  <c r="Q105" i="120"/>
  <c r="Q104" i="120"/>
  <c r="Q102" i="120"/>
  <c r="Q107" i="119" l="1"/>
  <c r="Q106" i="119"/>
  <c r="Q105" i="119"/>
  <c r="Q103" i="119"/>
  <c r="P108" i="118" l="1"/>
  <c r="P107" i="118"/>
  <c r="P105" i="118"/>
  <c r="Q98" i="118"/>
  <c r="Q98" i="117" l="1"/>
  <c r="P106" i="116" l="1"/>
  <c r="P105" i="116"/>
  <c r="P104" i="116"/>
  <c r="P103" i="116"/>
  <c r="P102" i="116"/>
  <c r="P101" i="116"/>
  <c r="Q98" i="116"/>
  <c r="Q98" i="115" l="1"/>
  <c r="Q98" i="114" l="1"/>
  <c r="Q98" i="112" l="1"/>
  <c r="Q106" i="111" l="1"/>
  <c r="Q105" i="111"/>
  <c r="Q104" i="111"/>
  <c r="Q103" i="111"/>
  <c r="Q98" i="110" l="1"/>
  <c r="A38" i="109" l="1"/>
  <c r="A37" i="109"/>
  <c r="A36" i="109"/>
  <c r="A35" i="109"/>
  <c r="A34" i="109"/>
  <c r="A33" i="109"/>
  <c r="A32" i="109"/>
  <c r="A31" i="109"/>
  <c r="A30" i="109"/>
  <c r="A29" i="109"/>
  <c r="A28" i="109"/>
  <c r="A27" i="109"/>
  <c r="A26" i="109"/>
  <c r="A25" i="109"/>
  <c r="A24" i="109"/>
  <c r="A23" i="109"/>
  <c r="A22" i="109"/>
  <c r="A21" i="109"/>
  <c r="A20" i="109"/>
  <c r="A19" i="109"/>
  <c r="A18" i="109"/>
  <c r="A17" i="109"/>
  <c r="A16" i="109"/>
  <c r="A15" i="109"/>
  <c r="A14" i="109"/>
  <c r="A13" i="109"/>
  <c r="A12" i="109"/>
  <c r="A11" i="109"/>
  <c r="A10" i="109"/>
  <c r="A9" i="109"/>
  <c r="A8" i="109"/>
  <c r="A38" i="75"/>
  <c r="A37" i="75"/>
  <c r="A36" i="75"/>
  <c r="A35" i="75"/>
  <c r="A34" i="75"/>
  <c r="A33" i="75"/>
  <c r="A32" i="75"/>
  <c r="A31" i="75"/>
  <c r="A30" i="75"/>
  <c r="A29" i="75"/>
  <c r="A28" i="75"/>
  <c r="A27" i="75"/>
  <c r="A26" i="75"/>
  <c r="A25" i="75"/>
  <c r="A24" i="75"/>
  <c r="A23" i="75"/>
  <c r="A22" i="75"/>
  <c r="A21" i="75"/>
  <c r="A20" i="75"/>
  <c r="A19" i="75"/>
  <c r="A18" i="75"/>
  <c r="A17" i="75"/>
  <c r="A16" i="75"/>
  <c r="A15" i="75"/>
  <c r="A14" i="75"/>
  <c r="A13" i="75"/>
  <c r="A12" i="75"/>
  <c r="A11" i="75"/>
  <c r="A10" i="75"/>
  <c r="A9" i="75"/>
  <c r="A8" i="75"/>
  <c r="A39" i="143"/>
  <c r="A38" i="143"/>
  <c r="A37" i="143"/>
  <c r="A36" i="143"/>
  <c r="A35" i="143"/>
  <c r="A34" i="143"/>
  <c r="A33" i="143"/>
  <c r="A32" i="143"/>
  <c r="A31" i="143"/>
  <c r="A30" i="143"/>
  <c r="A29" i="143"/>
  <c r="A28" i="143"/>
  <c r="A27" i="143"/>
  <c r="A26" i="143"/>
  <c r="A25" i="143"/>
  <c r="A24" i="143"/>
  <c r="A23" i="143"/>
  <c r="A22" i="143"/>
  <c r="A21" i="143"/>
  <c r="A20" i="143"/>
  <c r="A19" i="143"/>
  <c r="A18" i="143"/>
  <c r="A17" i="143"/>
  <c r="A16" i="143"/>
  <c r="A15" i="143"/>
  <c r="A14" i="143"/>
  <c r="A13" i="143"/>
  <c r="A12" i="143"/>
  <c r="A11" i="143"/>
  <c r="A10" i="143"/>
  <c r="A9" i="143"/>
  <c r="A39" i="142"/>
  <c r="A38" i="142"/>
  <c r="A37" i="142"/>
  <c r="A36" i="142"/>
  <c r="A35" i="142"/>
  <c r="A34" i="142"/>
  <c r="A33" i="142"/>
  <c r="A32" i="142"/>
  <c r="A31" i="142"/>
  <c r="A30" i="142"/>
  <c r="A29" i="142"/>
  <c r="A28" i="142"/>
  <c r="A27" i="142"/>
  <c r="A26" i="142"/>
  <c r="A25" i="142"/>
  <c r="A24" i="142"/>
  <c r="A23" i="142"/>
  <c r="A22" i="142"/>
  <c r="A21" i="142"/>
  <c r="A20" i="142"/>
  <c r="A19" i="142"/>
  <c r="A18" i="142"/>
  <c r="A17" i="142"/>
  <c r="A16" i="142"/>
  <c r="A15" i="142"/>
  <c r="A14" i="142"/>
  <c r="A13" i="142"/>
  <c r="A12" i="142"/>
  <c r="A11" i="142"/>
  <c r="A10" i="142"/>
  <c r="A9" i="142"/>
  <c r="A39" i="141"/>
  <c r="A38" i="141"/>
  <c r="A37" i="141"/>
  <c r="A36" i="141"/>
  <c r="A35" i="141"/>
  <c r="A34" i="141"/>
  <c r="A33" i="141"/>
  <c r="A32" i="141"/>
  <c r="A31" i="141"/>
  <c r="A30" i="141"/>
  <c r="A29" i="141"/>
  <c r="A28" i="141"/>
  <c r="A27" i="141"/>
  <c r="A26" i="141"/>
  <c r="A25" i="141"/>
  <c r="A24" i="141"/>
  <c r="A23" i="141"/>
  <c r="A22" i="141"/>
  <c r="A21" i="141"/>
  <c r="A20" i="141"/>
  <c r="A19" i="141"/>
  <c r="A18" i="141"/>
  <c r="A17" i="141"/>
  <c r="A16" i="141"/>
  <c r="A15" i="141"/>
  <c r="A14" i="141"/>
  <c r="A13" i="141"/>
  <c r="A12" i="141"/>
  <c r="A11" i="141"/>
  <c r="A10" i="141"/>
  <c r="A9" i="141"/>
  <c r="A39" i="140"/>
  <c r="A38" i="140"/>
  <c r="A37" i="140"/>
  <c r="A36" i="140"/>
  <c r="A35" i="140"/>
  <c r="A34" i="140"/>
  <c r="A33" i="140"/>
  <c r="A32" i="140"/>
  <c r="A31" i="140"/>
  <c r="A30" i="140"/>
  <c r="A29" i="140"/>
  <c r="A28" i="140"/>
  <c r="A27" i="140"/>
  <c r="A26" i="140"/>
  <c r="A25" i="140"/>
  <c r="A24" i="140"/>
  <c r="A23" i="140"/>
  <c r="A22" i="140"/>
  <c r="A21" i="140"/>
  <c r="A20" i="140"/>
  <c r="A19" i="140"/>
  <c r="A18" i="140"/>
  <c r="A17" i="140"/>
  <c r="A16" i="140"/>
  <c r="A15" i="140"/>
  <c r="A14" i="140"/>
  <c r="A13" i="140"/>
  <c r="A12" i="140"/>
  <c r="A11" i="140"/>
  <c r="A10" i="140"/>
  <c r="A9" i="140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B38" i="75"/>
  <c r="B37" i="75"/>
  <c r="B36" i="75"/>
  <c r="B35" i="75"/>
  <c r="B34" i="75"/>
  <c r="B33" i="75"/>
  <c r="B32" i="75"/>
  <c r="B31" i="75"/>
  <c r="B30" i="75"/>
  <c r="B29" i="75"/>
  <c r="B28" i="75"/>
  <c r="B27" i="75"/>
  <c r="B26" i="75"/>
  <c r="B25" i="75"/>
  <c r="B24" i="75"/>
  <c r="B23" i="75"/>
  <c r="B22" i="75"/>
  <c r="B21" i="75"/>
  <c r="B20" i="75"/>
  <c r="B19" i="75"/>
  <c r="B18" i="75"/>
  <c r="B17" i="75"/>
  <c r="B16" i="75"/>
  <c r="B15" i="75"/>
  <c r="B14" i="75"/>
  <c r="B13" i="75"/>
  <c r="B12" i="75"/>
  <c r="B11" i="75"/>
  <c r="B10" i="75"/>
  <c r="B9" i="75"/>
  <c r="B8" i="75"/>
  <c r="E8" i="75" s="1"/>
  <c r="F39" i="143"/>
  <c r="F38" i="143"/>
  <c r="F37" i="143"/>
  <c r="F36" i="143"/>
  <c r="F35" i="143"/>
  <c r="F34" i="143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E39" i="143"/>
  <c r="E38" i="143"/>
  <c r="E37" i="143"/>
  <c r="E36" i="143"/>
  <c r="E35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F39" i="142"/>
  <c r="F38" i="142"/>
  <c r="F37" i="142"/>
  <c r="F36" i="142"/>
  <c r="F35" i="142"/>
  <c r="F34" i="142"/>
  <c r="F33" i="142"/>
  <c r="F32" i="142"/>
  <c r="F31" i="142"/>
  <c r="F30" i="142"/>
  <c r="F29" i="142"/>
  <c r="F28" i="142"/>
  <c r="F27" i="142"/>
  <c r="F26" i="142"/>
  <c r="F25" i="142"/>
  <c r="F24" i="142"/>
  <c r="F23" i="142"/>
  <c r="F22" i="142"/>
  <c r="F21" i="142"/>
  <c r="F20" i="142"/>
  <c r="F19" i="142"/>
  <c r="F18" i="142"/>
  <c r="F17" i="142"/>
  <c r="F16" i="142"/>
  <c r="F15" i="142"/>
  <c r="F14" i="142"/>
  <c r="F13" i="142"/>
  <c r="F12" i="142"/>
  <c r="F11" i="142"/>
  <c r="F10" i="142"/>
  <c r="F9" i="142"/>
  <c r="E39" i="142"/>
  <c r="E38" i="142"/>
  <c r="E37" i="142"/>
  <c r="E36" i="142"/>
  <c r="E35" i="142"/>
  <c r="E34" i="142"/>
  <c r="E33" i="142"/>
  <c r="E32" i="142"/>
  <c r="E31" i="142"/>
  <c r="E30" i="142"/>
  <c r="E29" i="142"/>
  <c r="E28" i="142"/>
  <c r="E27" i="142"/>
  <c r="E26" i="142"/>
  <c r="E25" i="142"/>
  <c r="E24" i="142"/>
  <c r="E23" i="142"/>
  <c r="E22" i="142"/>
  <c r="E21" i="142"/>
  <c r="E20" i="142"/>
  <c r="E19" i="142"/>
  <c r="E18" i="142"/>
  <c r="E17" i="142"/>
  <c r="E16" i="142"/>
  <c r="E15" i="142"/>
  <c r="E14" i="142"/>
  <c r="E13" i="142"/>
  <c r="E12" i="142"/>
  <c r="E11" i="142"/>
  <c r="E10" i="142"/>
  <c r="E9" i="142"/>
  <c r="F9" i="34"/>
  <c r="E9" i="34"/>
  <c r="F9" i="140"/>
  <c r="E9" i="140"/>
  <c r="H9" i="141"/>
  <c r="H39" i="141"/>
  <c r="H38" i="141"/>
  <c r="H37" i="141"/>
  <c r="H36" i="141"/>
  <c r="H35" i="141"/>
  <c r="H34" i="141"/>
  <c r="H33" i="141"/>
  <c r="H32" i="141"/>
  <c r="H31" i="141"/>
  <c r="H30" i="141"/>
  <c r="H29" i="141"/>
  <c r="H28" i="141"/>
  <c r="H27" i="141"/>
  <c r="H26" i="141"/>
  <c r="H25" i="141"/>
  <c r="H24" i="141"/>
  <c r="H23" i="141"/>
  <c r="H22" i="141"/>
  <c r="H21" i="141"/>
  <c r="H20" i="141"/>
  <c r="H19" i="141"/>
  <c r="H18" i="141"/>
  <c r="H17" i="141"/>
  <c r="H16" i="141"/>
  <c r="H15" i="141"/>
  <c r="H14" i="141"/>
  <c r="H13" i="141"/>
  <c r="H12" i="141"/>
  <c r="H11" i="141"/>
  <c r="H10" i="141"/>
  <c r="G39" i="141"/>
  <c r="G38" i="141"/>
  <c r="G37" i="141"/>
  <c r="G36" i="141"/>
  <c r="G35" i="141"/>
  <c r="G34" i="141"/>
  <c r="G33" i="141"/>
  <c r="G32" i="141"/>
  <c r="G31" i="141"/>
  <c r="G30" i="141"/>
  <c r="G29" i="141"/>
  <c r="G28" i="141"/>
  <c r="G27" i="141"/>
  <c r="G26" i="141"/>
  <c r="G25" i="141"/>
  <c r="G24" i="141"/>
  <c r="G23" i="141"/>
  <c r="G22" i="141"/>
  <c r="G21" i="141"/>
  <c r="G20" i="141"/>
  <c r="G19" i="141"/>
  <c r="G18" i="141"/>
  <c r="G17" i="141"/>
  <c r="G16" i="141"/>
  <c r="G15" i="141"/>
  <c r="G14" i="141"/>
  <c r="G13" i="141"/>
  <c r="G12" i="141"/>
  <c r="G11" i="141"/>
  <c r="G10" i="141"/>
  <c r="G9" i="141"/>
  <c r="F9" i="141"/>
  <c r="F39" i="141"/>
  <c r="F38" i="141"/>
  <c r="F37" i="141"/>
  <c r="F36" i="141"/>
  <c r="F35" i="141"/>
  <c r="F34" i="14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5" i="141"/>
  <c r="F14" i="141"/>
  <c r="F13" i="141"/>
  <c r="F12" i="141"/>
  <c r="F11" i="141"/>
  <c r="F10" i="141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F39" i="140"/>
  <c r="E39" i="140"/>
  <c r="F38" i="140"/>
  <c r="E38" i="140"/>
  <c r="F37" i="140"/>
  <c r="E37" i="140"/>
  <c r="F36" i="140"/>
  <c r="E36" i="140"/>
  <c r="F35" i="140"/>
  <c r="E35" i="140"/>
  <c r="F34" i="140"/>
  <c r="E34" i="140"/>
  <c r="F33" i="140"/>
  <c r="E33" i="140"/>
  <c r="F32" i="140"/>
  <c r="E32" i="140"/>
  <c r="F31" i="140"/>
  <c r="E31" i="140"/>
  <c r="F30" i="140"/>
  <c r="E30" i="140"/>
  <c r="F29" i="140"/>
  <c r="E29" i="140"/>
  <c r="F28" i="140"/>
  <c r="E28" i="140"/>
  <c r="F27" i="140"/>
  <c r="E27" i="140"/>
  <c r="F26" i="140"/>
  <c r="E26" i="140"/>
  <c r="F25" i="140"/>
  <c r="E25" i="140"/>
  <c r="F24" i="140"/>
  <c r="E24" i="140"/>
  <c r="F23" i="140"/>
  <c r="E23" i="140"/>
  <c r="F22" i="140"/>
  <c r="E22" i="140"/>
  <c r="F21" i="140"/>
  <c r="E21" i="140"/>
  <c r="F20" i="140"/>
  <c r="E20" i="140"/>
  <c r="F19" i="140"/>
  <c r="E19" i="140"/>
  <c r="F18" i="140"/>
  <c r="E18" i="140"/>
  <c r="F17" i="140"/>
  <c r="E17" i="140"/>
  <c r="F16" i="140"/>
  <c r="E16" i="140"/>
  <c r="F15" i="140"/>
  <c r="E15" i="140"/>
  <c r="F14" i="140"/>
  <c r="E14" i="140"/>
  <c r="F13" i="140"/>
  <c r="E13" i="140"/>
  <c r="F12" i="140"/>
  <c r="E12" i="140"/>
  <c r="F11" i="140"/>
  <c r="E11" i="140"/>
  <c r="F10" i="140"/>
  <c r="E10" i="140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B9" i="77"/>
  <c r="B38" i="77"/>
  <c r="B37" i="77"/>
  <c r="B36" i="77"/>
  <c r="B35" i="77"/>
  <c r="B34" i="77"/>
  <c r="B33" i="77"/>
  <c r="B32" i="77"/>
  <c r="B31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A38" i="77"/>
  <c r="A37" i="77"/>
  <c r="A36" i="77"/>
  <c r="A35" i="77"/>
  <c r="A34" i="77"/>
  <c r="A33" i="77"/>
  <c r="A32" i="77"/>
  <c r="A31" i="77"/>
  <c r="A30" i="77"/>
  <c r="A29" i="77"/>
  <c r="A28" i="77"/>
  <c r="A27" i="77"/>
  <c r="A26" i="77"/>
  <c r="A25" i="77"/>
  <c r="A24" i="77"/>
  <c r="A23" i="77"/>
  <c r="A22" i="77"/>
  <c r="A21" i="77"/>
  <c r="A20" i="77"/>
  <c r="A19" i="77"/>
  <c r="A18" i="77"/>
  <c r="A17" i="77"/>
  <c r="A16" i="77"/>
  <c r="A15" i="77"/>
  <c r="A14" i="77"/>
  <c r="A13" i="77"/>
  <c r="A12" i="77"/>
  <c r="A11" i="77"/>
  <c r="A10" i="77"/>
  <c r="A9" i="77"/>
  <c r="A8" i="77"/>
  <c r="Z98" i="139"/>
  <c r="V98" i="139"/>
  <c r="U98" i="139"/>
  <c r="P98" i="139"/>
  <c r="X97" i="139"/>
  <c r="Y97" i="139" s="1"/>
  <c r="S97" i="139"/>
  <c r="T97" i="139" s="1"/>
  <c r="X96" i="139"/>
  <c r="Y96" i="139" s="1"/>
  <c r="S96" i="139"/>
  <c r="T96" i="139" s="1"/>
  <c r="X95" i="139"/>
  <c r="Y95" i="139" s="1"/>
  <c r="S95" i="139"/>
  <c r="T95" i="139" s="1"/>
  <c r="X94" i="139"/>
  <c r="Y94" i="139" s="1"/>
  <c r="S94" i="139"/>
  <c r="T94" i="139" s="1"/>
  <c r="X93" i="139"/>
  <c r="Y93" i="139" s="1"/>
  <c r="S93" i="139"/>
  <c r="T93" i="139" s="1"/>
  <c r="X92" i="139"/>
  <c r="Y92" i="139" s="1"/>
  <c r="S92" i="139"/>
  <c r="T92" i="139" s="1"/>
  <c r="X91" i="139"/>
  <c r="Y91" i="139" s="1"/>
  <c r="S91" i="139"/>
  <c r="T91" i="139" s="1"/>
  <c r="X90" i="139"/>
  <c r="Y90" i="139" s="1"/>
  <c r="S90" i="139"/>
  <c r="T90" i="139" s="1"/>
  <c r="X89" i="139"/>
  <c r="Y89" i="139" s="1"/>
  <c r="S89" i="139"/>
  <c r="T89" i="139" s="1"/>
  <c r="X88" i="139"/>
  <c r="Y88" i="139" s="1"/>
  <c r="S88" i="139"/>
  <c r="T88" i="139" s="1"/>
  <c r="X87" i="139"/>
  <c r="Y87" i="139" s="1"/>
  <c r="S87" i="139"/>
  <c r="T87" i="139" s="1"/>
  <c r="X86" i="139"/>
  <c r="Y86" i="139" s="1"/>
  <c r="S86" i="139"/>
  <c r="T86" i="139" s="1"/>
  <c r="X85" i="139"/>
  <c r="Y85" i="139" s="1"/>
  <c r="S85" i="139"/>
  <c r="T85" i="139" s="1"/>
  <c r="X84" i="139"/>
  <c r="Y84" i="139" s="1"/>
  <c r="S84" i="139"/>
  <c r="T84" i="139" s="1"/>
  <c r="X83" i="139"/>
  <c r="Y83" i="139" s="1"/>
  <c r="S83" i="139"/>
  <c r="T83" i="139" s="1"/>
  <c r="X82" i="139"/>
  <c r="Y82" i="139" s="1"/>
  <c r="S82" i="139"/>
  <c r="T82" i="139" s="1"/>
  <c r="X81" i="139"/>
  <c r="Y81" i="139" s="1"/>
  <c r="S81" i="139"/>
  <c r="T81" i="139" s="1"/>
  <c r="X80" i="139"/>
  <c r="Y80" i="139" s="1"/>
  <c r="S80" i="139"/>
  <c r="T80" i="139" s="1"/>
  <c r="X79" i="139"/>
  <c r="Y79" i="139" s="1"/>
  <c r="S79" i="139"/>
  <c r="T79" i="139" s="1"/>
  <c r="H79" i="139"/>
  <c r="X78" i="139"/>
  <c r="S78" i="139"/>
  <c r="T75" i="139"/>
  <c r="B56" i="139" s="1"/>
  <c r="J56" i="139" s="1"/>
  <c r="R75" i="139"/>
  <c r="B49" i="139" s="1"/>
  <c r="J49" i="139" s="1"/>
  <c r="B70" i="139"/>
  <c r="T69" i="139"/>
  <c r="R69" i="139"/>
  <c r="B48" i="139" s="1"/>
  <c r="J48" i="139" s="1"/>
  <c r="J69" i="139"/>
  <c r="J64" i="139"/>
  <c r="T63" i="139"/>
  <c r="S63" i="139"/>
  <c r="B58" i="139" s="1"/>
  <c r="J58" i="139" s="1"/>
  <c r="R63" i="139"/>
  <c r="B47" i="139" s="1"/>
  <c r="J47" i="139" s="1"/>
  <c r="L62" i="139"/>
  <c r="J62" i="139"/>
  <c r="H62" i="139"/>
  <c r="J61" i="139"/>
  <c r="H61" i="139"/>
  <c r="J60" i="139"/>
  <c r="H60" i="139"/>
  <c r="D60" i="139"/>
  <c r="J59" i="139"/>
  <c r="G59" i="139"/>
  <c r="L59" i="139" s="1"/>
  <c r="H58" i="139"/>
  <c r="H57" i="139"/>
  <c r="H56" i="139"/>
  <c r="H55" i="139"/>
  <c r="B55" i="139"/>
  <c r="J55" i="139" s="1"/>
  <c r="H54" i="139"/>
  <c r="B54" i="139"/>
  <c r="J54" i="139" s="1"/>
  <c r="H53" i="139"/>
  <c r="B53" i="139"/>
  <c r="J53" i="139" s="1"/>
  <c r="H52" i="139"/>
  <c r="H51" i="139"/>
  <c r="H50" i="139"/>
  <c r="H49" i="139"/>
  <c r="H48" i="139"/>
  <c r="H47" i="139"/>
  <c r="H46" i="139"/>
  <c r="L45" i="139"/>
  <c r="J45" i="139"/>
  <c r="B43" i="139"/>
  <c r="L43" i="139" s="1"/>
  <c r="B52" i="139"/>
  <c r="S42" i="139"/>
  <c r="B57" i="139" s="1"/>
  <c r="R42" i="139"/>
  <c r="B46" i="139" s="1"/>
  <c r="L42" i="139"/>
  <c r="B42" i="139"/>
  <c r="J42" i="139" s="1"/>
  <c r="L41" i="139"/>
  <c r="J41" i="139"/>
  <c r="L40" i="139"/>
  <c r="B40" i="139"/>
  <c r="J40" i="139" s="1"/>
  <c r="L39" i="139"/>
  <c r="J39" i="139"/>
  <c r="B38" i="139"/>
  <c r="J37" i="139"/>
  <c r="B35" i="139"/>
  <c r="L35" i="139" s="1"/>
  <c r="L34" i="139"/>
  <c r="B34" i="139"/>
  <c r="J34" i="139" s="1"/>
  <c r="L33" i="139"/>
  <c r="J33" i="139"/>
  <c r="L32" i="139"/>
  <c r="B32" i="139"/>
  <c r="J32" i="139" s="1"/>
  <c r="L31" i="139"/>
  <c r="J31" i="139"/>
  <c r="B30" i="139"/>
  <c r="J29" i="139"/>
  <c r="L28" i="139"/>
  <c r="L27" i="139"/>
  <c r="B27" i="139"/>
  <c r="L26" i="139"/>
  <c r="B26" i="139"/>
  <c r="J26" i="139" s="1"/>
  <c r="L25" i="139"/>
  <c r="J25" i="139"/>
  <c r="L24" i="139"/>
  <c r="B24" i="139"/>
  <c r="J24" i="139" s="1"/>
  <c r="L23" i="139"/>
  <c r="J23" i="139"/>
  <c r="L22" i="139"/>
  <c r="B22" i="139"/>
  <c r="B28" i="139" s="1"/>
  <c r="L21" i="139"/>
  <c r="J21" i="139"/>
  <c r="L20" i="139"/>
  <c r="L19" i="139"/>
  <c r="B19" i="139"/>
  <c r="L18" i="139"/>
  <c r="B18" i="139"/>
  <c r="J18" i="139" s="1"/>
  <c r="L17" i="139"/>
  <c r="J17" i="139"/>
  <c r="L16" i="139"/>
  <c r="B16" i="139"/>
  <c r="J16" i="139" s="1"/>
  <c r="L15" i="139"/>
  <c r="J15" i="139"/>
  <c r="L14" i="139"/>
  <c r="B14" i="139"/>
  <c r="B20" i="139" s="1"/>
  <c r="C38" i="109" s="1"/>
  <c r="L13" i="139"/>
  <c r="J13" i="139"/>
  <c r="L12" i="139"/>
  <c r="J12" i="139"/>
  <c r="X10" i="139"/>
  <c r="V10" i="139"/>
  <c r="U10" i="139"/>
  <c r="Z98" i="138"/>
  <c r="B55" i="138" s="1"/>
  <c r="J55" i="138" s="1"/>
  <c r="V98" i="138"/>
  <c r="U98" i="138"/>
  <c r="P98" i="138"/>
  <c r="X97" i="138"/>
  <c r="Y97" i="138" s="1"/>
  <c r="S97" i="138"/>
  <c r="T97" i="138" s="1"/>
  <c r="X96" i="138"/>
  <c r="Y96" i="138" s="1"/>
  <c r="S96" i="138"/>
  <c r="T96" i="138" s="1"/>
  <c r="X95" i="138"/>
  <c r="Y95" i="138" s="1"/>
  <c r="S95" i="138"/>
  <c r="T95" i="138" s="1"/>
  <c r="X94" i="138"/>
  <c r="Y94" i="138" s="1"/>
  <c r="S94" i="138"/>
  <c r="T94" i="138" s="1"/>
  <c r="X93" i="138"/>
  <c r="Y93" i="138" s="1"/>
  <c r="S93" i="138"/>
  <c r="T93" i="138" s="1"/>
  <c r="X92" i="138"/>
  <c r="Y92" i="138" s="1"/>
  <c r="S92" i="138"/>
  <c r="T92" i="138" s="1"/>
  <c r="X91" i="138"/>
  <c r="Y91" i="138" s="1"/>
  <c r="S91" i="138"/>
  <c r="T91" i="138" s="1"/>
  <c r="X90" i="138"/>
  <c r="Y90" i="138" s="1"/>
  <c r="S90" i="138"/>
  <c r="T90" i="138" s="1"/>
  <c r="X89" i="138"/>
  <c r="Y89" i="138" s="1"/>
  <c r="S89" i="138"/>
  <c r="T89" i="138" s="1"/>
  <c r="X88" i="138"/>
  <c r="Y88" i="138" s="1"/>
  <c r="S88" i="138"/>
  <c r="T88" i="138" s="1"/>
  <c r="X87" i="138"/>
  <c r="Y87" i="138" s="1"/>
  <c r="S87" i="138"/>
  <c r="T87" i="138" s="1"/>
  <c r="X86" i="138"/>
  <c r="Y86" i="138" s="1"/>
  <c r="S86" i="138"/>
  <c r="T86" i="138" s="1"/>
  <c r="X85" i="138"/>
  <c r="Y85" i="138" s="1"/>
  <c r="S85" i="138"/>
  <c r="T85" i="138" s="1"/>
  <c r="X84" i="138"/>
  <c r="Y84" i="138" s="1"/>
  <c r="S84" i="138"/>
  <c r="T84" i="138" s="1"/>
  <c r="X83" i="138"/>
  <c r="Y83" i="138" s="1"/>
  <c r="S83" i="138"/>
  <c r="T83" i="138" s="1"/>
  <c r="X82" i="138"/>
  <c r="Y82" i="138" s="1"/>
  <c r="S82" i="138"/>
  <c r="T82" i="138" s="1"/>
  <c r="X81" i="138"/>
  <c r="Y81" i="138" s="1"/>
  <c r="S81" i="138"/>
  <c r="T81" i="138" s="1"/>
  <c r="X80" i="138"/>
  <c r="Y80" i="138" s="1"/>
  <c r="S80" i="138"/>
  <c r="T80" i="138" s="1"/>
  <c r="X79" i="138"/>
  <c r="Y79" i="138" s="1"/>
  <c r="S79" i="138"/>
  <c r="T79" i="138" s="1"/>
  <c r="X78" i="138"/>
  <c r="S78" i="138"/>
  <c r="T75" i="138"/>
  <c r="B56" i="138" s="1"/>
  <c r="J56" i="138" s="1"/>
  <c r="R75" i="138"/>
  <c r="B49" i="138" s="1"/>
  <c r="J49" i="138" s="1"/>
  <c r="T69" i="138"/>
  <c r="B54" i="138" s="1"/>
  <c r="J54" i="138" s="1"/>
  <c r="R69" i="138"/>
  <c r="B48" i="138" s="1"/>
  <c r="J48" i="138" s="1"/>
  <c r="J69" i="138"/>
  <c r="J64" i="138"/>
  <c r="T63" i="138"/>
  <c r="B53" i="138" s="1"/>
  <c r="J53" i="138" s="1"/>
  <c r="S63" i="138"/>
  <c r="B58" i="138" s="1"/>
  <c r="J58" i="138" s="1"/>
  <c r="R63" i="138"/>
  <c r="B47" i="138" s="1"/>
  <c r="J47" i="138" s="1"/>
  <c r="L62" i="138"/>
  <c r="J62" i="138"/>
  <c r="H62" i="138"/>
  <c r="J61" i="138"/>
  <c r="H61" i="138"/>
  <c r="J60" i="138"/>
  <c r="H60" i="138"/>
  <c r="D60" i="138"/>
  <c r="J59" i="138"/>
  <c r="G59" i="138"/>
  <c r="L59" i="138" s="1"/>
  <c r="H58" i="138"/>
  <c r="H57" i="138"/>
  <c r="H56" i="138"/>
  <c r="H55" i="138"/>
  <c r="H54" i="138"/>
  <c r="H53" i="138"/>
  <c r="H52" i="138"/>
  <c r="H51" i="138"/>
  <c r="H50" i="138"/>
  <c r="H49" i="138"/>
  <c r="H48" i="138"/>
  <c r="H47" i="138"/>
  <c r="H46" i="138"/>
  <c r="L45" i="138"/>
  <c r="J45" i="138"/>
  <c r="L44" i="138"/>
  <c r="L43" i="138"/>
  <c r="B43" i="138"/>
  <c r="T42" i="138"/>
  <c r="B52" i="138" s="1"/>
  <c r="S42" i="138"/>
  <c r="B57" i="138" s="1"/>
  <c r="R42" i="138"/>
  <c r="B46" i="138" s="1"/>
  <c r="L42" i="138"/>
  <c r="B42" i="138"/>
  <c r="J42" i="138" s="1"/>
  <c r="L41" i="138"/>
  <c r="J41" i="138"/>
  <c r="L40" i="138"/>
  <c r="B40" i="138"/>
  <c r="J40" i="138" s="1"/>
  <c r="L39" i="138"/>
  <c r="J39" i="138"/>
  <c r="L38" i="138"/>
  <c r="B38" i="138"/>
  <c r="B44" i="138" s="1"/>
  <c r="L37" i="138"/>
  <c r="J37" i="138"/>
  <c r="L36" i="138"/>
  <c r="L35" i="138"/>
  <c r="B35" i="138"/>
  <c r="L34" i="138"/>
  <c r="B34" i="138"/>
  <c r="J34" i="138" s="1"/>
  <c r="L33" i="138"/>
  <c r="J33" i="138"/>
  <c r="L32" i="138"/>
  <c r="B32" i="138"/>
  <c r="J32" i="138" s="1"/>
  <c r="L31" i="138"/>
  <c r="J31" i="138"/>
  <c r="L30" i="138"/>
  <c r="B30" i="138"/>
  <c r="B36" i="138" s="1"/>
  <c r="L29" i="138"/>
  <c r="J29" i="138"/>
  <c r="L28" i="138"/>
  <c r="L27" i="138"/>
  <c r="B27" i="138"/>
  <c r="L26" i="138"/>
  <c r="B26" i="138"/>
  <c r="J26" i="138" s="1"/>
  <c r="L25" i="138"/>
  <c r="J25" i="138"/>
  <c r="L24" i="138"/>
  <c r="B24" i="138"/>
  <c r="J24" i="138" s="1"/>
  <c r="L23" i="138"/>
  <c r="J23" i="138"/>
  <c r="L22" i="138"/>
  <c r="B22" i="138"/>
  <c r="B28" i="138" s="1"/>
  <c r="L21" i="138"/>
  <c r="J21" i="138"/>
  <c r="L20" i="138"/>
  <c r="L19" i="138"/>
  <c r="B19" i="138"/>
  <c r="L18" i="138"/>
  <c r="B18" i="138"/>
  <c r="J18" i="138" s="1"/>
  <c r="L17" i="138"/>
  <c r="J17" i="138"/>
  <c r="L16" i="138"/>
  <c r="B16" i="138"/>
  <c r="J16" i="138" s="1"/>
  <c r="L15" i="138"/>
  <c r="J15" i="138"/>
  <c r="L14" i="138"/>
  <c r="B14" i="138"/>
  <c r="B20" i="138" s="1"/>
  <c r="C37" i="109" s="1"/>
  <c r="L13" i="138"/>
  <c r="J13" i="138"/>
  <c r="L12" i="138"/>
  <c r="J12" i="138"/>
  <c r="X10" i="138"/>
  <c r="V10" i="138"/>
  <c r="U10" i="138"/>
  <c r="Z98" i="137"/>
  <c r="B55" i="137" s="1"/>
  <c r="J55" i="137" s="1"/>
  <c r="V98" i="137"/>
  <c r="U98" i="137"/>
  <c r="P98" i="137"/>
  <c r="X97" i="137"/>
  <c r="Y97" i="137" s="1"/>
  <c r="S97" i="137"/>
  <c r="T97" i="137" s="1"/>
  <c r="X96" i="137"/>
  <c r="Y96" i="137" s="1"/>
  <c r="S96" i="137"/>
  <c r="T96" i="137" s="1"/>
  <c r="X95" i="137"/>
  <c r="Y95" i="137" s="1"/>
  <c r="S95" i="137"/>
  <c r="T95" i="137" s="1"/>
  <c r="X94" i="137"/>
  <c r="Y94" i="137" s="1"/>
  <c r="S94" i="137"/>
  <c r="T94" i="137" s="1"/>
  <c r="X93" i="137"/>
  <c r="Y93" i="137" s="1"/>
  <c r="S93" i="137"/>
  <c r="T93" i="137" s="1"/>
  <c r="X92" i="137"/>
  <c r="Y92" i="137" s="1"/>
  <c r="S92" i="137"/>
  <c r="T92" i="137" s="1"/>
  <c r="X91" i="137"/>
  <c r="Y91" i="137" s="1"/>
  <c r="S91" i="137"/>
  <c r="T91" i="137" s="1"/>
  <c r="X90" i="137"/>
  <c r="Y90" i="137" s="1"/>
  <c r="S90" i="137"/>
  <c r="T90" i="137" s="1"/>
  <c r="X89" i="137"/>
  <c r="Y89" i="137" s="1"/>
  <c r="S89" i="137"/>
  <c r="T89" i="137" s="1"/>
  <c r="X88" i="137"/>
  <c r="Y88" i="137" s="1"/>
  <c r="S88" i="137"/>
  <c r="T88" i="137" s="1"/>
  <c r="X87" i="137"/>
  <c r="Y87" i="137" s="1"/>
  <c r="S87" i="137"/>
  <c r="T87" i="137" s="1"/>
  <c r="X86" i="137"/>
  <c r="Y86" i="137" s="1"/>
  <c r="S86" i="137"/>
  <c r="T86" i="137" s="1"/>
  <c r="X85" i="137"/>
  <c r="Y85" i="137" s="1"/>
  <c r="S85" i="137"/>
  <c r="T85" i="137" s="1"/>
  <c r="X84" i="137"/>
  <c r="Y84" i="137" s="1"/>
  <c r="S84" i="137"/>
  <c r="T84" i="137" s="1"/>
  <c r="X83" i="137"/>
  <c r="Y83" i="137" s="1"/>
  <c r="S83" i="137"/>
  <c r="T83" i="137" s="1"/>
  <c r="X82" i="137"/>
  <c r="Y82" i="137" s="1"/>
  <c r="S82" i="137"/>
  <c r="T82" i="137" s="1"/>
  <c r="X81" i="137"/>
  <c r="Y81" i="137" s="1"/>
  <c r="S81" i="137"/>
  <c r="T81" i="137" s="1"/>
  <c r="X80" i="137"/>
  <c r="Y80" i="137" s="1"/>
  <c r="S80" i="137"/>
  <c r="T80" i="137" s="1"/>
  <c r="X79" i="137"/>
  <c r="Y79" i="137" s="1"/>
  <c r="S79" i="137"/>
  <c r="T79" i="137" s="1"/>
  <c r="H79" i="137"/>
  <c r="X78" i="137"/>
  <c r="S78" i="137"/>
  <c r="T75" i="137"/>
  <c r="B56" i="137" s="1"/>
  <c r="J56" i="137" s="1"/>
  <c r="R75" i="137"/>
  <c r="B49" i="137" s="1"/>
  <c r="J49" i="137" s="1"/>
  <c r="T69" i="137"/>
  <c r="B54" i="137" s="1"/>
  <c r="J54" i="137" s="1"/>
  <c r="R69" i="137"/>
  <c r="B48" i="137" s="1"/>
  <c r="J48" i="137" s="1"/>
  <c r="J69" i="137"/>
  <c r="J64" i="137"/>
  <c r="T63" i="137"/>
  <c r="S63" i="137"/>
  <c r="B58" i="137" s="1"/>
  <c r="J58" i="137" s="1"/>
  <c r="R63" i="137"/>
  <c r="B47" i="137" s="1"/>
  <c r="J47" i="137" s="1"/>
  <c r="L62" i="137"/>
  <c r="J62" i="137"/>
  <c r="H62" i="137"/>
  <c r="J61" i="137"/>
  <c r="H61" i="137"/>
  <c r="J60" i="137"/>
  <c r="H60" i="137"/>
  <c r="D60" i="137"/>
  <c r="J59" i="137"/>
  <c r="G59" i="137"/>
  <c r="L59" i="137" s="1"/>
  <c r="H58" i="137"/>
  <c r="H57" i="137"/>
  <c r="H56" i="137"/>
  <c r="H55" i="137"/>
  <c r="H54" i="137"/>
  <c r="H53" i="137"/>
  <c r="H52" i="137"/>
  <c r="H51" i="137"/>
  <c r="H50" i="137"/>
  <c r="H49" i="137"/>
  <c r="H48" i="137"/>
  <c r="H47" i="137"/>
  <c r="H46" i="137"/>
  <c r="L45" i="137"/>
  <c r="J45" i="137"/>
  <c r="L44" i="137"/>
  <c r="L43" i="137"/>
  <c r="B43" i="137"/>
  <c r="T42" i="137"/>
  <c r="B52" i="137" s="1"/>
  <c r="S42" i="137"/>
  <c r="B57" i="137" s="1"/>
  <c r="R42" i="137"/>
  <c r="B46" i="137" s="1"/>
  <c r="L42" i="137"/>
  <c r="B42" i="137"/>
  <c r="J42" i="137" s="1"/>
  <c r="L41" i="137"/>
  <c r="J41" i="137"/>
  <c r="L40" i="137"/>
  <c r="B40" i="137"/>
  <c r="J40" i="137" s="1"/>
  <c r="L39" i="137"/>
  <c r="J39" i="137"/>
  <c r="L38" i="137"/>
  <c r="B38" i="137"/>
  <c r="B44" i="137" s="1"/>
  <c r="L37" i="137"/>
  <c r="J37" i="137"/>
  <c r="L36" i="137"/>
  <c r="L35" i="137"/>
  <c r="B35" i="137"/>
  <c r="L34" i="137"/>
  <c r="B34" i="137"/>
  <c r="J34" i="137" s="1"/>
  <c r="L33" i="137"/>
  <c r="J33" i="137"/>
  <c r="L32" i="137"/>
  <c r="B32" i="137"/>
  <c r="J32" i="137" s="1"/>
  <c r="L31" i="137"/>
  <c r="J31" i="137"/>
  <c r="L30" i="137"/>
  <c r="B30" i="137"/>
  <c r="B36" i="137" s="1"/>
  <c r="L29" i="137"/>
  <c r="J29" i="137"/>
  <c r="L28" i="137"/>
  <c r="L27" i="137"/>
  <c r="B27" i="137"/>
  <c r="L26" i="137"/>
  <c r="B26" i="137"/>
  <c r="J26" i="137" s="1"/>
  <c r="L25" i="137"/>
  <c r="J25" i="137"/>
  <c r="L24" i="137"/>
  <c r="B24" i="137"/>
  <c r="J24" i="137" s="1"/>
  <c r="L23" i="137"/>
  <c r="J23" i="137"/>
  <c r="L22" i="137"/>
  <c r="B22" i="137"/>
  <c r="B28" i="137" s="1"/>
  <c r="L21" i="137"/>
  <c r="J21" i="137"/>
  <c r="L20" i="137"/>
  <c r="L19" i="137"/>
  <c r="B19" i="137"/>
  <c r="L18" i="137"/>
  <c r="B18" i="137"/>
  <c r="J18" i="137" s="1"/>
  <c r="L17" i="137"/>
  <c r="J17" i="137"/>
  <c r="L16" i="137"/>
  <c r="B16" i="137"/>
  <c r="J16" i="137" s="1"/>
  <c r="L15" i="137"/>
  <c r="J15" i="137"/>
  <c r="L14" i="137"/>
  <c r="B14" i="137"/>
  <c r="B20" i="137" s="1"/>
  <c r="C36" i="109" s="1"/>
  <c r="L13" i="137"/>
  <c r="J13" i="137"/>
  <c r="L12" i="137"/>
  <c r="J12" i="137"/>
  <c r="X10" i="137"/>
  <c r="V10" i="137"/>
  <c r="U10" i="137"/>
  <c r="Z98" i="136"/>
  <c r="V98" i="136"/>
  <c r="U98" i="136"/>
  <c r="P98" i="136"/>
  <c r="B50" i="136" s="1"/>
  <c r="J50" i="136" s="1"/>
  <c r="X97" i="136"/>
  <c r="Y97" i="136" s="1"/>
  <c r="S97" i="136"/>
  <c r="T97" i="136" s="1"/>
  <c r="X96" i="136"/>
  <c r="Y96" i="136" s="1"/>
  <c r="S96" i="136"/>
  <c r="T96" i="136" s="1"/>
  <c r="X95" i="136"/>
  <c r="Y95" i="136" s="1"/>
  <c r="S95" i="136"/>
  <c r="T95" i="136" s="1"/>
  <c r="X94" i="136"/>
  <c r="Y94" i="136" s="1"/>
  <c r="S94" i="136"/>
  <c r="T94" i="136" s="1"/>
  <c r="X93" i="136"/>
  <c r="Y93" i="136" s="1"/>
  <c r="S93" i="136"/>
  <c r="T93" i="136" s="1"/>
  <c r="X92" i="136"/>
  <c r="Y92" i="136" s="1"/>
  <c r="S92" i="136"/>
  <c r="T92" i="136" s="1"/>
  <c r="X91" i="136"/>
  <c r="Y91" i="136" s="1"/>
  <c r="S91" i="136"/>
  <c r="T91" i="136" s="1"/>
  <c r="X90" i="136"/>
  <c r="Y90" i="136" s="1"/>
  <c r="S90" i="136"/>
  <c r="T90" i="136" s="1"/>
  <c r="X89" i="136"/>
  <c r="Y89" i="136" s="1"/>
  <c r="S89" i="136"/>
  <c r="T89" i="136" s="1"/>
  <c r="X88" i="136"/>
  <c r="Y88" i="136" s="1"/>
  <c r="S88" i="136"/>
  <c r="T88" i="136" s="1"/>
  <c r="X87" i="136"/>
  <c r="Y87" i="136" s="1"/>
  <c r="S87" i="136"/>
  <c r="T87" i="136" s="1"/>
  <c r="X86" i="136"/>
  <c r="Y86" i="136" s="1"/>
  <c r="S86" i="136"/>
  <c r="T86" i="136" s="1"/>
  <c r="X85" i="136"/>
  <c r="Y85" i="136" s="1"/>
  <c r="S85" i="136"/>
  <c r="T85" i="136" s="1"/>
  <c r="X84" i="136"/>
  <c r="Y84" i="136" s="1"/>
  <c r="S84" i="136"/>
  <c r="T84" i="136" s="1"/>
  <c r="X83" i="136"/>
  <c r="Y83" i="136" s="1"/>
  <c r="S83" i="136"/>
  <c r="T83" i="136" s="1"/>
  <c r="X82" i="136"/>
  <c r="Y82" i="136" s="1"/>
  <c r="S82" i="136"/>
  <c r="T82" i="136" s="1"/>
  <c r="X81" i="136"/>
  <c r="Y81" i="136" s="1"/>
  <c r="S81" i="136"/>
  <c r="T81" i="136" s="1"/>
  <c r="X80" i="136"/>
  <c r="Y80" i="136" s="1"/>
  <c r="S80" i="136"/>
  <c r="T80" i="136" s="1"/>
  <c r="X79" i="136"/>
  <c r="Y79" i="136" s="1"/>
  <c r="S79" i="136"/>
  <c r="T79" i="136" s="1"/>
  <c r="H79" i="136"/>
  <c r="X78" i="136"/>
  <c r="S78" i="136"/>
  <c r="T75" i="136"/>
  <c r="B56" i="136" s="1"/>
  <c r="J56" i="136" s="1"/>
  <c r="R75" i="136"/>
  <c r="B49" i="136" s="1"/>
  <c r="J49" i="136" s="1"/>
  <c r="T69" i="136"/>
  <c r="B54" i="136" s="1"/>
  <c r="J54" i="136" s="1"/>
  <c r="R69" i="136"/>
  <c r="B48" i="136" s="1"/>
  <c r="J48" i="136" s="1"/>
  <c r="J69" i="136"/>
  <c r="J64" i="136"/>
  <c r="T63" i="136"/>
  <c r="B53" i="136" s="1"/>
  <c r="J53" i="136" s="1"/>
  <c r="S63" i="136"/>
  <c r="B58" i="136" s="1"/>
  <c r="J58" i="136" s="1"/>
  <c r="R63" i="136"/>
  <c r="B47" i="136" s="1"/>
  <c r="J47" i="136" s="1"/>
  <c r="L62" i="136"/>
  <c r="J62" i="136"/>
  <c r="H62" i="136"/>
  <c r="J61" i="136"/>
  <c r="H61" i="136"/>
  <c r="J60" i="136"/>
  <c r="H60" i="136"/>
  <c r="D60" i="136"/>
  <c r="J59" i="136"/>
  <c r="G59" i="136"/>
  <c r="L59" i="136" s="1"/>
  <c r="H58" i="136"/>
  <c r="H57" i="136"/>
  <c r="H56" i="136"/>
  <c r="H55" i="136"/>
  <c r="B55" i="136"/>
  <c r="J55" i="136" s="1"/>
  <c r="H54" i="136"/>
  <c r="H53" i="136"/>
  <c r="H52" i="136"/>
  <c r="H51" i="136"/>
  <c r="H50" i="136"/>
  <c r="H49" i="136"/>
  <c r="H48" i="136"/>
  <c r="H47" i="136"/>
  <c r="H46" i="136"/>
  <c r="L45" i="136"/>
  <c r="J45" i="136"/>
  <c r="L44" i="136"/>
  <c r="L43" i="136"/>
  <c r="B43" i="136"/>
  <c r="T42" i="136"/>
  <c r="B52" i="136" s="1"/>
  <c r="S42" i="136"/>
  <c r="B57" i="136" s="1"/>
  <c r="R42" i="136"/>
  <c r="B46" i="136" s="1"/>
  <c r="L42" i="136"/>
  <c r="B42" i="136"/>
  <c r="J42" i="136" s="1"/>
  <c r="L41" i="136"/>
  <c r="J41" i="136"/>
  <c r="L40" i="136"/>
  <c r="B40" i="136"/>
  <c r="J40" i="136" s="1"/>
  <c r="L39" i="136"/>
  <c r="J39" i="136"/>
  <c r="L38" i="136"/>
  <c r="B38" i="136"/>
  <c r="B44" i="136" s="1"/>
  <c r="L37" i="136"/>
  <c r="J37" i="136"/>
  <c r="B35" i="136"/>
  <c r="L35" i="136" s="1"/>
  <c r="L34" i="136"/>
  <c r="B34" i="136"/>
  <c r="J34" i="136" s="1"/>
  <c r="L33" i="136"/>
  <c r="J33" i="136"/>
  <c r="L32" i="136"/>
  <c r="B32" i="136"/>
  <c r="J32" i="136" s="1"/>
  <c r="L31" i="136"/>
  <c r="J31" i="136"/>
  <c r="B30" i="136"/>
  <c r="J29" i="136"/>
  <c r="L28" i="136"/>
  <c r="L27" i="136"/>
  <c r="B27" i="136"/>
  <c r="L26" i="136"/>
  <c r="B26" i="136"/>
  <c r="J26" i="136" s="1"/>
  <c r="L25" i="136"/>
  <c r="J25" i="136"/>
  <c r="L24" i="136"/>
  <c r="B24" i="136"/>
  <c r="J24" i="136" s="1"/>
  <c r="L23" i="136"/>
  <c r="J23" i="136"/>
  <c r="L22" i="136"/>
  <c r="B22" i="136"/>
  <c r="B28" i="136" s="1"/>
  <c r="L21" i="136"/>
  <c r="J21" i="136"/>
  <c r="L20" i="136"/>
  <c r="L19" i="136"/>
  <c r="B19" i="136"/>
  <c r="L18" i="136"/>
  <c r="B18" i="136"/>
  <c r="J18" i="136" s="1"/>
  <c r="L17" i="136"/>
  <c r="J17" i="136"/>
  <c r="L16" i="136"/>
  <c r="B16" i="136"/>
  <c r="J16" i="136" s="1"/>
  <c r="L15" i="136"/>
  <c r="J15" i="136"/>
  <c r="L14" i="136"/>
  <c r="B14" i="136"/>
  <c r="B20" i="136" s="1"/>
  <c r="C35" i="109" s="1"/>
  <c r="L13" i="136"/>
  <c r="J13" i="136"/>
  <c r="L12" i="136"/>
  <c r="J12" i="136"/>
  <c r="X10" i="136"/>
  <c r="V10" i="136"/>
  <c r="U10" i="136"/>
  <c r="Z98" i="135"/>
  <c r="B55" i="135" s="1"/>
  <c r="J55" i="135" s="1"/>
  <c r="V98" i="135"/>
  <c r="U98" i="135"/>
  <c r="P98" i="135"/>
  <c r="X97" i="135"/>
  <c r="Y97" i="135" s="1"/>
  <c r="S97" i="135"/>
  <c r="T97" i="135" s="1"/>
  <c r="X96" i="135"/>
  <c r="Y96" i="135" s="1"/>
  <c r="S96" i="135"/>
  <c r="T96" i="135" s="1"/>
  <c r="X95" i="135"/>
  <c r="Y95" i="135" s="1"/>
  <c r="S95" i="135"/>
  <c r="T95" i="135" s="1"/>
  <c r="X94" i="135"/>
  <c r="Y94" i="135" s="1"/>
  <c r="S94" i="135"/>
  <c r="T94" i="135" s="1"/>
  <c r="X93" i="135"/>
  <c r="Y93" i="135" s="1"/>
  <c r="S93" i="135"/>
  <c r="T93" i="135" s="1"/>
  <c r="X92" i="135"/>
  <c r="Y92" i="135" s="1"/>
  <c r="S92" i="135"/>
  <c r="T92" i="135" s="1"/>
  <c r="X91" i="135"/>
  <c r="Y91" i="135" s="1"/>
  <c r="S91" i="135"/>
  <c r="T91" i="135" s="1"/>
  <c r="X90" i="135"/>
  <c r="Y90" i="135" s="1"/>
  <c r="S90" i="135"/>
  <c r="T90" i="135" s="1"/>
  <c r="X89" i="135"/>
  <c r="Y89" i="135" s="1"/>
  <c r="S89" i="135"/>
  <c r="T89" i="135" s="1"/>
  <c r="X88" i="135"/>
  <c r="Y88" i="135" s="1"/>
  <c r="S88" i="135"/>
  <c r="T88" i="135" s="1"/>
  <c r="X87" i="135"/>
  <c r="Y87" i="135" s="1"/>
  <c r="S87" i="135"/>
  <c r="T87" i="135" s="1"/>
  <c r="X86" i="135"/>
  <c r="Y86" i="135" s="1"/>
  <c r="S86" i="135"/>
  <c r="T86" i="135" s="1"/>
  <c r="X85" i="135"/>
  <c r="Y85" i="135" s="1"/>
  <c r="S85" i="135"/>
  <c r="T85" i="135" s="1"/>
  <c r="X84" i="135"/>
  <c r="Y84" i="135" s="1"/>
  <c r="S84" i="135"/>
  <c r="T84" i="135" s="1"/>
  <c r="X83" i="135"/>
  <c r="Y83" i="135" s="1"/>
  <c r="S83" i="135"/>
  <c r="T83" i="135" s="1"/>
  <c r="X82" i="135"/>
  <c r="Y82" i="135" s="1"/>
  <c r="S82" i="135"/>
  <c r="T82" i="135" s="1"/>
  <c r="X81" i="135"/>
  <c r="Y81" i="135" s="1"/>
  <c r="S81" i="135"/>
  <c r="T81" i="135" s="1"/>
  <c r="X80" i="135"/>
  <c r="Y80" i="135" s="1"/>
  <c r="S80" i="135"/>
  <c r="T80" i="135" s="1"/>
  <c r="X79" i="135"/>
  <c r="Y79" i="135" s="1"/>
  <c r="S79" i="135"/>
  <c r="T79" i="135" s="1"/>
  <c r="H79" i="135"/>
  <c r="X78" i="135"/>
  <c r="S78" i="135"/>
  <c r="T75" i="135"/>
  <c r="B56" i="135" s="1"/>
  <c r="J56" i="135" s="1"/>
  <c r="R75" i="135"/>
  <c r="B49" i="135" s="1"/>
  <c r="J49" i="135" s="1"/>
  <c r="T69" i="135"/>
  <c r="B54" i="135" s="1"/>
  <c r="J54" i="135" s="1"/>
  <c r="R69" i="135"/>
  <c r="B48" i="135" s="1"/>
  <c r="J48" i="135" s="1"/>
  <c r="J69" i="135"/>
  <c r="J64" i="135"/>
  <c r="T63" i="135"/>
  <c r="B53" i="135" s="1"/>
  <c r="J53" i="135" s="1"/>
  <c r="S63" i="135"/>
  <c r="B58" i="135" s="1"/>
  <c r="J58" i="135" s="1"/>
  <c r="R63" i="135"/>
  <c r="B47" i="135" s="1"/>
  <c r="J47" i="135" s="1"/>
  <c r="L62" i="135"/>
  <c r="J62" i="135"/>
  <c r="H62" i="135"/>
  <c r="J61" i="135"/>
  <c r="H61" i="135"/>
  <c r="J60" i="135"/>
  <c r="H60" i="135"/>
  <c r="D60" i="135"/>
  <c r="J59" i="135"/>
  <c r="G59" i="135"/>
  <c r="L59" i="135" s="1"/>
  <c r="H58" i="135"/>
  <c r="H57" i="135"/>
  <c r="H56" i="135"/>
  <c r="H55" i="135"/>
  <c r="H54" i="135"/>
  <c r="H53" i="135"/>
  <c r="H52" i="135"/>
  <c r="H51" i="135"/>
  <c r="H50" i="135"/>
  <c r="H49" i="135"/>
  <c r="H48" i="135"/>
  <c r="H47" i="135"/>
  <c r="H46" i="135"/>
  <c r="L45" i="135"/>
  <c r="J45" i="135"/>
  <c r="B43" i="135"/>
  <c r="L43" i="135" s="1"/>
  <c r="T42" i="135"/>
  <c r="B52" i="135" s="1"/>
  <c r="S42" i="135"/>
  <c r="B57" i="135" s="1"/>
  <c r="R42" i="135"/>
  <c r="B46" i="135" s="1"/>
  <c r="L42" i="135"/>
  <c r="B42" i="135"/>
  <c r="J42" i="135" s="1"/>
  <c r="L41" i="135"/>
  <c r="J41" i="135"/>
  <c r="L40" i="135"/>
  <c r="B40" i="135"/>
  <c r="J40" i="135" s="1"/>
  <c r="L39" i="135"/>
  <c r="J39" i="135"/>
  <c r="B38" i="135"/>
  <c r="J37" i="135"/>
  <c r="B35" i="135"/>
  <c r="L35" i="135" s="1"/>
  <c r="L34" i="135"/>
  <c r="B34" i="135"/>
  <c r="J34" i="135" s="1"/>
  <c r="L33" i="135"/>
  <c r="J33" i="135"/>
  <c r="L32" i="135"/>
  <c r="B32" i="135"/>
  <c r="J32" i="135" s="1"/>
  <c r="L31" i="135"/>
  <c r="J31" i="135"/>
  <c r="B30" i="135"/>
  <c r="J29" i="135"/>
  <c r="L28" i="135"/>
  <c r="L27" i="135"/>
  <c r="B27" i="135"/>
  <c r="L26" i="135"/>
  <c r="B26" i="135"/>
  <c r="J26" i="135" s="1"/>
  <c r="L25" i="135"/>
  <c r="J25" i="135"/>
  <c r="L24" i="135"/>
  <c r="B24" i="135"/>
  <c r="J24" i="135" s="1"/>
  <c r="L23" i="135"/>
  <c r="J23" i="135"/>
  <c r="L22" i="135"/>
  <c r="B22" i="135"/>
  <c r="B28" i="135" s="1"/>
  <c r="L21" i="135"/>
  <c r="J21" i="135"/>
  <c r="L20" i="135"/>
  <c r="L19" i="135"/>
  <c r="B19" i="135"/>
  <c r="L18" i="135"/>
  <c r="B18" i="135"/>
  <c r="J18" i="135" s="1"/>
  <c r="L17" i="135"/>
  <c r="J17" i="135"/>
  <c r="L16" i="135"/>
  <c r="B16" i="135"/>
  <c r="J16" i="135" s="1"/>
  <c r="L15" i="135"/>
  <c r="J15" i="135"/>
  <c r="L14" i="135"/>
  <c r="B14" i="135"/>
  <c r="B20" i="135" s="1"/>
  <c r="C34" i="109" s="1"/>
  <c r="L13" i="135"/>
  <c r="J13" i="135"/>
  <c r="L12" i="135"/>
  <c r="J12" i="135"/>
  <c r="X10" i="135"/>
  <c r="V10" i="135"/>
  <c r="U10" i="135"/>
  <c r="Z98" i="134"/>
  <c r="B55" i="134" s="1"/>
  <c r="J55" i="134" s="1"/>
  <c r="V98" i="134"/>
  <c r="U98" i="134"/>
  <c r="P98" i="134"/>
  <c r="B50" i="134" s="1"/>
  <c r="J50" i="134" s="1"/>
  <c r="X97" i="134"/>
  <c r="Y97" i="134" s="1"/>
  <c r="S97" i="134"/>
  <c r="T97" i="134" s="1"/>
  <c r="X96" i="134"/>
  <c r="Y96" i="134" s="1"/>
  <c r="S96" i="134"/>
  <c r="T96" i="134" s="1"/>
  <c r="X95" i="134"/>
  <c r="Y95" i="134" s="1"/>
  <c r="S95" i="134"/>
  <c r="T95" i="134" s="1"/>
  <c r="X94" i="134"/>
  <c r="Y94" i="134" s="1"/>
  <c r="S94" i="134"/>
  <c r="T94" i="134" s="1"/>
  <c r="X93" i="134"/>
  <c r="Y93" i="134" s="1"/>
  <c r="S93" i="134"/>
  <c r="T93" i="134" s="1"/>
  <c r="X92" i="134"/>
  <c r="Y92" i="134" s="1"/>
  <c r="S92" i="134"/>
  <c r="T92" i="134" s="1"/>
  <c r="X91" i="134"/>
  <c r="Y91" i="134" s="1"/>
  <c r="S91" i="134"/>
  <c r="T91" i="134" s="1"/>
  <c r="X90" i="134"/>
  <c r="Y90" i="134" s="1"/>
  <c r="S90" i="134"/>
  <c r="T90" i="134" s="1"/>
  <c r="X89" i="134"/>
  <c r="Y89" i="134" s="1"/>
  <c r="S89" i="134"/>
  <c r="T89" i="134" s="1"/>
  <c r="X88" i="134"/>
  <c r="Y88" i="134" s="1"/>
  <c r="S88" i="134"/>
  <c r="T88" i="134" s="1"/>
  <c r="X87" i="134"/>
  <c r="Y87" i="134" s="1"/>
  <c r="S87" i="134"/>
  <c r="T87" i="134" s="1"/>
  <c r="X86" i="134"/>
  <c r="Y86" i="134" s="1"/>
  <c r="S86" i="134"/>
  <c r="T86" i="134" s="1"/>
  <c r="X85" i="134"/>
  <c r="Y85" i="134" s="1"/>
  <c r="S85" i="134"/>
  <c r="T85" i="134" s="1"/>
  <c r="X84" i="134"/>
  <c r="Y84" i="134" s="1"/>
  <c r="S84" i="134"/>
  <c r="T84" i="134" s="1"/>
  <c r="X83" i="134"/>
  <c r="Y83" i="134" s="1"/>
  <c r="S83" i="134"/>
  <c r="T83" i="134" s="1"/>
  <c r="X82" i="134"/>
  <c r="Y82" i="134" s="1"/>
  <c r="S82" i="134"/>
  <c r="T82" i="134" s="1"/>
  <c r="X81" i="134"/>
  <c r="Y81" i="134" s="1"/>
  <c r="S81" i="134"/>
  <c r="T81" i="134" s="1"/>
  <c r="X80" i="134"/>
  <c r="Y80" i="134" s="1"/>
  <c r="S80" i="134"/>
  <c r="T80" i="134" s="1"/>
  <c r="X79" i="134"/>
  <c r="Y79" i="134" s="1"/>
  <c r="H79" i="134"/>
  <c r="X78" i="134"/>
  <c r="T75" i="134"/>
  <c r="B56" i="134" s="1"/>
  <c r="J56" i="134" s="1"/>
  <c r="R75" i="134"/>
  <c r="B49" i="134" s="1"/>
  <c r="J49" i="134" s="1"/>
  <c r="T69" i="134"/>
  <c r="B54" i="134" s="1"/>
  <c r="J54" i="134" s="1"/>
  <c r="R69" i="134"/>
  <c r="B48" i="134" s="1"/>
  <c r="J48" i="134" s="1"/>
  <c r="J69" i="134"/>
  <c r="J64" i="134"/>
  <c r="T63" i="134"/>
  <c r="B53" i="134" s="1"/>
  <c r="J53" i="134" s="1"/>
  <c r="S63" i="134"/>
  <c r="B58" i="134" s="1"/>
  <c r="J58" i="134" s="1"/>
  <c r="R63" i="134"/>
  <c r="B47" i="134" s="1"/>
  <c r="J47" i="134" s="1"/>
  <c r="L62" i="134"/>
  <c r="J62" i="134"/>
  <c r="H62" i="134"/>
  <c r="J61" i="134"/>
  <c r="H61" i="134"/>
  <c r="J60" i="134"/>
  <c r="H60" i="134"/>
  <c r="D60" i="134"/>
  <c r="J59" i="134"/>
  <c r="G59" i="134"/>
  <c r="L59" i="134" s="1"/>
  <c r="H58" i="134"/>
  <c r="H57" i="134"/>
  <c r="H56" i="134"/>
  <c r="H55" i="134"/>
  <c r="H54" i="134"/>
  <c r="H53" i="134"/>
  <c r="H52" i="134"/>
  <c r="H51" i="134"/>
  <c r="H50" i="134"/>
  <c r="H49" i="134"/>
  <c r="H48" i="134"/>
  <c r="H47" i="134"/>
  <c r="H46" i="134"/>
  <c r="L45" i="134"/>
  <c r="J45" i="134"/>
  <c r="L44" i="134"/>
  <c r="L43" i="134"/>
  <c r="B43" i="134"/>
  <c r="T42" i="134"/>
  <c r="B52" i="134" s="1"/>
  <c r="S42" i="134"/>
  <c r="B57" i="134" s="1"/>
  <c r="R42" i="134"/>
  <c r="B46" i="134" s="1"/>
  <c r="L42" i="134"/>
  <c r="B42" i="134"/>
  <c r="J42" i="134" s="1"/>
  <c r="L41" i="134"/>
  <c r="J41" i="134"/>
  <c r="L40" i="134"/>
  <c r="B40" i="134"/>
  <c r="J40" i="134" s="1"/>
  <c r="L39" i="134"/>
  <c r="J39" i="134"/>
  <c r="L38" i="134"/>
  <c r="B38" i="134"/>
  <c r="B44" i="134" s="1"/>
  <c r="L37" i="134"/>
  <c r="J37" i="134"/>
  <c r="B35" i="134"/>
  <c r="L35" i="134" s="1"/>
  <c r="L34" i="134"/>
  <c r="B34" i="134"/>
  <c r="J34" i="134" s="1"/>
  <c r="L33" i="134"/>
  <c r="J33" i="134"/>
  <c r="L32" i="134"/>
  <c r="B32" i="134"/>
  <c r="J32" i="134" s="1"/>
  <c r="L31" i="134"/>
  <c r="J31" i="134"/>
  <c r="B30" i="134"/>
  <c r="J29" i="134"/>
  <c r="L28" i="134"/>
  <c r="L27" i="134"/>
  <c r="B27" i="134"/>
  <c r="L26" i="134"/>
  <c r="B26" i="134"/>
  <c r="J26" i="134" s="1"/>
  <c r="L25" i="134"/>
  <c r="J25" i="134"/>
  <c r="L24" i="134"/>
  <c r="B24" i="134"/>
  <c r="J24" i="134" s="1"/>
  <c r="L23" i="134"/>
  <c r="J23" i="134"/>
  <c r="L22" i="134"/>
  <c r="B22" i="134"/>
  <c r="B28" i="134" s="1"/>
  <c r="L21" i="134"/>
  <c r="J21" i="134"/>
  <c r="L20" i="134"/>
  <c r="L19" i="134"/>
  <c r="B19" i="134"/>
  <c r="L18" i="134"/>
  <c r="B18" i="134"/>
  <c r="J18" i="134" s="1"/>
  <c r="L17" i="134"/>
  <c r="J17" i="134"/>
  <c r="L16" i="134"/>
  <c r="B16" i="134"/>
  <c r="J16" i="134" s="1"/>
  <c r="L15" i="134"/>
  <c r="J15" i="134"/>
  <c r="L14" i="134"/>
  <c r="B14" i="134"/>
  <c r="B20" i="134" s="1"/>
  <c r="C33" i="109" s="1"/>
  <c r="L13" i="134"/>
  <c r="J13" i="134"/>
  <c r="L12" i="134"/>
  <c r="J12" i="134"/>
  <c r="X10" i="134"/>
  <c r="V10" i="134"/>
  <c r="U10" i="134"/>
  <c r="Z98" i="133"/>
  <c r="B55" i="133" s="1"/>
  <c r="J55" i="133" s="1"/>
  <c r="V98" i="133"/>
  <c r="U98" i="133"/>
  <c r="P98" i="133"/>
  <c r="X97" i="133"/>
  <c r="Y97" i="133" s="1"/>
  <c r="S97" i="133"/>
  <c r="T97" i="133" s="1"/>
  <c r="X96" i="133"/>
  <c r="Y96" i="133" s="1"/>
  <c r="S96" i="133"/>
  <c r="T96" i="133" s="1"/>
  <c r="X95" i="133"/>
  <c r="Y95" i="133" s="1"/>
  <c r="S95" i="133"/>
  <c r="T95" i="133" s="1"/>
  <c r="X94" i="133"/>
  <c r="Y94" i="133" s="1"/>
  <c r="S94" i="133"/>
  <c r="T94" i="133" s="1"/>
  <c r="X93" i="133"/>
  <c r="Y93" i="133" s="1"/>
  <c r="S93" i="133"/>
  <c r="T93" i="133" s="1"/>
  <c r="X92" i="133"/>
  <c r="Y92" i="133" s="1"/>
  <c r="S92" i="133"/>
  <c r="T92" i="133" s="1"/>
  <c r="X91" i="133"/>
  <c r="Y91" i="133" s="1"/>
  <c r="S91" i="133"/>
  <c r="T91" i="133" s="1"/>
  <c r="X90" i="133"/>
  <c r="Y90" i="133" s="1"/>
  <c r="S90" i="133"/>
  <c r="T90" i="133" s="1"/>
  <c r="X89" i="133"/>
  <c r="Y89" i="133" s="1"/>
  <c r="S89" i="133"/>
  <c r="T89" i="133" s="1"/>
  <c r="X88" i="133"/>
  <c r="Y88" i="133" s="1"/>
  <c r="S88" i="133"/>
  <c r="T88" i="133" s="1"/>
  <c r="X87" i="133"/>
  <c r="Y87" i="133" s="1"/>
  <c r="S87" i="133"/>
  <c r="T87" i="133" s="1"/>
  <c r="X86" i="133"/>
  <c r="Y86" i="133" s="1"/>
  <c r="S86" i="133"/>
  <c r="T86" i="133" s="1"/>
  <c r="X85" i="133"/>
  <c r="Y85" i="133" s="1"/>
  <c r="S85" i="133"/>
  <c r="T85" i="133" s="1"/>
  <c r="X84" i="133"/>
  <c r="Y84" i="133" s="1"/>
  <c r="S84" i="133"/>
  <c r="T84" i="133" s="1"/>
  <c r="X83" i="133"/>
  <c r="Y83" i="133" s="1"/>
  <c r="S83" i="133"/>
  <c r="T83" i="133" s="1"/>
  <c r="X82" i="133"/>
  <c r="Y82" i="133" s="1"/>
  <c r="S82" i="133"/>
  <c r="T82" i="133" s="1"/>
  <c r="X81" i="133"/>
  <c r="Y81" i="133" s="1"/>
  <c r="S81" i="133"/>
  <c r="T81" i="133" s="1"/>
  <c r="X80" i="133"/>
  <c r="Y80" i="133" s="1"/>
  <c r="S80" i="133"/>
  <c r="T80" i="133" s="1"/>
  <c r="X79" i="133"/>
  <c r="Y79" i="133" s="1"/>
  <c r="S79" i="133"/>
  <c r="T79" i="133" s="1"/>
  <c r="X78" i="133"/>
  <c r="S78" i="133"/>
  <c r="T75" i="133"/>
  <c r="B56" i="133" s="1"/>
  <c r="J56" i="133" s="1"/>
  <c r="R75" i="133"/>
  <c r="B49" i="133" s="1"/>
  <c r="J49" i="133" s="1"/>
  <c r="T69" i="133"/>
  <c r="B54" i="133" s="1"/>
  <c r="J54" i="133" s="1"/>
  <c r="R69" i="133"/>
  <c r="B48" i="133" s="1"/>
  <c r="J48" i="133" s="1"/>
  <c r="J69" i="133"/>
  <c r="J64" i="133"/>
  <c r="T63" i="133"/>
  <c r="B53" i="133" s="1"/>
  <c r="J53" i="133" s="1"/>
  <c r="S63" i="133"/>
  <c r="B58" i="133" s="1"/>
  <c r="J58" i="133" s="1"/>
  <c r="R63" i="133"/>
  <c r="B47" i="133" s="1"/>
  <c r="J47" i="133" s="1"/>
  <c r="L62" i="133"/>
  <c r="J62" i="133"/>
  <c r="H62" i="133"/>
  <c r="J61" i="133"/>
  <c r="H61" i="133"/>
  <c r="J60" i="133"/>
  <c r="H60" i="133"/>
  <c r="D60" i="133"/>
  <c r="J59" i="133"/>
  <c r="G59" i="133"/>
  <c r="L59" i="133" s="1"/>
  <c r="H58" i="133"/>
  <c r="H57" i="133"/>
  <c r="H56" i="133"/>
  <c r="H55" i="133"/>
  <c r="H54" i="133"/>
  <c r="H53" i="133"/>
  <c r="H52" i="133"/>
  <c r="H51" i="133"/>
  <c r="H50" i="133"/>
  <c r="H49" i="133"/>
  <c r="H48" i="133"/>
  <c r="H47" i="133"/>
  <c r="H46" i="133"/>
  <c r="L45" i="133"/>
  <c r="J45" i="133"/>
  <c r="L44" i="133"/>
  <c r="L43" i="133"/>
  <c r="B43" i="133"/>
  <c r="T42" i="133"/>
  <c r="B52" i="133" s="1"/>
  <c r="S42" i="133"/>
  <c r="B57" i="133" s="1"/>
  <c r="R42" i="133"/>
  <c r="B46" i="133" s="1"/>
  <c r="L42" i="133"/>
  <c r="B42" i="133"/>
  <c r="J42" i="133" s="1"/>
  <c r="L41" i="133"/>
  <c r="J41" i="133"/>
  <c r="L40" i="133"/>
  <c r="B40" i="133"/>
  <c r="J40" i="133" s="1"/>
  <c r="L39" i="133"/>
  <c r="J39" i="133"/>
  <c r="L38" i="133"/>
  <c r="B38" i="133"/>
  <c r="B44" i="133" s="1"/>
  <c r="L37" i="133"/>
  <c r="J37" i="133"/>
  <c r="L36" i="133"/>
  <c r="L35" i="133"/>
  <c r="B35" i="133"/>
  <c r="L34" i="133"/>
  <c r="B34" i="133"/>
  <c r="J34" i="133" s="1"/>
  <c r="L33" i="133"/>
  <c r="J33" i="133"/>
  <c r="L32" i="133"/>
  <c r="B32" i="133"/>
  <c r="J32" i="133" s="1"/>
  <c r="L31" i="133"/>
  <c r="J31" i="133"/>
  <c r="L30" i="133"/>
  <c r="B30" i="133"/>
  <c r="B36" i="133" s="1"/>
  <c r="L29" i="133"/>
  <c r="J29" i="133"/>
  <c r="L28" i="133"/>
  <c r="L27" i="133"/>
  <c r="B27" i="133"/>
  <c r="L26" i="133"/>
  <c r="B26" i="133"/>
  <c r="J26" i="133" s="1"/>
  <c r="L25" i="133"/>
  <c r="J25" i="133"/>
  <c r="L24" i="133"/>
  <c r="B24" i="133"/>
  <c r="J24" i="133" s="1"/>
  <c r="L23" i="133"/>
  <c r="J23" i="133"/>
  <c r="L22" i="133"/>
  <c r="B22" i="133"/>
  <c r="B28" i="133" s="1"/>
  <c r="L21" i="133"/>
  <c r="J21" i="133"/>
  <c r="L20" i="133"/>
  <c r="L19" i="133"/>
  <c r="B19" i="133"/>
  <c r="L18" i="133"/>
  <c r="B18" i="133"/>
  <c r="J18" i="133" s="1"/>
  <c r="L17" i="133"/>
  <c r="J17" i="133"/>
  <c r="L16" i="133"/>
  <c r="B16" i="133"/>
  <c r="J16" i="133" s="1"/>
  <c r="L15" i="133"/>
  <c r="J15" i="133"/>
  <c r="B14" i="133"/>
  <c r="L13" i="133"/>
  <c r="J13" i="133"/>
  <c r="L12" i="133"/>
  <c r="J12" i="133"/>
  <c r="X10" i="133"/>
  <c r="V10" i="133"/>
  <c r="U10" i="133"/>
  <c r="Z98" i="132"/>
  <c r="V98" i="132"/>
  <c r="U98" i="132"/>
  <c r="P98" i="132"/>
  <c r="B50" i="132" s="1"/>
  <c r="J50" i="132" s="1"/>
  <c r="X97" i="132"/>
  <c r="Y97" i="132" s="1"/>
  <c r="S97" i="132"/>
  <c r="T97" i="132" s="1"/>
  <c r="X96" i="132"/>
  <c r="Y96" i="132" s="1"/>
  <c r="S96" i="132"/>
  <c r="T96" i="132" s="1"/>
  <c r="X95" i="132"/>
  <c r="Y95" i="132" s="1"/>
  <c r="S95" i="132"/>
  <c r="T95" i="132" s="1"/>
  <c r="X94" i="132"/>
  <c r="Y94" i="132" s="1"/>
  <c r="S94" i="132"/>
  <c r="T94" i="132" s="1"/>
  <c r="X93" i="132"/>
  <c r="Y93" i="132" s="1"/>
  <c r="S93" i="132"/>
  <c r="T93" i="132" s="1"/>
  <c r="X92" i="132"/>
  <c r="Y92" i="132" s="1"/>
  <c r="S92" i="132"/>
  <c r="T92" i="132" s="1"/>
  <c r="X91" i="132"/>
  <c r="Y91" i="132" s="1"/>
  <c r="S91" i="132"/>
  <c r="T91" i="132" s="1"/>
  <c r="X90" i="132"/>
  <c r="Y90" i="132" s="1"/>
  <c r="S90" i="132"/>
  <c r="T90" i="132" s="1"/>
  <c r="X89" i="132"/>
  <c r="Y89" i="132" s="1"/>
  <c r="S89" i="132"/>
  <c r="T89" i="132" s="1"/>
  <c r="X88" i="132"/>
  <c r="Y88" i="132" s="1"/>
  <c r="S88" i="132"/>
  <c r="T88" i="132" s="1"/>
  <c r="X87" i="132"/>
  <c r="Y87" i="132" s="1"/>
  <c r="S87" i="132"/>
  <c r="T87" i="132" s="1"/>
  <c r="X86" i="132"/>
  <c r="Y86" i="132" s="1"/>
  <c r="S86" i="132"/>
  <c r="T86" i="132" s="1"/>
  <c r="X85" i="132"/>
  <c r="Y85" i="132" s="1"/>
  <c r="S85" i="132"/>
  <c r="T85" i="132" s="1"/>
  <c r="X84" i="132"/>
  <c r="Y84" i="132" s="1"/>
  <c r="S84" i="132"/>
  <c r="T84" i="132" s="1"/>
  <c r="X83" i="132"/>
  <c r="Y83" i="132" s="1"/>
  <c r="S83" i="132"/>
  <c r="T83" i="132" s="1"/>
  <c r="X82" i="132"/>
  <c r="Y82" i="132" s="1"/>
  <c r="S82" i="132"/>
  <c r="T82" i="132" s="1"/>
  <c r="X81" i="132"/>
  <c r="Y81" i="132" s="1"/>
  <c r="S81" i="132"/>
  <c r="T81" i="132" s="1"/>
  <c r="X80" i="132"/>
  <c r="Y80" i="132" s="1"/>
  <c r="S80" i="132"/>
  <c r="T80" i="132" s="1"/>
  <c r="X79" i="132"/>
  <c r="Y79" i="132" s="1"/>
  <c r="S79" i="132"/>
  <c r="T79" i="132" s="1"/>
  <c r="H79" i="132"/>
  <c r="X78" i="132"/>
  <c r="S78" i="132"/>
  <c r="T75" i="132"/>
  <c r="B56" i="132" s="1"/>
  <c r="J56" i="132" s="1"/>
  <c r="R75" i="132"/>
  <c r="B49" i="132" s="1"/>
  <c r="J49" i="132" s="1"/>
  <c r="T69" i="132"/>
  <c r="B54" i="132" s="1"/>
  <c r="J54" i="132" s="1"/>
  <c r="R69" i="132"/>
  <c r="B48" i="132" s="1"/>
  <c r="J48" i="132" s="1"/>
  <c r="J69" i="132"/>
  <c r="J64" i="132"/>
  <c r="T63" i="132"/>
  <c r="B53" i="132" s="1"/>
  <c r="J53" i="132" s="1"/>
  <c r="S63" i="132"/>
  <c r="B58" i="132" s="1"/>
  <c r="J58" i="132" s="1"/>
  <c r="R63" i="132"/>
  <c r="L62" i="132"/>
  <c r="J62" i="132"/>
  <c r="H62" i="132"/>
  <c r="J61" i="132"/>
  <c r="H61" i="132"/>
  <c r="J60" i="132"/>
  <c r="H60" i="132"/>
  <c r="D60" i="132"/>
  <c r="J59" i="132"/>
  <c r="G59" i="132"/>
  <c r="L59" i="132" s="1"/>
  <c r="H58" i="132"/>
  <c r="H57" i="132"/>
  <c r="H56" i="132"/>
  <c r="H55" i="132"/>
  <c r="B55" i="132"/>
  <c r="J55" i="132" s="1"/>
  <c r="H54" i="132"/>
  <c r="H53" i="132"/>
  <c r="H52" i="132"/>
  <c r="H51" i="132"/>
  <c r="H50" i="132"/>
  <c r="H49" i="132"/>
  <c r="H48" i="132"/>
  <c r="H47" i="132"/>
  <c r="B47" i="132"/>
  <c r="J47" i="132" s="1"/>
  <c r="H46" i="132"/>
  <c r="L45" i="132"/>
  <c r="J45" i="132"/>
  <c r="B43" i="132"/>
  <c r="L43" i="132" s="1"/>
  <c r="T42" i="132"/>
  <c r="B52" i="132" s="1"/>
  <c r="S42" i="132"/>
  <c r="B57" i="132" s="1"/>
  <c r="R42" i="132"/>
  <c r="B46" i="132" s="1"/>
  <c r="L42" i="132"/>
  <c r="B42" i="132"/>
  <c r="J42" i="132" s="1"/>
  <c r="L41" i="132"/>
  <c r="J41" i="132"/>
  <c r="L40" i="132"/>
  <c r="B40" i="132"/>
  <c r="J40" i="132" s="1"/>
  <c r="L39" i="132"/>
  <c r="J39" i="132"/>
  <c r="B38" i="132"/>
  <c r="L38" i="132" s="1"/>
  <c r="J37" i="132"/>
  <c r="B35" i="132"/>
  <c r="L34" i="132"/>
  <c r="B34" i="132"/>
  <c r="J34" i="132" s="1"/>
  <c r="L33" i="132"/>
  <c r="J33" i="132"/>
  <c r="L32" i="132"/>
  <c r="B32" i="132"/>
  <c r="J32" i="132" s="1"/>
  <c r="L31" i="132"/>
  <c r="J31" i="132"/>
  <c r="B30" i="132"/>
  <c r="B36" i="132" s="1"/>
  <c r="J29" i="132"/>
  <c r="L28" i="132"/>
  <c r="L27" i="132"/>
  <c r="B27" i="132"/>
  <c r="L26" i="132"/>
  <c r="B26" i="132"/>
  <c r="J26" i="132" s="1"/>
  <c r="L25" i="132"/>
  <c r="J25" i="132"/>
  <c r="L24" i="132"/>
  <c r="B24" i="132"/>
  <c r="J24" i="132" s="1"/>
  <c r="L23" i="132"/>
  <c r="J23" i="132"/>
  <c r="L22" i="132"/>
  <c r="B22" i="132"/>
  <c r="B28" i="132" s="1"/>
  <c r="L21" i="132"/>
  <c r="J21" i="132"/>
  <c r="L20" i="132"/>
  <c r="L19" i="132"/>
  <c r="B19" i="132"/>
  <c r="L18" i="132"/>
  <c r="B18" i="132"/>
  <c r="J18" i="132" s="1"/>
  <c r="L17" i="132"/>
  <c r="J17" i="132"/>
  <c r="L16" i="132"/>
  <c r="J16" i="132"/>
  <c r="L15" i="132"/>
  <c r="J15" i="132"/>
  <c r="L14" i="132"/>
  <c r="B14" i="132"/>
  <c r="B20" i="132" s="1"/>
  <c r="C31" i="109" s="1"/>
  <c r="L13" i="132"/>
  <c r="J13" i="132"/>
  <c r="L12" i="132"/>
  <c r="J12" i="132"/>
  <c r="X10" i="132"/>
  <c r="V10" i="132"/>
  <c r="U10" i="132"/>
  <c r="Z98" i="131"/>
  <c r="B55" i="131" s="1"/>
  <c r="J55" i="131" s="1"/>
  <c r="V98" i="131"/>
  <c r="U98" i="131"/>
  <c r="P98" i="131"/>
  <c r="B50" i="131" s="1"/>
  <c r="J50" i="131" s="1"/>
  <c r="X97" i="131"/>
  <c r="Y97" i="131" s="1"/>
  <c r="S97" i="131"/>
  <c r="T97" i="131" s="1"/>
  <c r="X96" i="131"/>
  <c r="Y96" i="131" s="1"/>
  <c r="S96" i="131"/>
  <c r="T96" i="131" s="1"/>
  <c r="X95" i="131"/>
  <c r="Y95" i="131" s="1"/>
  <c r="S95" i="131"/>
  <c r="T95" i="131" s="1"/>
  <c r="X94" i="131"/>
  <c r="Y94" i="131" s="1"/>
  <c r="S94" i="131"/>
  <c r="T94" i="131" s="1"/>
  <c r="X93" i="131"/>
  <c r="Y93" i="131" s="1"/>
  <c r="S93" i="131"/>
  <c r="T93" i="131" s="1"/>
  <c r="X92" i="131"/>
  <c r="Y92" i="131" s="1"/>
  <c r="S92" i="131"/>
  <c r="T92" i="131" s="1"/>
  <c r="X91" i="131"/>
  <c r="Y91" i="131" s="1"/>
  <c r="S91" i="131"/>
  <c r="T91" i="131" s="1"/>
  <c r="X90" i="131"/>
  <c r="Y90" i="131" s="1"/>
  <c r="S90" i="131"/>
  <c r="T90" i="131" s="1"/>
  <c r="X89" i="131"/>
  <c r="Y89" i="131" s="1"/>
  <c r="S89" i="131"/>
  <c r="T89" i="131" s="1"/>
  <c r="X88" i="131"/>
  <c r="Y88" i="131" s="1"/>
  <c r="S88" i="131"/>
  <c r="T88" i="131" s="1"/>
  <c r="X87" i="131"/>
  <c r="Y87" i="131" s="1"/>
  <c r="S87" i="131"/>
  <c r="T87" i="131" s="1"/>
  <c r="X86" i="131"/>
  <c r="Y86" i="131" s="1"/>
  <c r="S86" i="131"/>
  <c r="T86" i="131" s="1"/>
  <c r="X85" i="131"/>
  <c r="Y85" i="131" s="1"/>
  <c r="S85" i="131"/>
  <c r="T85" i="131" s="1"/>
  <c r="X84" i="131"/>
  <c r="Y84" i="131" s="1"/>
  <c r="S84" i="131"/>
  <c r="T84" i="131" s="1"/>
  <c r="X83" i="131"/>
  <c r="Y83" i="131" s="1"/>
  <c r="S83" i="131"/>
  <c r="T83" i="131" s="1"/>
  <c r="X82" i="131"/>
  <c r="Y82" i="131" s="1"/>
  <c r="S82" i="131"/>
  <c r="T82" i="131" s="1"/>
  <c r="X81" i="131"/>
  <c r="Y81" i="131" s="1"/>
  <c r="S81" i="131"/>
  <c r="T81" i="131" s="1"/>
  <c r="X80" i="131"/>
  <c r="Y80" i="131" s="1"/>
  <c r="S80" i="131"/>
  <c r="T80" i="131" s="1"/>
  <c r="X79" i="131"/>
  <c r="Y79" i="131" s="1"/>
  <c r="S79" i="131"/>
  <c r="T79" i="131" s="1"/>
  <c r="X78" i="131"/>
  <c r="S78" i="131"/>
  <c r="T75" i="131"/>
  <c r="B56" i="131" s="1"/>
  <c r="J56" i="131" s="1"/>
  <c r="R75" i="131"/>
  <c r="B49" i="131" s="1"/>
  <c r="J49" i="131" s="1"/>
  <c r="T69" i="131"/>
  <c r="B54" i="131" s="1"/>
  <c r="J54" i="131" s="1"/>
  <c r="R69" i="131"/>
  <c r="B48" i="131" s="1"/>
  <c r="J48" i="131" s="1"/>
  <c r="J64" i="131"/>
  <c r="T63" i="131"/>
  <c r="B53" i="131" s="1"/>
  <c r="J53" i="131" s="1"/>
  <c r="S63" i="131"/>
  <c r="B58" i="131" s="1"/>
  <c r="J58" i="131" s="1"/>
  <c r="R63" i="131"/>
  <c r="B47" i="131" s="1"/>
  <c r="J47" i="131" s="1"/>
  <c r="L62" i="131"/>
  <c r="J62" i="131"/>
  <c r="H62" i="131"/>
  <c r="J61" i="131"/>
  <c r="H61" i="131"/>
  <c r="J60" i="131"/>
  <c r="H60" i="131"/>
  <c r="D60" i="131"/>
  <c r="J59" i="131"/>
  <c r="G59" i="131"/>
  <c r="L59" i="131" s="1"/>
  <c r="H58" i="131"/>
  <c r="H57" i="131"/>
  <c r="H56" i="131"/>
  <c r="H55" i="131"/>
  <c r="H54" i="131"/>
  <c r="H53" i="131"/>
  <c r="H52" i="131"/>
  <c r="H51" i="131"/>
  <c r="H50" i="131"/>
  <c r="H49" i="131"/>
  <c r="H48" i="131"/>
  <c r="H47" i="131"/>
  <c r="H46" i="131"/>
  <c r="L45" i="131"/>
  <c r="J45" i="131"/>
  <c r="B43" i="131"/>
  <c r="L43" i="131" s="1"/>
  <c r="T42" i="131"/>
  <c r="B52" i="131" s="1"/>
  <c r="S42" i="131"/>
  <c r="B57" i="131" s="1"/>
  <c r="R42" i="131"/>
  <c r="B46" i="131" s="1"/>
  <c r="L42" i="131"/>
  <c r="B42" i="131"/>
  <c r="J42" i="131" s="1"/>
  <c r="L41" i="131"/>
  <c r="J41" i="131"/>
  <c r="L40" i="131"/>
  <c r="B40" i="131"/>
  <c r="J40" i="131" s="1"/>
  <c r="L39" i="131"/>
  <c r="J39" i="131"/>
  <c r="B38" i="131"/>
  <c r="J37" i="131"/>
  <c r="B35" i="131"/>
  <c r="L35" i="131" s="1"/>
  <c r="L34" i="131"/>
  <c r="B34" i="131"/>
  <c r="J34" i="131" s="1"/>
  <c r="L33" i="131"/>
  <c r="J33" i="131"/>
  <c r="L32" i="131"/>
  <c r="B32" i="131"/>
  <c r="J32" i="131" s="1"/>
  <c r="L31" i="131"/>
  <c r="J31" i="131"/>
  <c r="B30" i="131"/>
  <c r="J29" i="131"/>
  <c r="L28" i="131"/>
  <c r="L27" i="131"/>
  <c r="B27" i="131"/>
  <c r="L26" i="131"/>
  <c r="B26" i="131"/>
  <c r="J26" i="131" s="1"/>
  <c r="L25" i="131"/>
  <c r="J25" i="131"/>
  <c r="L24" i="131"/>
  <c r="B24" i="131"/>
  <c r="J24" i="131" s="1"/>
  <c r="L23" i="131"/>
  <c r="J23" i="131"/>
  <c r="L22" i="131"/>
  <c r="B22" i="131"/>
  <c r="B28" i="131" s="1"/>
  <c r="L21" i="131"/>
  <c r="J21" i="131"/>
  <c r="L20" i="131"/>
  <c r="L19" i="131"/>
  <c r="B19" i="131"/>
  <c r="L18" i="131"/>
  <c r="B18" i="131"/>
  <c r="J18" i="131" s="1"/>
  <c r="L17" i="131"/>
  <c r="J17" i="131"/>
  <c r="L16" i="131"/>
  <c r="B16" i="131"/>
  <c r="J16" i="131" s="1"/>
  <c r="L15" i="131"/>
  <c r="J15" i="131"/>
  <c r="L14" i="131"/>
  <c r="B20" i="131"/>
  <c r="C30" i="109" s="1"/>
  <c r="L13" i="131"/>
  <c r="J13" i="131"/>
  <c r="L12" i="131"/>
  <c r="J12" i="131"/>
  <c r="X10" i="131"/>
  <c r="V10" i="131"/>
  <c r="U10" i="131"/>
  <c r="Z98" i="130"/>
  <c r="B55" i="130" s="1"/>
  <c r="J55" i="130" s="1"/>
  <c r="V98" i="130"/>
  <c r="U98" i="130"/>
  <c r="P98" i="130"/>
  <c r="X97" i="130"/>
  <c r="Y97" i="130" s="1"/>
  <c r="S97" i="130"/>
  <c r="T97" i="130" s="1"/>
  <c r="X96" i="130"/>
  <c r="Y96" i="130" s="1"/>
  <c r="S96" i="130"/>
  <c r="T96" i="130" s="1"/>
  <c r="X95" i="130"/>
  <c r="Y95" i="130" s="1"/>
  <c r="S95" i="130"/>
  <c r="T95" i="130" s="1"/>
  <c r="X94" i="130"/>
  <c r="Y94" i="130" s="1"/>
  <c r="S94" i="130"/>
  <c r="T94" i="130" s="1"/>
  <c r="X93" i="130"/>
  <c r="Y93" i="130" s="1"/>
  <c r="S93" i="130"/>
  <c r="T93" i="130" s="1"/>
  <c r="X92" i="130"/>
  <c r="Y92" i="130" s="1"/>
  <c r="S92" i="130"/>
  <c r="T92" i="130" s="1"/>
  <c r="X91" i="130"/>
  <c r="Y91" i="130" s="1"/>
  <c r="S91" i="130"/>
  <c r="T91" i="130" s="1"/>
  <c r="X90" i="130"/>
  <c r="Y90" i="130" s="1"/>
  <c r="S90" i="130"/>
  <c r="T90" i="130" s="1"/>
  <c r="X89" i="130"/>
  <c r="Y89" i="130" s="1"/>
  <c r="S89" i="130"/>
  <c r="T89" i="130" s="1"/>
  <c r="X88" i="130"/>
  <c r="Y88" i="130" s="1"/>
  <c r="S88" i="130"/>
  <c r="T88" i="130" s="1"/>
  <c r="X87" i="130"/>
  <c r="Y87" i="130" s="1"/>
  <c r="S87" i="130"/>
  <c r="T87" i="130" s="1"/>
  <c r="X86" i="130"/>
  <c r="Y86" i="130" s="1"/>
  <c r="S86" i="130"/>
  <c r="T86" i="130" s="1"/>
  <c r="X85" i="130"/>
  <c r="Y85" i="130" s="1"/>
  <c r="S85" i="130"/>
  <c r="T85" i="130" s="1"/>
  <c r="X84" i="130"/>
  <c r="Y84" i="130" s="1"/>
  <c r="S84" i="130"/>
  <c r="T84" i="130" s="1"/>
  <c r="X83" i="130"/>
  <c r="Y83" i="130" s="1"/>
  <c r="S83" i="130"/>
  <c r="T83" i="130" s="1"/>
  <c r="X82" i="130"/>
  <c r="Y82" i="130" s="1"/>
  <c r="S82" i="130"/>
  <c r="T82" i="130" s="1"/>
  <c r="X81" i="130"/>
  <c r="Y81" i="130" s="1"/>
  <c r="S81" i="130"/>
  <c r="T81" i="130" s="1"/>
  <c r="X80" i="130"/>
  <c r="Y80" i="130" s="1"/>
  <c r="S80" i="130"/>
  <c r="T80" i="130" s="1"/>
  <c r="X79" i="130"/>
  <c r="Y79" i="130" s="1"/>
  <c r="S79" i="130"/>
  <c r="T79" i="130" s="1"/>
  <c r="H79" i="130"/>
  <c r="X78" i="130"/>
  <c r="S78" i="130"/>
  <c r="T75" i="130"/>
  <c r="B56" i="130" s="1"/>
  <c r="J56" i="130" s="1"/>
  <c r="R75" i="130"/>
  <c r="B49" i="130" s="1"/>
  <c r="J49" i="130" s="1"/>
  <c r="T69" i="130"/>
  <c r="B54" i="130" s="1"/>
  <c r="J54" i="130" s="1"/>
  <c r="R69" i="130"/>
  <c r="B48" i="130" s="1"/>
  <c r="J48" i="130" s="1"/>
  <c r="J69" i="130"/>
  <c r="J64" i="130"/>
  <c r="T63" i="130"/>
  <c r="B53" i="130" s="1"/>
  <c r="J53" i="130" s="1"/>
  <c r="S63" i="130"/>
  <c r="B58" i="130" s="1"/>
  <c r="J58" i="130" s="1"/>
  <c r="R63" i="130"/>
  <c r="B47" i="130" s="1"/>
  <c r="J47" i="130" s="1"/>
  <c r="L62" i="130"/>
  <c r="J62" i="130"/>
  <c r="H62" i="130"/>
  <c r="J61" i="130"/>
  <c r="H61" i="130"/>
  <c r="J60" i="130"/>
  <c r="H60" i="130"/>
  <c r="J59" i="130"/>
  <c r="G59" i="130"/>
  <c r="L59" i="130" s="1"/>
  <c r="H58" i="130"/>
  <c r="H57" i="130"/>
  <c r="H56" i="130"/>
  <c r="H55" i="130"/>
  <c r="H54" i="130"/>
  <c r="H53" i="130"/>
  <c r="H52" i="130"/>
  <c r="H51" i="130"/>
  <c r="H50" i="130"/>
  <c r="H49" i="130"/>
  <c r="H48" i="130"/>
  <c r="H47" i="130"/>
  <c r="H46" i="130"/>
  <c r="L45" i="130"/>
  <c r="J45" i="130"/>
  <c r="B43" i="130"/>
  <c r="L43" i="130" s="1"/>
  <c r="T42" i="130"/>
  <c r="B52" i="130" s="1"/>
  <c r="S42" i="130"/>
  <c r="B57" i="130" s="1"/>
  <c r="R42" i="130"/>
  <c r="B46" i="130" s="1"/>
  <c r="L42" i="130"/>
  <c r="B42" i="130"/>
  <c r="J42" i="130" s="1"/>
  <c r="L41" i="130"/>
  <c r="J41" i="130"/>
  <c r="L40" i="130"/>
  <c r="B40" i="130"/>
  <c r="J40" i="130" s="1"/>
  <c r="L39" i="130"/>
  <c r="J39" i="130"/>
  <c r="B38" i="130"/>
  <c r="J37" i="130"/>
  <c r="B35" i="130"/>
  <c r="L35" i="130" s="1"/>
  <c r="L34" i="130"/>
  <c r="B34" i="130"/>
  <c r="J34" i="130" s="1"/>
  <c r="L33" i="130"/>
  <c r="J33" i="130"/>
  <c r="B32" i="130"/>
  <c r="J31" i="130"/>
  <c r="L30" i="130"/>
  <c r="B30" i="130"/>
  <c r="J29" i="130"/>
  <c r="L28" i="130"/>
  <c r="L27" i="130"/>
  <c r="B27" i="130"/>
  <c r="L26" i="130"/>
  <c r="B26" i="130"/>
  <c r="J26" i="130" s="1"/>
  <c r="L25" i="130"/>
  <c r="J25" i="130"/>
  <c r="L24" i="130"/>
  <c r="B24" i="130"/>
  <c r="J24" i="130" s="1"/>
  <c r="L23" i="130"/>
  <c r="J23" i="130"/>
  <c r="L22" i="130"/>
  <c r="B22" i="130"/>
  <c r="B28" i="130" s="1"/>
  <c r="L21" i="130"/>
  <c r="J21" i="130"/>
  <c r="L20" i="130"/>
  <c r="L19" i="130"/>
  <c r="B19" i="130"/>
  <c r="L18" i="130"/>
  <c r="B18" i="130"/>
  <c r="J18" i="130" s="1"/>
  <c r="L17" i="130"/>
  <c r="J17" i="130"/>
  <c r="L16" i="130"/>
  <c r="B16" i="130"/>
  <c r="J16" i="130" s="1"/>
  <c r="L15" i="130"/>
  <c r="J15" i="130"/>
  <c r="L14" i="130"/>
  <c r="B14" i="130"/>
  <c r="B20" i="130" s="1"/>
  <c r="C29" i="109" s="1"/>
  <c r="L13" i="130"/>
  <c r="J13" i="130"/>
  <c r="L12" i="130"/>
  <c r="J12" i="130"/>
  <c r="X10" i="130"/>
  <c r="V10" i="130"/>
  <c r="U10" i="130"/>
  <c r="Z98" i="129"/>
  <c r="B55" i="129" s="1"/>
  <c r="J55" i="129" s="1"/>
  <c r="V98" i="129"/>
  <c r="U98" i="129"/>
  <c r="P98" i="129"/>
  <c r="X97" i="129"/>
  <c r="Y97" i="129" s="1"/>
  <c r="S97" i="129"/>
  <c r="T97" i="129" s="1"/>
  <c r="X96" i="129"/>
  <c r="Y96" i="129" s="1"/>
  <c r="S96" i="129"/>
  <c r="T96" i="129" s="1"/>
  <c r="X95" i="129"/>
  <c r="Y95" i="129" s="1"/>
  <c r="S95" i="129"/>
  <c r="T95" i="129" s="1"/>
  <c r="X94" i="129"/>
  <c r="Y94" i="129" s="1"/>
  <c r="S94" i="129"/>
  <c r="T94" i="129" s="1"/>
  <c r="X93" i="129"/>
  <c r="Y93" i="129" s="1"/>
  <c r="S93" i="129"/>
  <c r="T93" i="129" s="1"/>
  <c r="X92" i="129"/>
  <c r="Y92" i="129" s="1"/>
  <c r="S92" i="129"/>
  <c r="T92" i="129" s="1"/>
  <c r="X91" i="129"/>
  <c r="Y91" i="129" s="1"/>
  <c r="S91" i="129"/>
  <c r="T91" i="129" s="1"/>
  <c r="X90" i="129"/>
  <c r="Y90" i="129" s="1"/>
  <c r="S90" i="129"/>
  <c r="T90" i="129" s="1"/>
  <c r="X89" i="129"/>
  <c r="Y89" i="129" s="1"/>
  <c r="S89" i="129"/>
  <c r="T89" i="129" s="1"/>
  <c r="X88" i="129"/>
  <c r="Y88" i="129" s="1"/>
  <c r="S88" i="129"/>
  <c r="T88" i="129" s="1"/>
  <c r="X87" i="129"/>
  <c r="Y87" i="129" s="1"/>
  <c r="S87" i="129"/>
  <c r="T87" i="129" s="1"/>
  <c r="X86" i="129"/>
  <c r="Y86" i="129" s="1"/>
  <c r="S86" i="129"/>
  <c r="T86" i="129" s="1"/>
  <c r="X85" i="129"/>
  <c r="Y85" i="129" s="1"/>
  <c r="S85" i="129"/>
  <c r="T85" i="129" s="1"/>
  <c r="X84" i="129"/>
  <c r="Y84" i="129" s="1"/>
  <c r="S84" i="129"/>
  <c r="T84" i="129" s="1"/>
  <c r="X83" i="129"/>
  <c r="Y83" i="129" s="1"/>
  <c r="S83" i="129"/>
  <c r="T83" i="129" s="1"/>
  <c r="X82" i="129"/>
  <c r="Y82" i="129" s="1"/>
  <c r="S82" i="129"/>
  <c r="T82" i="129" s="1"/>
  <c r="X81" i="129"/>
  <c r="Y81" i="129" s="1"/>
  <c r="S81" i="129"/>
  <c r="T81" i="129" s="1"/>
  <c r="X80" i="129"/>
  <c r="Y80" i="129" s="1"/>
  <c r="S80" i="129"/>
  <c r="T80" i="129" s="1"/>
  <c r="X79" i="129"/>
  <c r="Y79" i="129" s="1"/>
  <c r="S79" i="129"/>
  <c r="T79" i="129" s="1"/>
  <c r="X78" i="129"/>
  <c r="S78" i="129"/>
  <c r="T75" i="129"/>
  <c r="B56" i="129" s="1"/>
  <c r="J56" i="129" s="1"/>
  <c r="R75" i="129"/>
  <c r="B49" i="129" s="1"/>
  <c r="J49" i="129" s="1"/>
  <c r="T69" i="129"/>
  <c r="B54" i="129" s="1"/>
  <c r="J54" i="129" s="1"/>
  <c r="R69" i="129"/>
  <c r="B48" i="129" s="1"/>
  <c r="J48" i="129" s="1"/>
  <c r="J69" i="129"/>
  <c r="J64" i="129"/>
  <c r="T63" i="129"/>
  <c r="B53" i="129" s="1"/>
  <c r="J53" i="129" s="1"/>
  <c r="S63" i="129"/>
  <c r="B58" i="129" s="1"/>
  <c r="J58" i="129" s="1"/>
  <c r="R63" i="129"/>
  <c r="B47" i="129" s="1"/>
  <c r="J47" i="129" s="1"/>
  <c r="L62" i="129"/>
  <c r="J62" i="129"/>
  <c r="H62" i="129"/>
  <c r="J61" i="129"/>
  <c r="H61" i="129"/>
  <c r="J60" i="129"/>
  <c r="H60" i="129"/>
  <c r="D60" i="129"/>
  <c r="J59" i="129"/>
  <c r="G59" i="129"/>
  <c r="L59" i="129" s="1"/>
  <c r="H58" i="129"/>
  <c r="H57" i="129"/>
  <c r="H56" i="129"/>
  <c r="H55" i="129"/>
  <c r="H54" i="129"/>
  <c r="H53" i="129"/>
  <c r="H52" i="129"/>
  <c r="H51" i="129"/>
  <c r="H50" i="129"/>
  <c r="H49" i="129"/>
  <c r="H48" i="129"/>
  <c r="H47" i="129"/>
  <c r="H46" i="129"/>
  <c r="L45" i="129"/>
  <c r="J45" i="129"/>
  <c r="B43" i="129"/>
  <c r="L43" i="129" s="1"/>
  <c r="T42" i="129"/>
  <c r="B52" i="129" s="1"/>
  <c r="S42" i="129"/>
  <c r="B57" i="129" s="1"/>
  <c r="R42" i="129"/>
  <c r="B46" i="129" s="1"/>
  <c r="L42" i="129"/>
  <c r="B42" i="129"/>
  <c r="J42" i="129" s="1"/>
  <c r="L41" i="129"/>
  <c r="J41" i="129"/>
  <c r="L40" i="129"/>
  <c r="B40" i="129"/>
  <c r="J40" i="129" s="1"/>
  <c r="L39" i="129"/>
  <c r="J39" i="129"/>
  <c r="B38" i="129"/>
  <c r="J37" i="129"/>
  <c r="B35" i="129"/>
  <c r="L35" i="129" s="1"/>
  <c r="L34" i="129"/>
  <c r="B34" i="129"/>
  <c r="J34" i="129" s="1"/>
  <c r="L33" i="129"/>
  <c r="J33" i="129"/>
  <c r="L32" i="129"/>
  <c r="B32" i="129"/>
  <c r="J32" i="129" s="1"/>
  <c r="L31" i="129"/>
  <c r="J31" i="129"/>
  <c r="B30" i="129"/>
  <c r="J29" i="129"/>
  <c r="L28" i="129"/>
  <c r="L27" i="129"/>
  <c r="B27" i="129"/>
  <c r="L26" i="129"/>
  <c r="B26" i="129"/>
  <c r="J26" i="129" s="1"/>
  <c r="L25" i="129"/>
  <c r="J25" i="129"/>
  <c r="L24" i="129"/>
  <c r="B24" i="129"/>
  <c r="J24" i="129" s="1"/>
  <c r="L23" i="129"/>
  <c r="J23" i="129"/>
  <c r="L22" i="129"/>
  <c r="B22" i="129"/>
  <c r="B28" i="129" s="1"/>
  <c r="L21" i="129"/>
  <c r="J21" i="129"/>
  <c r="L20" i="129"/>
  <c r="L19" i="129"/>
  <c r="B19" i="129"/>
  <c r="L18" i="129"/>
  <c r="B18" i="129"/>
  <c r="J18" i="129" s="1"/>
  <c r="L17" i="129"/>
  <c r="J17" i="129"/>
  <c r="L16" i="129"/>
  <c r="B16" i="129"/>
  <c r="J16" i="129" s="1"/>
  <c r="L15" i="129"/>
  <c r="J15" i="129"/>
  <c r="L14" i="129"/>
  <c r="B14" i="129"/>
  <c r="B20" i="129" s="1"/>
  <c r="C28" i="109" s="1"/>
  <c r="L13" i="129"/>
  <c r="J13" i="129"/>
  <c r="L12" i="129"/>
  <c r="J12" i="129"/>
  <c r="X10" i="129"/>
  <c r="V10" i="129"/>
  <c r="U10" i="129"/>
  <c r="Z98" i="128"/>
  <c r="V98" i="128"/>
  <c r="U98" i="128"/>
  <c r="P98" i="128"/>
  <c r="X97" i="128"/>
  <c r="Y97" i="128" s="1"/>
  <c r="S97" i="128"/>
  <c r="T97" i="128" s="1"/>
  <c r="X96" i="128"/>
  <c r="Y96" i="128" s="1"/>
  <c r="S96" i="128"/>
  <c r="T96" i="128" s="1"/>
  <c r="X95" i="128"/>
  <c r="Y95" i="128" s="1"/>
  <c r="S95" i="128"/>
  <c r="T95" i="128" s="1"/>
  <c r="X94" i="128"/>
  <c r="Y94" i="128" s="1"/>
  <c r="S94" i="128"/>
  <c r="T94" i="128" s="1"/>
  <c r="X93" i="128"/>
  <c r="Y93" i="128" s="1"/>
  <c r="S93" i="128"/>
  <c r="T93" i="128" s="1"/>
  <c r="X92" i="128"/>
  <c r="Y92" i="128" s="1"/>
  <c r="S92" i="128"/>
  <c r="T92" i="128" s="1"/>
  <c r="X91" i="128"/>
  <c r="Y91" i="128" s="1"/>
  <c r="S91" i="128"/>
  <c r="T91" i="128" s="1"/>
  <c r="X90" i="128"/>
  <c r="Y90" i="128" s="1"/>
  <c r="S90" i="128"/>
  <c r="T90" i="128" s="1"/>
  <c r="X89" i="128"/>
  <c r="Y89" i="128" s="1"/>
  <c r="S89" i="128"/>
  <c r="T89" i="128" s="1"/>
  <c r="X88" i="128"/>
  <c r="Y88" i="128" s="1"/>
  <c r="S88" i="128"/>
  <c r="T88" i="128" s="1"/>
  <c r="X87" i="128"/>
  <c r="Y87" i="128" s="1"/>
  <c r="S87" i="128"/>
  <c r="T87" i="128" s="1"/>
  <c r="X86" i="128"/>
  <c r="Y86" i="128" s="1"/>
  <c r="S86" i="128"/>
  <c r="T86" i="128" s="1"/>
  <c r="X85" i="128"/>
  <c r="Y85" i="128" s="1"/>
  <c r="S85" i="128"/>
  <c r="T85" i="128" s="1"/>
  <c r="X84" i="128"/>
  <c r="Y84" i="128" s="1"/>
  <c r="S84" i="128"/>
  <c r="T84" i="128" s="1"/>
  <c r="X83" i="128"/>
  <c r="Y83" i="128" s="1"/>
  <c r="S83" i="128"/>
  <c r="T83" i="128" s="1"/>
  <c r="X82" i="128"/>
  <c r="Y82" i="128" s="1"/>
  <c r="S82" i="128"/>
  <c r="T82" i="128" s="1"/>
  <c r="X81" i="128"/>
  <c r="Y81" i="128" s="1"/>
  <c r="S81" i="128"/>
  <c r="T81" i="128" s="1"/>
  <c r="X80" i="128"/>
  <c r="Y80" i="128" s="1"/>
  <c r="S80" i="128"/>
  <c r="T80" i="128" s="1"/>
  <c r="X79" i="128"/>
  <c r="Y79" i="128" s="1"/>
  <c r="S79" i="128"/>
  <c r="T79" i="128" s="1"/>
  <c r="X78" i="128"/>
  <c r="S78" i="128"/>
  <c r="T75" i="128"/>
  <c r="B56" i="128" s="1"/>
  <c r="J56" i="128" s="1"/>
  <c r="R75" i="128"/>
  <c r="B49" i="128" s="1"/>
  <c r="J49" i="128" s="1"/>
  <c r="T69" i="128"/>
  <c r="R69" i="128"/>
  <c r="B48" i="128" s="1"/>
  <c r="J48" i="128" s="1"/>
  <c r="J69" i="128"/>
  <c r="J64" i="128"/>
  <c r="T63" i="128"/>
  <c r="S63" i="128"/>
  <c r="B58" i="128" s="1"/>
  <c r="J58" i="128" s="1"/>
  <c r="R63" i="128"/>
  <c r="L62" i="128"/>
  <c r="J62" i="128"/>
  <c r="H62" i="128"/>
  <c r="J61" i="128"/>
  <c r="H61" i="128"/>
  <c r="J60" i="128"/>
  <c r="H60" i="128"/>
  <c r="D60" i="128"/>
  <c r="J59" i="128"/>
  <c r="G59" i="128"/>
  <c r="L59" i="128" s="1"/>
  <c r="H58" i="128"/>
  <c r="H57" i="128"/>
  <c r="H56" i="128"/>
  <c r="H55" i="128"/>
  <c r="B55" i="128"/>
  <c r="J55" i="128" s="1"/>
  <c r="H54" i="128"/>
  <c r="B54" i="128"/>
  <c r="J54" i="128" s="1"/>
  <c r="H53" i="128"/>
  <c r="B53" i="128"/>
  <c r="J53" i="128" s="1"/>
  <c r="H52" i="128"/>
  <c r="H51" i="128"/>
  <c r="H50" i="128"/>
  <c r="H49" i="128"/>
  <c r="H48" i="128"/>
  <c r="H47" i="128"/>
  <c r="B47" i="128"/>
  <c r="J47" i="128" s="1"/>
  <c r="H46" i="128"/>
  <c r="L45" i="128"/>
  <c r="J45" i="128"/>
  <c r="L44" i="128"/>
  <c r="L43" i="128"/>
  <c r="B43" i="128"/>
  <c r="T42" i="128"/>
  <c r="B52" i="128" s="1"/>
  <c r="S42" i="128"/>
  <c r="B57" i="128" s="1"/>
  <c r="R42" i="128"/>
  <c r="B46" i="128" s="1"/>
  <c r="L42" i="128"/>
  <c r="B42" i="128"/>
  <c r="J42" i="128" s="1"/>
  <c r="L41" i="128"/>
  <c r="J41" i="128"/>
  <c r="L40" i="128"/>
  <c r="B40" i="128"/>
  <c r="J40" i="128" s="1"/>
  <c r="L39" i="128"/>
  <c r="J39" i="128"/>
  <c r="L38" i="128"/>
  <c r="B38" i="128"/>
  <c r="B44" i="128" s="1"/>
  <c r="L37" i="128"/>
  <c r="J37" i="128"/>
  <c r="L36" i="128"/>
  <c r="L35" i="128"/>
  <c r="B35" i="128"/>
  <c r="L34" i="128"/>
  <c r="B34" i="128"/>
  <c r="J34" i="128" s="1"/>
  <c r="L33" i="128"/>
  <c r="J33" i="128"/>
  <c r="L32" i="128"/>
  <c r="B32" i="128"/>
  <c r="J32" i="128" s="1"/>
  <c r="L31" i="128"/>
  <c r="J31" i="128"/>
  <c r="L30" i="128"/>
  <c r="B30" i="128"/>
  <c r="B36" i="128" s="1"/>
  <c r="L29" i="128"/>
  <c r="J29" i="128"/>
  <c r="L28" i="128"/>
  <c r="L27" i="128"/>
  <c r="B27" i="128"/>
  <c r="L26" i="128"/>
  <c r="B26" i="128"/>
  <c r="J26" i="128" s="1"/>
  <c r="L25" i="128"/>
  <c r="J25" i="128"/>
  <c r="L24" i="128"/>
  <c r="B24" i="128"/>
  <c r="J24" i="128" s="1"/>
  <c r="L23" i="128"/>
  <c r="J23" i="128"/>
  <c r="L22" i="128"/>
  <c r="B22" i="128"/>
  <c r="B28" i="128" s="1"/>
  <c r="L21" i="128"/>
  <c r="J21" i="128"/>
  <c r="L20" i="128"/>
  <c r="L19" i="128"/>
  <c r="B19" i="128"/>
  <c r="L18" i="128"/>
  <c r="B18" i="128"/>
  <c r="J18" i="128" s="1"/>
  <c r="L17" i="128"/>
  <c r="J17" i="128"/>
  <c r="L16" i="128"/>
  <c r="B16" i="128"/>
  <c r="J16" i="128" s="1"/>
  <c r="L15" i="128"/>
  <c r="J15" i="128"/>
  <c r="L14" i="128"/>
  <c r="B14" i="128"/>
  <c r="B20" i="128" s="1"/>
  <c r="C27" i="109" s="1"/>
  <c r="L13" i="128"/>
  <c r="J13" i="128"/>
  <c r="L12" i="128"/>
  <c r="J12" i="128"/>
  <c r="X10" i="128"/>
  <c r="V10" i="128"/>
  <c r="U10" i="128"/>
  <c r="Z98" i="127"/>
  <c r="B55" i="127" s="1"/>
  <c r="J55" i="127" s="1"/>
  <c r="V98" i="127"/>
  <c r="U98" i="127"/>
  <c r="P98" i="127"/>
  <c r="B50" i="127" s="1"/>
  <c r="J50" i="127" s="1"/>
  <c r="X97" i="127"/>
  <c r="Y97" i="127" s="1"/>
  <c r="S97" i="127"/>
  <c r="T97" i="127" s="1"/>
  <c r="X96" i="127"/>
  <c r="Y96" i="127" s="1"/>
  <c r="S96" i="127"/>
  <c r="T96" i="127" s="1"/>
  <c r="X95" i="127"/>
  <c r="Y95" i="127" s="1"/>
  <c r="S95" i="127"/>
  <c r="T95" i="127" s="1"/>
  <c r="X94" i="127"/>
  <c r="Y94" i="127" s="1"/>
  <c r="S94" i="127"/>
  <c r="T94" i="127" s="1"/>
  <c r="X93" i="127"/>
  <c r="Y93" i="127" s="1"/>
  <c r="S93" i="127"/>
  <c r="T93" i="127" s="1"/>
  <c r="X92" i="127"/>
  <c r="Y92" i="127" s="1"/>
  <c r="S92" i="127"/>
  <c r="T92" i="127" s="1"/>
  <c r="X91" i="127"/>
  <c r="Y91" i="127" s="1"/>
  <c r="S91" i="127"/>
  <c r="T91" i="127" s="1"/>
  <c r="X90" i="127"/>
  <c r="Y90" i="127" s="1"/>
  <c r="S90" i="127"/>
  <c r="T90" i="127" s="1"/>
  <c r="X89" i="127"/>
  <c r="Y89" i="127" s="1"/>
  <c r="S89" i="127"/>
  <c r="T89" i="127" s="1"/>
  <c r="X88" i="127"/>
  <c r="Y88" i="127" s="1"/>
  <c r="S88" i="127"/>
  <c r="T88" i="127" s="1"/>
  <c r="X87" i="127"/>
  <c r="Y87" i="127" s="1"/>
  <c r="S87" i="127"/>
  <c r="T87" i="127" s="1"/>
  <c r="X86" i="127"/>
  <c r="Y86" i="127" s="1"/>
  <c r="S86" i="127"/>
  <c r="T86" i="127" s="1"/>
  <c r="X85" i="127"/>
  <c r="Y85" i="127" s="1"/>
  <c r="S85" i="127"/>
  <c r="T85" i="127" s="1"/>
  <c r="X84" i="127"/>
  <c r="Y84" i="127" s="1"/>
  <c r="S84" i="127"/>
  <c r="T84" i="127" s="1"/>
  <c r="X83" i="127"/>
  <c r="Y83" i="127" s="1"/>
  <c r="S83" i="127"/>
  <c r="T83" i="127" s="1"/>
  <c r="X82" i="127"/>
  <c r="Y82" i="127" s="1"/>
  <c r="S82" i="127"/>
  <c r="T82" i="127" s="1"/>
  <c r="X81" i="127"/>
  <c r="Y81" i="127" s="1"/>
  <c r="S81" i="127"/>
  <c r="T81" i="127" s="1"/>
  <c r="X80" i="127"/>
  <c r="Y80" i="127" s="1"/>
  <c r="S80" i="127"/>
  <c r="T80" i="127" s="1"/>
  <c r="X79" i="127"/>
  <c r="Y79" i="127" s="1"/>
  <c r="S79" i="127"/>
  <c r="T79" i="127" s="1"/>
  <c r="H79" i="127"/>
  <c r="X78" i="127"/>
  <c r="S78" i="127"/>
  <c r="T75" i="127"/>
  <c r="B56" i="127" s="1"/>
  <c r="J56" i="127" s="1"/>
  <c r="R75" i="127"/>
  <c r="B49" i="127" s="1"/>
  <c r="J49" i="127" s="1"/>
  <c r="T69" i="127"/>
  <c r="B54" i="127" s="1"/>
  <c r="J54" i="127" s="1"/>
  <c r="R69" i="127"/>
  <c r="B48" i="127" s="1"/>
  <c r="J48" i="127" s="1"/>
  <c r="J69" i="127"/>
  <c r="J64" i="127"/>
  <c r="T63" i="127"/>
  <c r="B53" i="127" s="1"/>
  <c r="J53" i="127" s="1"/>
  <c r="S63" i="127"/>
  <c r="B58" i="127" s="1"/>
  <c r="J58" i="127" s="1"/>
  <c r="R63" i="127"/>
  <c r="B47" i="127" s="1"/>
  <c r="J47" i="127" s="1"/>
  <c r="L62" i="127"/>
  <c r="J62" i="127"/>
  <c r="H62" i="127"/>
  <c r="J61" i="127"/>
  <c r="H61" i="127"/>
  <c r="J60" i="127"/>
  <c r="H60" i="127"/>
  <c r="D60" i="127"/>
  <c r="J59" i="127"/>
  <c r="G59" i="127"/>
  <c r="L59" i="127" s="1"/>
  <c r="H58" i="127"/>
  <c r="H57" i="127"/>
  <c r="H56" i="127"/>
  <c r="H55" i="127"/>
  <c r="H54" i="127"/>
  <c r="H53" i="127"/>
  <c r="H52" i="127"/>
  <c r="H51" i="127"/>
  <c r="H50" i="127"/>
  <c r="H49" i="127"/>
  <c r="H48" i="127"/>
  <c r="H47" i="127"/>
  <c r="H46" i="127"/>
  <c r="L45" i="127"/>
  <c r="J45" i="127"/>
  <c r="L44" i="127"/>
  <c r="L43" i="127"/>
  <c r="B43" i="127"/>
  <c r="T42" i="127"/>
  <c r="B52" i="127" s="1"/>
  <c r="S42" i="127"/>
  <c r="B57" i="127" s="1"/>
  <c r="R42" i="127"/>
  <c r="B46" i="127" s="1"/>
  <c r="L42" i="127"/>
  <c r="B42" i="127"/>
  <c r="J42" i="127" s="1"/>
  <c r="L41" i="127"/>
  <c r="J41" i="127"/>
  <c r="L40" i="127"/>
  <c r="B40" i="127"/>
  <c r="J40" i="127" s="1"/>
  <c r="L39" i="127"/>
  <c r="J39" i="127"/>
  <c r="L38" i="127"/>
  <c r="B38" i="127"/>
  <c r="B44" i="127" s="1"/>
  <c r="L37" i="127"/>
  <c r="J37" i="127"/>
  <c r="L36" i="127"/>
  <c r="L35" i="127"/>
  <c r="B35" i="127"/>
  <c r="L34" i="127"/>
  <c r="B34" i="127"/>
  <c r="J34" i="127" s="1"/>
  <c r="L33" i="127"/>
  <c r="J33" i="127"/>
  <c r="L32" i="127"/>
  <c r="B32" i="127"/>
  <c r="J32" i="127" s="1"/>
  <c r="L31" i="127"/>
  <c r="J31" i="127"/>
  <c r="L30" i="127"/>
  <c r="B30" i="127"/>
  <c r="B36" i="127" s="1"/>
  <c r="L29" i="127"/>
  <c r="J29" i="127"/>
  <c r="L28" i="127"/>
  <c r="L27" i="127"/>
  <c r="B27" i="127"/>
  <c r="L26" i="127"/>
  <c r="B26" i="127"/>
  <c r="J26" i="127" s="1"/>
  <c r="L25" i="127"/>
  <c r="J25" i="127"/>
  <c r="L24" i="127"/>
  <c r="B24" i="127"/>
  <c r="J24" i="127" s="1"/>
  <c r="L23" i="127"/>
  <c r="J23" i="127"/>
  <c r="L22" i="127"/>
  <c r="B22" i="127"/>
  <c r="B28" i="127" s="1"/>
  <c r="L21" i="127"/>
  <c r="J21" i="127"/>
  <c r="L20" i="127"/>
  <c r="L19" i="127"/>
  <c r="B19" i="127"/>
  <c r="L18" i="127"/>
  <c r="B18" i="127"/>
  <c r="J18" i="127" s="1"/>
  <c r="L17" i="127"/>
  <c r="J17" i="127"/>
  <c r="L16" i="127"/>
  <c r="B16" i="127"/>
  <c r="J16" i="127" s="1"/>
  <c r="L15" i="127"/>
  <c r="J15" i="127"/>
  <c r="L14" i="127"/>
  <c r="B14" i="127"/>
  <c r="B20" i="127" s="1"/>
  <c r="C26" i="109" s="1"/>
  <c r="L13" i="127"/>
  <c r="J13" i="127"/>
  <c r="L12" i="127"/>
  <c r="J12" i="127"/>
  <c r="X10" i="127"/>
  <c r="V10" i="127"/>
  <c r="U10" i="127"/>
  <c r="Z98" i="126"/>
  <c r="B55" i="126" s="1"/>
  <c r="J55" i="126" s="1"/>
  <c r="V98" i="126"/>
  <c r="U98" i="126"/>
  <c r="P98" i="126"/>
  <c r="X97" i="126"/>
  <c r="Y97" i="126" s="1"/>
  <c r="S97" i="126"/>
  <c r="T97" i="126" s="1"/>
  <c r="X96" i="126"/>
  <c r="Y96" i="126" s="1"/>
  <c r="S96" i="126"/>
  <c r="T96" i="126" s="1"/>
  <c r="X95" i="126"/>
  <c r="Y95" i="126" s="1"/>
  <c r="S95" i="126"/>
  <c r="T95" i="126" s="1"/>
  <c r="X94" i="126"/>
  <c r="Y94" i="126" s="1"/>
  <c r="S94" i="126"/>
  <c r="T94" i="126" s="1"/>
  <c r="X93" i="126"/>
  <c r="Y93" i="126" s="1"/>
  <c r="S93" i="126"/>
  <c r="T93" i="126" s="1"/>
  <c r="X92" i="126"/>
  <c r="Y92" i="126" s="1"/>
  <c r="S92" i="126"/>
  <c r="T92" i="126" s="1"/>
  <c r="X91" i="126"/>
  <c r="Y91" i="126" s="1"/>
  <c r="S91" i="126"/>
  <c r="T91" i="126" s="1"/>
  <c r="X90" i="126"/>
  <c r="Y90" i="126" s="1"/>
  <c r="S90" i="126"/>
  <c r="T90" i="126" s="1"/>
  <c r="X89" i="126"/>
  <c r="Y89" i="126" s="1"/>
  <c r="S89" i="126"/>
  <c r="T89" i="126" s="1"/>
  <c r="X88" i="126"/>
  <c r="Y88" i="126" s="1"/>
  <c r="S88" i="126"/>
  <c r="T88" i="126" s="1"/>
  <c r="X87" i="126"/>
  <c r="Y87" i="126" s="1"/>
  <c r="S87" i="126"/>
  <c r="T87" i="126" s="1"/>
  <c r="X86" i="126"/>
  <c r="Y86" i="126" s="1"/>
  <c r="S86" i="126"/>
  <c r="T86" i="126" s="1"/>
  <c r="X85" i="126"/>
  <c r="Y85" i="126" s="1"/>
  <c r="S85" i="126"/>
  <c r="T85" i="126" s="1"/>
  <c r="X84" i="126"/>
  <c r="Y84" i="126" s="1"/>
  <c r="S84" i="126"/>
  <c r="T84" i="126" s="1"/>
  <c r="X83" i="126"/>
  <c r="Y83" i="126" s="1"/>
  <c r="S83" i="126"/>
  <c r="T83" i="126" s="1"/>
  <c r="X82" i="126"/>
  <c r="Y82" i="126" s="1"/>
  <c r="S82" i="126"/>
  <c r="T82" i="126" s="1"/>
  <c r="X81" i="126"/>
  <c r="Y81" i="126" s="1"/>
  <c r="S81" i="126"/>
  <c r="T81" i="126" s="1"/>
  <c r="X80" i="126"/>
  <c r="Y80" i="126" s="1"/>
  <c r="S80" i="126"/>
  <c r="T80" i="126" s="1"/>
  <c r="X79" i="126"/>
  <c r="Y79" i="126" s="1"/>
  <c r="S79" i="126"/>
  <c r="T79" i="126" s="1"/>
  <c r="H79" i="126"/>
  <c r="X78" i="126"/>
  <c r="S78" i="126"/>
  <c r="T75" i="126"/>
  <c r="B56" i="126" s="1"/>
  <c r="J56" i="126" s="1"/>
  <c r="R75" i="126"/>
  <c r="B49" i="126" s="1"/>
  <c r="J49" i="126" s="1"/>
  <c r="T69" i="126"/>
  <c r="R69" i="126"/>
  <c r="B48" i="126" s="1"/>
  <c r="J48" i="126" s="1"/>
  <c r="J69" i="126"/>
  <c r="J64" i="126"/>
  <c r="T63" i="126"/>
  <c r="S63" i="126"/>
  <c r="B58" i="126" s="1"/>
  <c r="J58" i="126" s="1"/>
  <c r="R63" i="126"/>
  <c r="B47" i="126" s="1"/>
  <c r="J47" i="126" s="1"/>
  <c r="L62" i="126"/>
  <c r="J62" i="126"/>
  <c r="H62" i="126"/>
  <c r="J61" i="126"/>
  <c r="H61" i="126"/>
  <c r="J60" i="126"/>
  <c r="H60" i="126"/>
  <c r="D60" i="126"/>
  <c r="J59" i="126"/>
  <c r="G59" i="126"/>
  <c r="L59" i="126" s="1"/>
  <c r="H58" i="126"/>
  <c r="H57" i="126"/>
  <c r="H56" i="126"/>
  <c r="H55" i="126"/>
  <c r="H54" i="126"/>
  <c r="B54" i="126"/>
  <c r="J54" i="126" s="1"/>
  <c r="H53" i="126"/>
  <c r="B53" i="126"/>
  <c r="J53" i="126" s="1"/>
  <c r="H52" i="126"/>
  <c r="H51" i="126"/>
  <c r="H50" i="126"/>
  <c r="H49" i="126"/>
  <c r="H48" i="126"/>
  <c r="H47" i="126"/>
  <c r="H46" i="126"/>
  <c r="L45" i="126"/>
  <c r="J45" i="126"/>
  <c r="B43" i="126"/>
  <c r="T42" i="126"/>
  <c r="B52" i="126" s="1"/>
  <c r="S42" i="126"/>
  <c r="B57" i="126" s="1"/>
  <c r="R42" i="126"/>
  <c r="B46" i="126" s="1"/>
  <c r="L42" i="126"/>
  <c r="B42" i="126"/>
  <c r="J42" i="126" s="1"/>
  <c r="L41" i="126"/>
  <c r="J41" i="126"/>
  <c r="L40" i="126"/>
  <c r="B40" i="126"/>
  <c r="J40" i="126" s="1"/>
  <c r="L39" i="126"/>
  <c r="J39" i="126"/>
  <c r="B38" i="126"/>
  <c r="B44" i="126" s="1"/>
  <c r="J37" i="126"/>
  <c r="L36" i="126"/>
  <c r="L35" i="126"/>
  <c r="B35" i="126"/>
  <c r="L34" i="126"/>
  <c r="B34" i="126"/>
  <c r="J34" i="126" s="1"/>
  <c r="L33" i="126"/>
  <c r="J33" i="126"/>
  <c r="L32" i="126"/>
  <c r="B32" i="126"/>
  <c r="J32" i="126" s="1"/>
  <c r="L31" i="126"/>
  <c r="J31" i="126"/>
  <c r="L30" i="126"/>
  <c r="B30" i="126"/>
  <c r="B36" i="126" s="1"/>
  <c r="L29" i="126"/>
  <c r="J29" i="126"/>
  <c r="L28" i="126"/>
  <c r="L27" i="126"/>
  <c r="B27" i="126"/>
  <c r="L26" i="126"/>
  <c r="B26" i="126"/>
  <c r="J26" i="126" s="1"/>
  <c r="L25" i="126"/>
  <c r="J25" i="126"/>
  <c r="L24" i="126"/>
  <c r="B24" i="126"/>
  <c r="J24" i="126" s="1"/>
  <c r="L23" i="126"/>
  <c r="J23" i="126"/>
  <c r="L22" i="126"/>
  <c r="B22" i="126"/>
  <c r="B28" i="126" s="1"/>
  <c r="L21" i="126"/>
  <c r="J21" i="126"/>
  <c r="L20" i="126"/>
  <c r="L19" i="126"/>
  <c r="B19" i="126"/>
  <c r="L18" i="126"/>
  <c r="B18" i="126"/>
  <c r="J18" i="126" s="1"/>
  <c r="L17" i="126"/>
  <c r="J17" i="126"/>
  <c r="L16" i="126"/>
  <c r="B16" i="126"/>
  <c r="J16" i="126" s="1"/>
  <c r="L15" i="126"/>
  <c r="J15" i="126"/>
  <c r="L14" i="126"/>
  <c r="B14" i="126"/>
  <c r="B20" i="126" s="1"/>
  <c r="C25" i="109" s="1"/>
  <c r="L13" i="126"/>
  <c r="J13" i="126"/>
  <c r="L12" i="126"/>
  <c r="J12" i="126"/>
  <c r="X10" i="126"/>
  <c r="V10" i="126"/>
  <c r="U10" i="126"/>
  <c r="Z98" i="125"/>
  <c r="B55" i="125" s="1"/>
  <c r="J55" i="125" s="1"/>
  <c r="V98" i="125"/>
  <c r="U98" i="125"/>
  <c r="B51" i="125" s="1"/>
  <c r="P98" i="125"/>
  <c r="X97" i="125"/>
  <c r="Y97" i="125" s="1"/>
  <c r="S97" i="125"/>
  <c r="T97" i="125" s="1"/>
  <c r="X96" i="125"/>
  <c r="Y96" i="125" s="1"/>
  <c r="S96" i="125"/>
  <c r="T96" i="125" s="1"/>
  <c r="X95" i="125"/>
  <c r="Y95" i="125" s="1"/>
  <c r="S95" i="125"/>
  <c r="T95" i="125" s="1"/>
  <c r="X94" i="125"/>
  <c r="Y94" i="125" s="1"/>
  <c r="S94" i="125"/>
  <c r="T94" i="125" s="1"/>
  <c r="X93" i="125"/>
  <c r="Y93" i="125" s="1"/>
  <c r="S93" i="125"/>
  <c r="T93" i="125" s="1"/>
  <c r="X92" i="125"/>
  <c r="Y92" i="125" s="1"/>
  <c r="S92" i="125"/>
  <c r="T92" i="125" s="1"/>
  <c r="X91" i="125"/>
  <c r="Y91" i="125" s="1"/>
  <c r="S91" i="125"/>
  <c r="T91" i="125" s="1"/>
  <c r="X90" i="125"/>
  <c r="Y90" i="125" s="1"/>
  <c r="S90" i="125"/>
  <c r="T90" i="125" s="1"/>
  <c r="X89" i="125"/>
  <c r="Y89" i="125" s="1"/>
  <c r="S89" i="125"/>
  <c r="T89" i="125" s="1"/>
  <c r="X88" i="125"/>
  <c r="Y88" i="125" s="1"/>
  <c r="S88" i="125"/>
  <c r="T88" i="125" s="1"/>
  <c r="X87" i="125"/>
  <c r="Y87" i="125" s="1"/>
  <c r="S87" i="125"/>
  <c r="T87" i="125" s="1"/>
  <c r="X86" i="125"/>
  <c r="Y86" i="125" s="1"/>
  <c r="S86" i="125"/>
  <c r="T86" i="125" s="1"/>
  <c r="X85" i="125"/>
  <c r="Y85" i="125" s="1"/>
  <c r="S85" i="125"/>
  <c r="T85" i="125" s="1"/>
  <c r="X84" i="125"/>
  <c r="Y84" i="125" s="1"/>
  <c r="S84" i="125"/>
  <c r="T84" i="125" s="1"/>
  <c r="X83" i="125"/>
  <c r="Y83" i="125" s="1"/>
  <c r="S83" i="125"/>
  <c r="T83" i="125" s="1"/>
  <c r="X82" i="125"/>
  <c r="Y82" i="125" s="1"/>
  <c r="S82" i="125"/>
  <c r="T82" i="125" s="1"/>
  <c r="X81" i="125"/>
  <c r="Y81" i="125" s="1"/>
  <c r="S81" i="125"/>
  <c r="T81" i="125" s="1"/>
  <c r="X80" i="125"/>
  <c r="Y80" i="125" s="1"/>
  <c r="S80" i="125"/>
  <c r="T80" i="125" s="1"/>
  <c r="X79" i="125"/>
  <c r="Y79" i="125" s="1"/>
  <c r="S79" i="125"/>
  <c r="T79" i="125" s="1"/>
  <c r="H79" i="125"/>
  <c r="X78" i="125"/>
  <c r="Y78" i="125" s="1"/>
  <c r="S78" i="125"/>
  <c r="T75" i="125"/>
  <c r="B56" i="125" s="1"/>
  <c r="J56" i="125" s="1"/>
  <c r="R75" i="125"/>
  <c r="B49" i="125" s="1"/>
  <c r="J49" i="125" s="1"/>
  <c r="T69" i="125"/>
  <c r="B54" i="125" s="1"/>
  <c r="J54" i="125" s="1"/>
  <c r="R69" i="125"/>
  <c r="B48" i="125" s="1"/>
  <c r="J48" i="125" s="1"/>
  <c r="J69" i="125"/>
  <c r="J64" i="125"/>
  <c r="T63" i="125"/>
  <c r="B53" i="125" s="1"/>
  <c r="J53" i="125" s="1"/>
  <c r="S63" i="125"/>
  <c r="B58" i="125" s="1"/>
  <c r="J58" i="125" s="1"/>
  <c r="R63" i="125"/>
  <c r="B47" i="125" s="1"/>
  <c r="J47" i="125" s="1"/>
  <c r="L62" i="125"/>
  <c r="J62" i="125"/>
  <c r="H62" i="125"/>
  <c r="J61" i="125"/>
  <c r="H61" i="125"/>
  <c r="J60" i="125"/>
  <c r="H60" i="125"/>
  <c r="D60" i="125"/>
  <c r="J59" i="125"/>
  <c r="G59" i="125"/>
  <c r="L59" i="125" s="1"/>
  <c r="H58" i="125"/>
  <c r="H57" i="125"/>
  <c r="H56" i="125"/>
  <c r="H55" i="125"/>
  <c r="H54" i="125"/>
  <c r="H53" i="125"/>
  <c r="H52" i="125"/>
  <c r="H51" i="125"/>
  <c r="H50" i="125"/>
  <c r="H49" i="125"/>
  <c r="H48" i="125"/>
  <c r="H47" i="125"/>
  <c r="H46" i="125"/>
  <c r="L45" i="125"/>
  <c r="J45" i="125"/>
  <c r="B43" i="125"/>
  <c r="T42" i="125"/>
  <c r="B52" i="125" s="1"/>
  <c r="S42" i="125"/>
  <c r="B57" i="125" s="1"/>
  <c r="R42" i="125"/>
  <c r="B46" i="125" s="1"/>
  <c r="L42" i="125"/>
  <c r="B42" i="125"/>
  <c r="J42" i="125" s="1"/>
  <c r="L41" i="125"/>
  <c r="J41" i="125"/>
  <c r="L40" i="125"/>
  <c r="B40" i="125"/>
  <c r="J40" i="125" s="1"/>
  <c r="L39" i="125"/>
  <c r="J39" i="125"/>
  <c r="B38" i="125"/>
  <c r="B44" i="125" s="1"/>
  <c r="J37" i="125"/>
  <c r="L36" i="125"/>
  <c r="L35" i="125"/>
  <c r="B35" i="125"/>
  <c r="L34" i="125"/>
  <c r="B34" i="125"/>
  <c r="J34" i="125" s="1"/>
  <c r="L33" i="125"/>
  <c r="J33" i="125"/>
  <c r="L32" i="125"/>
  <c r="B32" i="125"/>
  <c r="J32" i="125" s="1"/>
  <c r="L31" i="125"/>
  <c r="J31" i="125"/>
  <c r="L30" i="125"/>
  <c r="B30" i="125"/>
  <c r="L29" i="125"/>
  <c r="J29" i="125"/>
  <c r="L28" i="125"/>
  <c r="L27" i="125"/>
  <c r="B27" i="125"/>
  <c r="L26" i="125"/>
  <c r="B26" i="125"/>
  <c r="J26" i="125" s="1"/>
  <c r="L25" i="125"/>
  <c r="J25" i="125"/>
  <c r="L24" i="125"/>
  <c r="B24" i="125"/>
  <c r="J24" i="125" s="1"/>
  <c r="L23" i="125"/>
  <c r="J23" i="125"/>
  <c r="L22" i="125"/>
  <c r="B22" i="125"/>
  <c r="B28" i="125" s="1"/>
  <c r="L21" i="125"/>
  <c r="J21" i="125"/>
  <c r="L20" i="125"/>
  <c r="L19" i="125"/>
  <c r="B19" i="125"/>
  <c r="L18" i="125"/>
  <c r="B18" i="125"/>
  <c r="J18" i="125" s="1"/>
  <c r="L17" i="125"/>
  <c r="J17" i="125"/>
  <c r="L16" i="125"/>
  <c r="J16" i="125"/>
  <c r="L15" i="125"/>
  <c r="J15" i="125"/>
  <c r="L14" i="125"/>
  <c r="B20" i="125"/>
  <c r="C24" i="109" s="1"/>
  <c r="L13" i="125"/>
  <c r="J13" i="125"/>
  <c r="L12" i="125"/>
  <c r="J12" i="125"/>
  <c r="X10" i="125"/>
  <c r="V10" i="125"/>
  <c r="U10" i="125"/>
  <c r="Z98" i="124"/>
  <c r="B55" i="124" s="1"/>
  <c r="J55" i="124" s="1"/>
  <c r="V98" i="124"/>
  <c r="U98" i="124"/>
  <c r="P98" i="124"/>
  <c r="B50" i="124" s="1"/>
  <c r="J50" i="124" s="1"/>
  <c r="X97" i="124"/>
  <c r="Y97" i="124" s="1"/>
  <c r="S97" i="124"/>
  <c r="T97" i="124" s="1"/>
  <c r="X96" i="124"/>
  <c r="Y96" i="124" s="1"/>
  <c r="S96" i="124"/>
  <c r="T96" i="124" s="1"/>
  <c r="X95" i="124"/>
  <c r="Y95" i="124" s="1"/>
  <c r="S95" i="124"/>
  <c r="T95" i="124" s="1"/>
  <c r="X94" i="124"/>
  <c r="Y94" i="124" s="1"/>
  <c r="S94" i="124"/>
  <c r="T94" i="124" s="1"/>
  <c r="X93" i="124"/>
  <c r="Y93" i="124" s="1"/>
  <c r="S93" i="124"/>
  <c r="T93" i="124" s="1"/>
  <c r="X92" i="124"/>
  <c r="Y92" i="124" s="1"/>
  <c r="S92" i="124"/>
  <c r="T92" i="124" s="1"/>
  <c r="X91" i="124"/>
  <c r="Y91" i="124" s="1"/>
  <c r="S91" i="124"/>
  <c r="T91" i="124" s="1"/>
  <c r="X90" i="124"/>
  <c r="Y90" i="124" s="1"/>
  <c r="S90" i="124"/>
  <c r="T90" i="124" s="1"/>
  <c r="X89" i="124"/>
  <c r="Y89" i="124" s="1"/>
  <c r="S89" i="124"/>
  <c r="T89" i="124" s="1"/>
  <c r="X88" i="124"/>
  <c r="Y88" i="124" s="1"/>
  <c r="S88" i="124"/>
  <c r="T88" i="124" s="1"/>
  <c r="X87" i="124"/>
  <c r="Y87" i="124" s="1"/>
  <c r="S87" i="124"/>
  <c r="T87" i="124" s="1"/>
  <c r="X86" i="124"/>
  <c r="Y86" i="124" s="1"/>
  <c r="S86" i="124"/>
  <c r="T86" i="124" s="1"/>
  <c r="X85" i="124"/>
  <c r="Y85" i="124" s="1"/>
  <c r="S85" i="124"/>
  <c r="T85" i="124" s="1"/>
  <c r="X84" i="124"/>
  <c r="Y84" i="124" s="1"/>
  <c r="S84" i="124"/>
  <c r="T84" i="124" s="1"/>
  <c r="X83" i="124"/>
  <c r="Y83" i="124" s="1"/>
  <c r="S83" i="124"/>
  <c r="T83" i="124" s="1"/>
  <c r="X82" i="124"/>
  <c r="Y82" i="124" s="1"/>
  <c r="S82" i="124"/>
  <c r="T82" i="124" s="1"/>
  <c r="X81" i="124"/>
  <c r="Y81" i="124" s="1"/>
  <c r="S81" i="124"/>
  <c r="T81" i="124" s="1"/>
  <c r="X80" i="124"/>
  <c r="Y80" i="124" s="1"/>
  <c r="S80" i="124"/>
  <c r="T80" i="124" s="1"/>
  <c r="X79" i="124"/>
  <c r="Y79" i="124" s="1"/>
  <c r="S79" i="124"/>
  <c r="T79" i="124" s="1"/>
  <c r="X78" i="124"/>
  <c r="S78" i="124"/>
  <c r="T75" i="124"/>
  <c r="B56" i="124" s="1"/>
  <c r="J56" i="124" s="1"/>
  <c r="R75" i="124"/>
  <c r="B49" i="124" s="1"/>
  <c r="J49" i="124" s="1"/>
  <c r="T69" i="124"/>
  <c r="B54" i="124" s="1"/>
  <c r="J54" i="124" s="1"/>
  <c r="R69" i="124"/>
  <c r="B48" i="124" s="1"/>
  <c r="J48" i="124" s="1"/>
  <c r="J69" i="124"/>
  <c r="J64" i="124"/>
  <c r="T63" i="124"/>
  <c r="B53" i="124" s="1"/>
  <c r="J53" i="124" s="1"/>
  <c r="S63" i="124"/>
  <c r="B58" i="124" s="1"/>
  <c r="J58" i="124" s="1"/>
  <c r="R63" i="124"/>
  <c r="B47" i="124" s="1"/>
  <c r="J47" i="124" s="1"/>
  <c r="L62" i="124"/>
  <c r="J62" i="124"/>
  <c r="H62" i="124"/>
  <c r="J61" i="124"/>
  <c r="H61" i="124"/>
  <c r="J60" i="124"/>
  <c r="H60" i="124"/>
  <c r="D60" i="124"/>
  <c r="J59" i="124"/>
  <c r="G59" i="124"/>
  <c r="L59" i="124" s="1"/>
  <c r="H58" i="124"/>
  <c r="H57" i="124"/>
  <c r="H56" i="124"/>
  <c r="H55" i="124"/>
  <c r="H54" i="124"/>
  <c r="H53" i="124"/>
  <c r="H52" i="124"/>
  <c r="H51" i="124"/>
  <c r="H50" i="124"/>
  <c r="H49" i="124"/>
  <c r="H48" i="124"/>
  <c r="H47" i="124"/>
  <c r="H46" i="124"/>
  <c r="L45" i="124"/>
  <c r="J45" i="124"/>
  <c r="B43" i="124"/>
  <c r="L43" i="124" s="1"/>
  <c r="T42" i="124"/>
  <c r="B52" i="124" s="1"/>
  <c r="S42" i="124"/>
  <c r="B57" i="124" s="1"/>
  <c r="R42" i="124"/>
  <c r="B46" i="124" s="1"/>
  <c r="L42" i="124"/>
  <c r="B42" i="124"/>
  <c r="J42" i="124" s="1"/>
  <c r="L41" i="124"/>
  <c r="J41" i="124"/>
  <c r="L40" i="124"/>
  <c r="B40" i="124"/>
  <c r="J40" i="124" s="1"/>
  <c r="L39" i="124"/>
  <c r="J39" i="124"/>
  <c r="B38" i="124"/>
  <c r="J37" i="124"/>
  <c r="L36" i="124"/>
  <c r="L35" i="124"/>
  <c r="B35" i="124"/>
  <c r="L34" i="124"/>
  <c r="B34" i="124"/>
  <c r="J34" i="124" s="1"/>
  <c r="L33" i="124"/>
  <c r="J33" i="124"/>
  <c r="L32" i="124"/>
  <c r="B32" i="124"/>
  <c r="J32" i="124" s="1"/>
  <c r="L31" i="124"/>
  <c r="J31" i="124"/>
  <c r="L30" i="124"/>
  <c r="B30" i="124"/>
  <c r="B36" i="124" s="1"/>
  <c r="L29" i="124"/>
  <c r="J29" i="124"/>
  <c r="L28" i="124"/>
  <c r="L27" i="124"/>
  <c r="B27" i="124"/>
  <c r="L26" i="124"/>
  <c r="B26" i="124"/>
  <c r="J26" i="124" s="1"/>
  <c r="L25" i="124"/>
  <c r="J25" i="124"/>
  <c r="L24" i="124"/>
  <c r="B24" i="124"/>
  <c r="J24" i="124" s="1"/>
  <c r="L23" i="124"/>
  <c r="J23" i="124"/>
  <c r="L22" i="124"/>
  <c r="B22" i="124"/>
  <c r="B28" i="124" s="1"/>
  <c r="L21" i="124"/>
  <c r="J21" i="124"/>
  <c r="L20" i="124"/>
  <c r="L19" i="124"/>
  <c r="B19" i="124"/>
  <c r="L18" i="124"/>
  <c r="B18" i="124"/>
  <c r="J18" i="124" s="1"/>
  <c r="L17" i="124"/>
  <c r="J17" i="124"/>
  <c r="L16" i="124"/>
  <c r="B16" i="124"/>
  <c r="J16" i="124" s="1"/>
  <c r="L15" i="124"/>
  <c r="J15" i="124"/>
  <c r="L14" i="124"/>
  <c r="B14" i="124"/>
  <c r="B20" i="124" s="1"/>
  <c r="C23" i="109" s="1"/>
  <c r="L13" i="124"/>
  <c r="J13" i="124"/>
  <c r="L12" i="124"/>
  <c r="J12" i="124"/>
  <c r="X10" i="124"/>
  <c r="V10" i="124"/>
  <c r="U10" i="124"/>
  <c r="Z98" i="123"/>
  <c r="B55" i="123" s="1"/>
  <c r="J55" i="123" s="1"/>
  <c r="V98" i="123"/>
  <c r="U98" i="123"/>
  <c r="P98" i="123"/>
  <c r="B50" i="123" s="1"/>
  <c r="J50" i="123" s="1"/>
  <c r="X97" i="123"/>
  <c r="Y97" i="123" s="1"/>
  <c r="S97" i="123"/>
  <c r="T97" i="123" s="1"/>
  <c r="X96" i="123"/>
  <c r="Y96" i="123" s="1"/>
  <c r="S96" i="123"/>
  <c r="T96" i="123" s="1"/>
  <c r="X95" i="123"/>
  <c r="Y95" i="123" s="1"/>
  <c r="S95" i="123"/>
  <c r="T95" i="123" s="1"/>
  <c r="X94" i="123"/>
  <c r="Y94" i="123" s="1"/>
  <c r="S94" i="123"/>
  <c r="T94" i="123" s="1"/>
  <c r="X93" i="123"/>
  <c r="Y93" i="123" s="1"/>
  <c r="S93" i="123"/>
  <c r="T93" i="123" s="1"/>
  <c r="X92" i="123"/>
  <c r="Y92" i="123" s="1"/>
  <c r="S92" i="123"/>
  <c r="T92" i="123" s="1"/>
  <c r="X91" i="123"/>
  <c r="Y91" i="123" s="1"/>
  <c r="S91" i="123"/>
  <c r="T91" i="123" s="1"/>
  <c r="X90" i="123"/>
  <c r="Y90" i="123" s="1"/>
  <c r="S90" i="123"/>
  <c r="T90" i="123" s="1"/>
  <c r="X89" i="123"/>
  <c r="Y89" i="123" s="1"/>
  <c r="S89" i="123"/>
  <c r="T89" i="123" s="1"/>
  <c r="X88" i="123"/>
  <c r="Y88" i="123" s="1"/>
  <c r="S88" i="123"/>
  <c r="T88" i="123" s="1"/>
  <c r="X87" i="123"/>
  <c r="Y87" i="123" s="1"/>
  <c r="S87" i="123"/>
  <c r="T87" i="123" s="1"/>
  <c r="X86" i="123"/>
  <c r="Y86" i="123" s="1"/>
  <c r="S86" i="123"/>
  <c r="T86" i="123" s="1"/>
  <c r="X85" i="123"/>
  <c r="Y85" i="123" s="1"/>
  <c r="S85" i="123"/>
  <c r="T85" i="123" s="1"/>
  <c r="X84" i="123"/>
  <c r="Y84" i="123" s="1"/>
  <c r="S84" i="123"/>
  <c r="T84" i="123" s="1"/>
  <c r="X83" i="123"/>
  <c r="Y83" i="123" s="1"/>
  <c r="S83" i="123"/>
  <c r="T83" i="123" s="1"/>
  <c r="X82" i="123"/>
  <c r="Y82" i="123" s="1"/>
  <c r="S82" i="123"/>
  <c r="T82" i="123" s="1"/>
  <c r="X81" i="123"/>
  <c r="Y81" i="123" s="1"/>
  <c r="S81" i="123"/>
  <c r="T81" i="123" s="1"/>
  <c r="X80" i="123"/>
  <c r="Y80" i="123" s="1"/>
  <c r="S80" i="123"/>
  <c r="T80" i="123" s="1"/>
  <c r="X79" i="123"/>
  <c r="Y79" i="123" s="1"/>
  <c r="S79" i="123"/>
  <c r="T79" i="123" s="1"/>
  <c r="X78" i="123"/>
  <c r="S78" i="123"/>
  <c r="T75" i="123"/>
  <c r="B56" i="123" s="1"/>
  <c r="J56" i="123" s="1"/>
  <c r="R75" i="123"/>
  <c r="B49" i="123" s="1"/>
  <c r="J49" i="123" s="1"/>
  <c r="T69" i="123"/>
  <c r="B54" i="123" s="1"/>
  <c r="J54" i="123" s="1"/>
  <c r="R69" i="123"/>
  <c r="B48" i="123" s="1"/>
  <c r="J48" i="123" s="1"/>
  <c r="J69" i="123"/>
  <c r="J64" i="123"/>
  <c r="T63" i="123"/>
  <c r="B53" i="123" s="1"/>
  <c r="J53" i="123" s="1"/>
  <c r="S63" i="123"/>
  <c r="B58" i="123" s="1"/>
  <c r="J58" i="123" s="1"/>
  <c r="R63" i="123"/>
  <c r="B47" i="123" s="1"/>
  <c r="J47" i="123" s="1"/>
  <c r="L62" i="123"/>
  <c r="J62" i="123"/>
  <c r="H62" i="123"/>
  <c r="J61" i="123"/>
  <c r="H61" i="123"/>
  <c r="J60" i="123"/>
  <c r="H60" i="123"/>
  <c r="D60" i="123"/>
  <c r="J59" i="123"/>
  <c r="G59" i="123"/>
  <c r="L59" i="123" s="1"/>
  <c r="H58" i="123"/>
  <c r="H57" i="123"/>
  <c r="H56" i="123"/>
  <c r="H55" i="123"/>
  <c r="H54" i="123"/>
  <c r="H53" i="123"/>
  <c r="H52" i="123"/>
  <c r="H51" i="123"/>
  <c r="H50" i="123"/>
  <c r="H49" i="123"/>
  <c r="H48" i="123"/>
  <c r="H47" i="123"/>
  <c r="H46" i="123"/>
  <c r="L45" i="123"/>
  <c r="J45" i="123"/>
  <c r="L44" i="123"/>
  <c r="L43" i="123"/>
  <c r="B43" i="123"/>
  <c r="T42" i="123"/>
  <c r="B52" i="123" s="1"/>
  <c r="S42" i="123"/>
  <c r="B57" i="123" s="1"/>
  <c r="R42" i="123"/>
  <c r="B46" i="123" s="1"/>
  <c r="L42" i="123"/>
  <c r="B42" i="123"/>
  <c r="J42" i="123" s="1"/>
  <c r="L41" i="123"/>
  <c r="J41" i="123"/>
  <c r="L40" i="123"/>
  <c r="B40" i="123"/>
  <c r="J40" i="123" s="1"/>
  <c r="L39" i="123"/>
  <c r="J39" i="123"/>
  <c r="L38" i="123"/>
  <c r="B38" i="123"/>
  <c r="B44" i="123" s="1"/>
  <c r="L37" i="123"/>
  <c r="J37" i="123"/>
  <c r="L36" i="123"/>
  <c r="L35" i="123"/>
  <c r="B35" i="123"/>
  <c r="L34" i="123"/>
  <c r="B34" i="123"/>
  <c r="J34" i="123" s="1"/>
  <c r="L33" i="123"/>
  <c r="J33" i="123"/>
  <c r="L32" i="123"/>
  <c r="B32" i="123"/>
  <c r="J32" i="123" s="1"/>
  <c r="L31" i="123"/>
  <c r="J31" i="123"/>
  <c r="L30" i="123"/>
  <c r="B30" i="123"/>
  <c r="B36" i="123" s="1"/>
  <c r="L29" i="123"/>
  <c r="J29" i="123"/>
  <c r="L28" i="123"/>
  <c r="L27" i="123"/>
  <c r="B27" i="123"/>
  <c r="L26" i="123"/>
  <c r="B26" i="123"/>
  <c r="J26" i="123" s="1"/>
  <c r="L25" i="123"/>
  <c r="J25" i="123"/>
  <c r="L24" i="123"/>
  <c r="B24" i="123"/>
  <c r="J24" i="123" s="1"/>
  <c r="L23" i="123"/>
  <c r="J23" i="123"/>
  <c r="L22" i="123"/>
  <c r="B22" i="123"/>
  <c r="B28" i="123" s="1"/>
  <c r="L21" i="123"/>
  <c r="J21" i="123"/>
  <c r="L20" i="123"/>
  <c r="L19" i="123"/>
  <c r="B19" i="123"/>
  <c r="L18" i="123"/>
  <c r="B18" i="123"/>
  <c r="J18" i="123" s="1"/>
  <c r="L17" i="123"/>
  <c r="J17" i="123"/>
  <c r="L16" i="123"/>
  <c r="B16" i="123"/>
  <c r="J16" i="123" s="1"/>
  <c r="L15" i="123"/>
  <c r="J15" i="123"/>
  <c r="L14" i="123"/>
  <c r="B14" i="123"/>
  <c r="B20" i="123" s="1"/>
  <c r="C22" i="109" s="1"/>
  <c r="L13" i="123"/>
  <c r="J13" i="123"/>
  <c r="L12" i="123"/>
  <c r="J12" i="123"/>
  <c r="X10" i="123"/>
  <c r="V10" i="123"/>
  <c r="U10" i="123"/>
  <c r="Z98" i="122"/>
  <c r="B55" i="122" s="1"/>
  <c r="J55" i="122" s="1"/>
  <c r="V98" i="122"/>
  <c r="U98" i="122"/>
  <c r="P98" i="122"/>
  <c r="X97" i="122"/>
  <c r="Y97" i="122" s="1"/>
  <c r="S97" i="122"/>
  <c r="T97" i="122" s="1"/>
  <c r="X96" i="122"/>
  <c r="Y96" i="122" s="1"/>
  <c r="S96" i="122"/>
  <c r="T96" i="122" s="1"/>
  <c r="X95" i="122"/>
  <c r="Y95" i="122" s="1"/>
  <c r="S95" i="122"/>
  <c r="T95" i="122" s="1"/>
  <c r="X94" i="122"/>
  <c r="Y94" i="122" s="1"/>
  <c r="S94" i="122"/>
  <c r="T94" i="122" s="1"/>
  <c r="X93" i="122"/>
  <c r="Y93" i="122" s="1"/>
  <c r="S93" i="122"/>
  <c r="T93" i="122" s="1"/>
  <c r="X92" i="122"/>
  <c r="Y92" i="122" s="1"/>
  <c r="S92" i="122"/>
  <c r="T92" i="122" s="1"/>
  <c r="X91" i="122"/>
  <c r="Y91" i="122" s="1"/>
  <c r="S91" i="122"/>
  <c r="T91" i="122" s="1"/>
  <c r="X90" i="122"/>
  <c r="Y90" i="122" s="1"/>
  <c r="S90" i="122"/>
  <c r="T90" i="122" s="1"/>
  <c r="X89" i="122"/>
  <c r="Y89" i="122" s="1"/>
  <c r="S89" i="122"/>
  <c r="T89" i="122" s="1"/>
  <c r="X88" i="122"/>
  <c r="Y88" i="122" s="1"/>
  <c r="S88" i="122"/>
  <c r="T88" i="122" s="1"/>
  <c r="X87" i="122"/>
  <c r="Y87" i="122" s="1"/>
  <c r="S87" i="122"/>
  <c r="T87" i="122" s="1"/>
  <c r="X86" i="122"/>
  <c r="Y86" i="122" s="1"/>
  <c r="S86" i="122"/>
  <c r="T86" i="122" s="1"/>
  <c r="X85" i="122"/>
  <c r="Y85" i="122" s="1"/>
  <c r="S85" i="122"/>
  <c r="T85" i="122" s="1"/>
  <c r="X84" i="122"/>
  <c r="Y84" i="122" s="1"/>
  <c r="S84" i="122"/>
  <c r="T84" i="122" s="1"/>
  <c r="X83" i="122"/>
  <c r="Y83" i="122" s="1"/>
  <c r="S83" i="122"/>
  <c r="T83" i="122" s="1"/>
  <c r="X82" i="122"/>
  <c r="Y82" i="122" s="1"/>
  <c r="S82" i="122"/>
  <c r="T82" i="122" s="1"/>
  <c r="X81" i="122"/>
  <c r="Y81" i="122" s="1"/>
  <c r="S81" i="122"/>
  <c r="T81" i="122" s="1"/>
  <c r="X80" i="122"/>
  <c r="Y80" i="122" s="1"/>
  <c r="S80" i="122"/>
  <c r="T80" i="122" s="1"/>
  <c r="X79" i="122"/>
  <c r="Y79" i="122" s="1"/>
  <c r="S79" i="122"/>
  <c r="T79" i="122" s="1"/>
  <c r="H79" i="122"/>
  <c r="X78" i="122"/>
  <c r="S78" i="122"/>
  <c r="T75" i="122"/>
  <c r="B56" i="122" s="1"/>
  <c r="J56" i="122" s="1"/>
  <c r="B49" i="122"/>
  <c r="J49" i="122" s="1"/>
  <c r="T69" i="122"/>
  <c r="B54" i="122" s="1"/>
  <c r="J54" i="122" s="1"/>
  <c r="R69" i="122"/>
  <c r="B48" i="122" s="1"/>
  <c r="J48" i="122" s="1"/>
  <c r="J69" i="122"/>
  <c r="J64" i="122"/>
  <c r="T63" i="122"/>
  <c r="B53" i="122" s="1"/>
  <c r="J53" i="122" s="1"/>
  <c r="S63" i="122"/>
  <c r="B58" i="122" s="1"/>
  <c r="J58" i="122" s="1"/>
  <c r="R63" i="122"/>
  <c r="B47" i="122" s="1"/>
  <c r="J47" i="122" s="1"/>
  <c r="L62" i="122"/>
  <c r="J62" i="122"/>
  <c r="H62" i="122"/>
  <c r="J61" i="122"/>
  <c r="H61" i="122"/>
  <c r="J60" i="122"/>
  <c r="H60" i="122"/>
  <c r="D60" i="122"/>
  <c r="J59" i="122"/>
  <c r="G59" i="122"/>
  <c r="L59" i="122" s="1"/>
  <c r="H58" i="122"/>
  <c r="H57" i="122"/>
  <c r="H56" i="122"/>
  <c r="H55" i="122"/>
  <c r="H54" i="122"/>
  <c r="H53" i="122"/>
  <c r="H52" i="122"/>
  <c r="H51" i="122"/>
  <c r="H50" i="122"/>
  <c r="H49" i="122"/>
  <c r="H48" i="122"/>
  <c r="H47" i="122"/>
  <c r="H46" i="122"/>
  <c r="L45" i="122"/>
  <c r="J45" i="122"/>
  <c r="L44" i="122"/>
  <c r="L43" i="122"/>
  <c r="B43" i="122"/>
  <c r="T42" i="122"/>
  <c r="B52" i="122" s="1"/>
  <c r="S42" i="122"/>
  <c r="B57" i="122" s="1"/>
  <c r="R42" i="122"/>
  <c r="B46" i="122" s="1"/>
  <c r="L42" i="122"/>
  <c r="B42" i="122"/>
  <c r="J42" i="122" s="1"/>
  <c r="L41" i="122"/>
  <c r="J41" i="122"/>
  <c r="L40" i="122"/>
  <c r="B40" i="122"/>
  <c r="J40" i="122" s="1"/>
  <c r="L39" i="122"/>
  <c r="J39" i="122"/>
  <c r="L38" i="122"/>
  <c r="B38" i="122"/>
  <c r="B44" i="122" s="1"/>
  <c r="L37" i="122"/>
  <c r="J37" i="122"/>
  <c r="B35" i="122"/>
  <c r="L35" i="122" s="1"/>
  <c r="L34" i="122"/>
  <c r="B34" i="122"/>
  <c r="J34" i="122" s="1"/>
  <c r="L33" i="122"/>
  <c r="J33" i="122"/>
  <c r="B32" i="122"/>
  <c r="B36" i="122" s="1"/>
  <c r="L36" i="122" s="1"/>
  <c r="J31" i="122"/>
  <c r="L30" i="122"/>
  <c r="L29" i="122"/>
  <c r="J29" i="122"/>
  <c r="L28" i="122"/>
  <c r="L27" i="122"/>
  <c r="B27" i="122"/>
  <c r="L26" i="122"/>
  <c r="B26" i="122"/>
  <c r="J26" i="122" s="1"/>
  <c r="L25" i="122"/>
  <c r="J25" i="122"/>
  <c r="L24" i="122"/>
  <c r="B24" i="122"/>
  <c r="J24" i="122" s="1"/>
  <c r="L23" i="122"/>
  <c r="J23" i="122"/>
  <c r="L22" i="122"/>
  <c r="B22" i="122"/>
  <c r="B28" i="122" s="1"/>
  <c r="L21" i="122"/>
  <c r="J21" i="122"/>
  <c r="L20" i="122"/>
  <c r="L19" i="122"/>
  <c r="B19" i="122"/>
  <c r="L18" i="122"/>
  <c r="B18" i="122"/>
  <c r="J18" i="122" s="1"/>
  <c r="L17" i="122"/>
  <c r="J17" i="122"/>
  <c r="L16" i="122"/>
  <c r="B16" i="122"/>
  <c r="J16" i="122" s="1"/>
  <c r="L15" i="122"/>
  <c r="J15" i="122"/>
  <c r="L14" i="122"/>
  <c r="B14" i="122"/>
  <c r="B20" i="122" s="1"/>
  <c r="C21" i="109" s="1"/>
  <c r="L13" i="122"/>
  <c r="J13" i="122"/>
  <c r="L12" i="122"/>
  <c r="X10" i="122"/>
  <c r="V10" i="122"/>
  <c r="U10" i="122"/>
  <c r="Z98" i="121"/>
  <c r="J55" i="121" s="1"/>
  <c r="V98" i="121"/>
  <c r="U98" i="121"/>
  <c r="P98" i="121"/>
  <c r="X97" i="121"/>
  <c r="Y97" i="121" s="1"/>
  <c r="S97" i="121"/>
  <c r="T97" i="121" s="1"/>
  <c r="X96" i="121"/>
  <c r="Y96" i="121" s="1"/>
  <c r="S96" i="121"/>
  <c r="T96" i="121" s="1"/>
  <c r="X95" i="121"/>
  <c r="Y95" i="121" s="1"/>
  <c r="S95" i="121"/>
  <c r="T95" i="121" s="1"/>
  <c r="X94" i="121"/>
  <c r="Y94" i="121" s="1"/>
  <c r="S94" i="121"/>
  <c r="T94" i="121" s="1"/>
  <c r="X93" i="121"/>
  <c r="Y93" i="121" s="1"/>
  <c r="S93" i="121"/>
  <c r="T93" i="121" s="1"/>
  <c r="X92" i="121"/>
  <c r="Y92" i="121" s="1"/>
  <c r="S92" i="121"/>
  <c r="T92" i="121" s="1"/>
  <c r="X91" i="121"/>
  <c r="Y91" i="121" s="1"/>
  <c r="S91" i="121"/>
  <c r="T91" i="121" s="1"/>
  <c r="X90" i="121"/>
  <c r="Y90" i="121" s="1"/>
  <c r="S90" i="121"/>
  <c r="T90" i="121" s="1"/>
  <c r="X89" i="121"/>
  <c r="Y89" i="121" s="1"/>
  <c r="S89" i="121"/>
  <c r="T89" i="121" s="1"/>
  <c r="X88" i="121"/>
  <c r="Y88" i="121" s="1"/>
  <c r="S88" i="121"/>
  <c r="T88" i="121" s="1"/>
  <c r="X87" i="121"/>
  <c r="Y87" i="121" s="1"/>
  <c r="S87" i="121"/>
  <c r="T87" i="121" s="1"/>
  <c r="X86" i="121"/>
  <c r="Y86" i="121" s="1"/>
  <c r="S86" i="121"/>
  <c r="T86" i="121" s="1"/>
  <c r="X85" i="121"/>
  <c r="Y85" i="121" s="1"/>
  <c r="S85" i="121"/>
  <c r="T85" i="121" s="1"/>
  <c r="X84" i="121"/>
  <c r="Y84" i="121" s="1"/>
  <c r="S84" i="121"/>
  <c r="T84" i="121" s="1"/>
  <c r="X83" i="121"/>
  <c r="Y83" i="121" s="1"/>
  <c r="S83" i="121"/>
  <c r="T83" i="121" s="1"/>
  <c r="X82" i="121"/>
  <c r="Y82" i="121" s="1"/>
  <c r="S82" i="121"/>
  <c r="T82" i="121" s="1"/>
  <c r="X81" i="121"/>
  <c r="Y81" i="121" s="1"/>
  <c r="S81" i="121"/>
  <c r="T81" i="121" s="1"/>
  <c r="X80" i="121"/>
  <c r="Y80" i="121" s="1"/>
  <c r="S80" i="121"/>
  <c r="T80" i="121" s="1"/>
  <c r="X79" i="121"/>
  <c r="Y79" i="121" s="1"/>
  <c r="S79" i="121"/>
  <c r="T79" i="121" s="1"/>
  <c r="H79" i="121"/>
  <c r="X78" i="121"/>
  <c r="T75" i="121"/>
  <c r="B56" i="121" s="1"/>
  <c r="J56" i="121" s="1"/>
  <c r="R75" i="121"/>
  <c r="B49" i="121" s="1"/>
  <c r="J49" i="121" s="1"/>
  <c r="T69" i="121"/>
  <c r="B54" i="121" s="1"/>
  <c r="J54" i="121" s="1"/>
  <c r="R69" i="121"/>
  <c r="J69" i="121"/>
  <c r="J64" i="121"/>
  <c r="T63" i="121"/>
  <c r="B53" i="121" s="1"/>
  <c r="J53" i="121" s="1"/>
  <c r="S63" i="121"/>
  <c r="B58" i="121" s="1"/>
  <c r="J58" i="121" s="1"/>
  <c r="R63" i="121"/>
  <c r="B47" i="121" s="1"/>
  <c r="J47" i="121" s="1"/>
  <c r="L62" i="121"/>
  <c r="J62" i="121"/>
  <c r="H62" i="121"/>
  <c r="J61" i="121"/>
  <c r="H61" i="121"/>
  <c r="J60" i="121"/>
  <c r="H60" i="121"/>
  <c r="D60" i="121"/>
  <c r="J59" i="121"/>
  <c r="G59" i="121"/>
  <c r="L59" i="121" s="1"/>
  <c r="H58" i="121"/>
  <c r="H57" i="121"/>
  <c r="H56" i="121"/>
  <c r="H55" i="121"/>
  <c r="H54" i="121"/>
  <c r="H53" i="121"/>
  <c r="H52" i="121"/>
  <c r="H51" i="121"/>
  <c r="H50" i="121"/>
  <c r="H49" i="121"/>
  <c r="H48" i="121"/>
  <c r="B48" i="121"/>
  <c r="J48" i="121" s="1"/>
  <c r="H47" i="121"/>
  <c r="H46" i="121"/>
  <c r="L45" i="121"/>
  <c r="J45" i="121"/>
  <c r="B43" i="121"/>
  <c r="L43" i="121" s="1"/>
  <c r="T42" i="121"/>
  <c r="B52" i="121" s="1"/>
  <c r="S42" i="121"/>
  <c r="B57" i="121" s="1"/>
  <c r="R42" i="121"/>
  <c r="B46" i="121" s="1"/>
  <c r="L42" i="121"/>
  <c r="B42" i="121"/>
  <c r="J42" i="121" s="1"/>
  <c r="L41" i="121"/>
  <c r="J41" i="121"/>
  <c r="L40" i="121"/>
  <c r="B40" i="121"/>
  <c r="J40" i="121" s="1"/>
  <c r="L39" i="121"/>
  <c r="J39" i="121"/>
  <c r="B38" i="121"/>
  <c r="J37" i="121"/>
  <c r="B35" i="121"/>
  <c r="L35" i="121" s="1"/>
  <c r="L34" i="121"/>
  <c r="B34" i="121"/>
  <c r="J34" i="121" s="1"/>
  <c r="L33" i="121"/>
  <c r="J33" i="121"/>
  <c r="L32" i="121"/>
  <c r="B32" i="121"/>
  <c r="J32" i="121" s="1"/>
  <c r="L31" i="121"/>
  <c r="J31" i="121"/>
  <c r="B30" i="121"/>
  <c r="J29" i="121"/>
  <c r="L28" i="121"/>
  <c r="L27" i="121"/>
  <c r="B27" i="121"/>
  <c r="L26" i="121"/>
  <c r="B26" i="121"/>
  <c r="J26" i="121" s="1"/>
  <c r="L25" i="121"/>
  <c r="J25" i="121"/>
  <c r="L24" i="121"/>
  <c r="B24" i="121"/>
  <c r="J24" i="121" s="1"/>
  <c r="L23" i="121"/>
  <c r="J23" i="121"/>
  <c r="L22" i="121"/>
  <c r="B22" i="121"/>
  <c r="B28" i="121" s="1"/>
  <c r="L21" i="121"/>
  <c r="J21" i="121"/>
  <c r="L20" i="121"/>
  <c r="L19" i="121"/>
  <c r="B19" i="121"/>
  <c r="L18" i="121"/>
  <c r="B18" i="121"/>
  <c r="J18" i="121" s="1"/>
  <c r="L17" i="121"/>
  <c r="J17" i="121"/>
  <c r="L16" i="121"/>
  <c r="B16" i="121"/>
  <c r="J16" i="121" s="1"/>
  <c r="L15" i="121"/>
  <c r="J15" i="121"/>
  <c r="L14" i="121"/>
  <c r="B14" i="121"/>
  <c r="B20" i="121" s="1"/>
  <c r="C20" i="109" s="1"/>
  <c r="L13" i="121"/>
  <c r="J13" i="121"/>
  <c r="L12" i="121"/>
  <c r="J12" i="121"/>
  <c r="X10" i="121"/>
  <c r="V10" i="121"/>
  <c r="U10" i="121"/>
  <c r="Z98" i="120"/>
  <c r="B55" i="120" s="1"/>
  <c r="J55" i="120" s="1"/>
  <c r="V98" i="120"/>
  <c r="U98" i="120"/>
  <c r="P98" i="120"/>
  <c r="X97" i="120"/>
  <c r="Y97" i="120" s="1"/>
  <c r="S97" i="120"/>
  <c r="T97" i="120" s="1"/>
  <c r="X96" i="120"/>
  <c r="Y96" i="120" s="1"/>
  <c r="S96" i="120"/>
  <c r="T96" i="120" s="1"/>
  <c r="X95" i="120"/>
  <c r="Y95" i="120" s="1"/>
  <c r="S95" i="120"/>
  <c r="T95" i="120" s="1"/>
  <c r="X94" i="120"/>
  <c r="Y94" i="120" s="1"/>
  <c r="S94" i="120"/>
  <c r="T94" i="120" s="1"/>
  <c r="X93" i="120"/>
  <c r="Y93" i="120" s="1"/>
  <c r="S93" i="120"/>
  <c r="T93" i="120" s="1"/>
  <c r="X92" i="120"/>
  <c r="Y92" i="120" s="1"/>
  <c r="S92" i="120"/>
  <c r="T92" i="120" s="1"/>
  <c r="X91" i="120"/>
  <c r="Y91" i="120" s="1"/>
  <c r="S91" i="120"/>
  <c r="T91" i="120" s="1"/>
  <c r="X90" i="120"/>
  <c r="Y90" i="120" s="1"/>
  <c r="S90" i="120"/>
  <c r="T90" i="120" s="1"/>
  <c r="X89" i="120"/>
  <c r="Y89" i="120" s="1"/>
  <c r="S89" i="120"/>
  <c r="T89" i="120" s="1"/>
  <c r="X88" i="120"/>
  <c r="Y88" i="120" s="1"/>
  <c r="S88" i="120"/>
  <c r="T88" i="120" s="1"/>
  <c r="X87" i="120"/>
  <c r="Y87" i="120" s="1"/>
  <c r="S87" i="120"/>
  <c r="T87" i="120" s="1"/>
  <c r="X86" i="120"/>
  <c r="Y86" i="120" s="1"/>
  <c r="S86" i="120"/>
  <c r="T86" i="120" s="1"/>
  <c r="X85" i="120"/>
  <c r="Y85" i="120" s="1"/>
  <c r="S85" i="120"/>
  <c r="T85" i="120" s="1"/>
  <c r="X84" i="120"/>
  <c r="Y84" i="120" s="1"/>
  <c r="S84" i="120"/>
  <c r="T84" i="120" s="1"/>
  <c r="X83" i="120"/>
  <c r="Y83" i="120" s="1"/>
  <c r="S83" i="120"/>
  <c r="T83" i="120" s="1"/>
  <c r="X82" i="120"/>
  <c r="Y82" i="120" s="1"/>
  <c r="S82" i="120"/>
  <c r="T82" i="120" s="1"/>
  <c r="X81" i="120"/>
  <c r="Y81" i="120" s="1"/>
  <c r="S81" i="120"/>
  <c r="T81" i="120" s="1"/>
  <c r="X80" i="120"/>
  <c r="Y80" i="120" s="1"/>
  <c r="S80" i="120"/>
  <c r="T80" i="120" s="1"/>
  <c r="X79" i="120"/>
  <c r="Y79" i="120" s="1"/>
  <c r="S79" i="120"/>
  <c r="T79" i="120" s="1"/>
  <c r="X78" i="120"/>
  <c r="S78" i="120"/>
  <c r="T75" i="120"/>
  <c r="B56" i="120" s="1"/>
  <c r="J56" i="120" s="1"/>
  <c r="R75" i="120"/>
  <c r="B49" i="120" s="1"/>
  <c r="J49" i="120" s="1"/>
  <c r="T69" i="120"/>
  <c r="B54" i="120" s="1"/>
  <c r="J54" i="120" s="1"/>
  <c r="R69" i="120"/>
  <c r="B48" i="120" s="1"/>
  <c r="J48" i="120" s="1"/>
  <c r="J69" i="120"/>
  <c r="J64" i="120"/>
  <c r="T63" i="120"/>
  <c r="B53" i="120" s="1"/>
  <c r="J53" i="120" s="1"/>
  <c r="S63" i="120"/>
  <c r="B58" i="120" s="1"/>
  <c r="J58" i="120" s="1"/>
  <c r="R63" i="120"/>
  <c r="B47" i="120" s="1"/>
  <c r="J47" i="120" s="1"/>
  <c r="L62" i="120"/>
  <c r="J62" i="120"/>
  <c r="H62" i="120"/>
  <c r="J61" i="120"/>
  <c r="H61" i="120"/>
  <c r="J60" i="120"/>
  <c r="H60" i="120"/>
  <c r="D60" i="120"/>
  <c r="J59" i="120"/>
  <c r="G59" i="120"/>
  <c r="L59" i="120" s="1"/>
  <c r="H58" i="120"/>
  <c r="H57" i="120"/>
  <c r="H56" i="120"/>
  <c r="H55" i="120"/>
  <c r="H54" i="120"/>
  <c r="H53" i="120"/>
  <c r="H52" i="120"/>
  <c r="H51" i="120"/>
  <c r="H50" i="120"/>
  <c r="H49" i="120"/>
  <c r="H48" i="120"/>
  <c r="H47" i="120"/>
  <c r="H46" i="120"/>
  <c r="L45" i="120"/>
  <c r="J45" i="120"/>
  <c r="L44" i="120"/>
  <c r="L43" i="120"/>
  <c r="B43" i="120"/>
  <c r="T42" i="120"/>
  <c r="B52" i="120" s="1"/>
  <c r="S42" i="120"/>
  <c r="B57" i="120" s="1"/>
  <c r="R42" i="120"/>
  <c r="B46" i="120" s="1"/>
  <c r="L42" i="120"/>
  <c r="B42" i="120"/>
  <c r="J42" i="120" s="1"/>
  <c r="L41" i="120"/>
  <c r="J41" i="120"/>
  <c r="L40" i="120"/>
  <c r="B40" i="120"/>
  <c r="J40" i="120" s="1"/>
  <c r="L39" i="120"/>
  <c r="J39" i="120"/>
  <c r="L38" i="120"/>
  <c r="B38" i="120"/>
  <c r="B44" i="120" s="1"/>
  <c r="L37" i="120"/>
  <c r="J37" i="120"/>
  <c r="L36" i="120"/>
  <c r="L35" i="120"/>
  <c r="B35" i="120"/>
  <c r="L34" i="120"/>
  <c r="B34" i="120"/>
  <c r="J34" i="120" s="1"/>
  <c r="L33" i="120"/>
  <c r="J33" i="120"/>
  <c r="L32" i="120"/>
  <c r="B32" i="120"/>
  <c r="J32" i="120" s="1"/>
  <c r="L31" i="120"/>
  <c r="J31" i="120"/>
  <c r="L30" i="120"/>
  <c r="B30" i="120"/>
  <c r="B36" i="120" s="1"/>
  <c r="L29" i="120"/>
  <c r="J29" i="120"/>
  <c r="L28" i="120"/>
  <c r="L27" i="120"/>
  <c r="B27" i="120"/>
  <c r="L26" i="120"/>
  <c r="B26" i="120"/>
  <c r="J26" i="120" s="1"/>
  <c r="L25" i="120"/>
  <c r="J25" i="120"/>
  <c r="L24" i="120"/>
  <c r="B24" i="120"/>
  <c r="J24" i="120" s="1"/>
  <c r="L23" i="120"/>
  <c r="J23" i="120"/>
  <c r="L22" i="120"/>
  <c r="B22" i="120"/>
  <c r="B28" i="120" s="1"/>
  <c r="L21" i="120"/>
  <c r="J21" i="120"/>
  <c r="L20" i="120"/>
  <c r="L19" i="120"/>
  <c r="B19" i="120"/>
  <c r="L18" i="120"/>
  <c r="B18" i="120"/>
  <c r="J18" i="120" s="1"/>
  <c r="L17" i="120"/>
  <c r="J17" i="120"/>
  <c r="L16" i="120"/>
  <c r="B16" i="120"/>
  <c r="J16" i="120" s="1"/>
  <c r="L15" i="120"/>
  <c r="J15" i="120"/>
  <c r="L14" i="120"/>
  <c r="B14" i="120"/>
  <c r="L13" i="120"/>
  <c r="J13" i="120"/>
  <c r="L12" i="120"/>
  <c r="J12" i="120"/>
  <c r="X10" i="120"/>
  <c r="V10" i="120"/>
  <c r="U10" i="120"/>
  <c r="Z98" i="119"/>
  <c r="B55" i="119" s="1"/>
  <c r="J55" i="119" s="1"/>
  <c r="V98" i="119"/>
  <c r="U98" i="119"/>
  <c r="P98" i="119"/>
  <c r="B50" i="119" s="1"/>
  <c r="J50" i="119" s="1"/>
  <c r="X97" i="119"/>
  <c r="Y97" i="119" s="1"/>
  <c r="S97" i="119"/>
  <c r="T97" i="119" s="1"/>
  <c r="X96" i="119"/>
  <c r="Y96" i="119" s="1"/>
  <c r="S96" i="119"/>
  <c r="T96" i="119" s="1"/>
  <c r="X95" i="119"/>
  <c r="Y95" i="119" s="1"/>
  <c r="S95" i="119"/>
  <c r="T95" i="119" s="1"/>
  <c r="X94" i="119"/>
  <c r="Y94" i="119" s="1"/>
  <c r="S94" i="119"/>
  <c r="T94" i="119" s="1"/>
  <c r="X93" i="119"/>
  <c r="Y93" i="119" s="1"/>
  <c r="S93" i="119"/>
  <c r="T93" i="119" s="1"/>
  <c r="X92" i="119"/>
  <c r="Y92" i="119" s="1"/>
  <c r="S92" i="119"/>
  <c r="T92" i="119" s="1"/>
  <c r="X91" i="119"/>
  <c r="Y91" i="119" s="1"/>
  <c r="S91" i="119"/>
  <c r="T91" i="119" s="1"/>
  <c r="X90" i="119"/>
  <c r="Y90" i="119" s="1"/>
  <c r="S90" i="119"/>
  <c r="T90" i="119" s="1"/>
  <c r="X89" i="119"/>
  <c r="Y89" i="119" s="1"/>
  <c r="S89" i="119"/>
  <c r="T89" i="119" s="1"/>
  <c r="X88" i="119"/>
  <c r="Y88" i="119" s="1"/>
  <c r="S88" i="119"/>
  <c r="T88" i="119" s="1"/>
  <c r="X87" i="119"/>
  <c r="Y87" i="119" s="1"/>
  <c r="S87" i="119"/>
  <c r="T87" i="119" s="1"/>
  <c r="X86" i="119"/>
  <c r="Y86" i="119" s="1"/>
  <c r="S86" i="119"/>
  <c r="T86" i="119" s="1"/>
  <c r="X85" i="119"/>
  <c r="Y85" i="119" s="1"/>
  <c r="S85" i="119"/>
  <c r="T85" i="119" s="1"/>
  <c r="X84" i="119"/>
  <c r="Y84" i="119" s="1"/>
  <c r="S84" i="119"/>
  <c r="T84" i="119" s="1"/>
  <c r="X83" i="119"/>
  <c r="Y83" i="119" s="1"/>
  <c r="S83" i="119"/>
  <c r="T83" i="119" s="1"/>
  <c r="X82" i="119"/>
  <c r="Y82" i="119" s="1"/>
  <c r="S82" i="119"/>
  <c r="T82" i="119" s="1"/>
  <c r="X81" i="119"/>
  <c r="Y81" i="119" s="1"/>
  <c r="S81" i="119"/>
  <c r="T81" i="119" s="1"/>
  <c r="X80" i="119"/>
  <c r="Y80" i="119" s="1"/>
  <c r="S80" i="119"/>
  <c r="T80" i="119" s="1"/>
  <c r="X79" i="119"/>
  <c r="Y79" i="119" s="1"/>
  <c r="S79" i="119"/>
  <c r="T79" i="119" s="1"/>
  <c r="X78" i="119"/>
  <c r="S78" i="119"/>
  <c r="T75" i="119"/>
  <c r="B56" i="119" s="1"/>
  <c r="J56" i="119" s="1"/>
  <c r="R75" i="119"/>
  <c r="B49" i="119" s="1"/>
  <c r="J49" i="119" s="1"/>
  <c r="T69" i="119"/>
  <c r="B54" i="119" s="1"/>
  <c r="J54" i="119" s="1"/>
  <c r="R69" i="119"/>
  <c r="B48" i="119" s="1"/>
  <c r="J48" i="119" s="1"/>
  <c r="J64" i="119"/>
  <c r="T63" i="119"/>
  <c r="B53" i="119" s="1"/>
  <c r="J53" i="119" s="1"/>
  <c r="S63" i="119"/>
  <c r="B58" i="119" s="1"/>
  <c r="J58" i="119" s="1"/>
  <c r="R63" i="119"/>
  <c r="B47" i="119" s="1"/>
  <c r="J47" i="119" s="1"/>
  <c r="L62" i="119"/>
  <c r="J62" i="119"/>
  <c r="H62" i="119"/>
  <c r="J61" i="119"/>
  <c r="H61" i="119"/>
  <c r="J60" i="119"/>
  <c r="H60" i="119"/>
  <c r="D60" i="119"/>
  <c r="J59" i="119"/>
  <c r="G59" i="119"/>
  <c r="L59" i="119" s="1"/>
  <c r="H58" i="119"/>
  <c r="H57" i="119"/>
  <c r="H56" i="119"/>
  <c r="H55" i="119"/>
  <c r="H54" i="119"/>
  <c r="H53" i="119"/>
  <c r="H52" i="119"/>
  <c r="H51" i="119"/>
  <c r="H50" i="119"/>
  <c r="H49" i="119"/>
  <c r="H48" i="119"/>
  <c r="H47" i="119"/>
  <c r="H46" i="119"/>
  <c r="L45" i="119"/>
  <c r="J45" i="119"/>
  <c r="L44" i="119"/>
  <c r="L43" i="119"/>
  <c r="B43" i="119"/>
  <c r="T42" i="119"/>
  <c r="B52" i="119" s="1"/>
  <c r="S42" i="119"/>
  <c r="B57" i="119" s="1"/>
  <c r="R42" i="119"/>
  <c r="B46" i="119" s="1"/>
  <c r="L42" i="119"/>
  <c r="B42" i="119"/>
  <c r="J42" i="119" s="1"/>
  <c r="L41" i="119"/>
  <c r="J41" i="119"/>
  <c r="L40" i="119"/>
  <c r="B40" i="119"/>
  <c r="J40" i="119" s="1"/>
  <c r="L39" i="119"/>
  <c r="J39" i="119"/>
  <c r="L38" i="119"/>
  <c r="B38" i="119"/>
  <c r="B44" i="119" s="1"/>
  <c r="L37" i="119"/>
  <c r="J37" i="119"/>
  <c r="L36" i="119"/>
  <c r="L35" i="119"/>
  <c r="B35" i="119"/>
  <c r="L34" i="119"/>
  <c r="B34" i="119"/>
  <c r="J34" i="119" s="1"/>
  <c r="L33" i="119"/>
  <c r="J33" i="119"/>
  <c r="L32" i="119"/>
  <c r="B32" i="119"/>
  <c r="J32" i="119" s="1"/>
  <c r="L31" i="119"/>
  <c r="J31" i="119"/>
  <c r="L30" i="119"/>
  <c r="B30" i="119"/>
  <c r="B36" i="119" s="1"/>
  <c r="L29" i="119"/>
  <c r="J29" i="119"/>
  <c r="L28" i="119"/>
  <c r="L27" i="119"/>
  <c r="B27" i="119"/>
  <c r="L26" i="119"/>
  <c r="B26" i="119"/>
  <c r="J26" i="119" s="1"/>
  <c r="L25" i="119"/>
  <c r="J25" i="119"/>
  <c r="L24" i="119"/>
  <c r="B24" i="119"/>
  <c r="J24" i="119" s="1"/>
  <c r="L23" i="119"/>
  <c r="J23" i="119"/>
  <c r="L22" i="119"/>
  <c r="B28" i="119"/>
  <c r="L21" i="119"/>
  <c r="J21" i="119"/>
  <c r="L20" i="119"/>
  <c r="L19" i="119"/>
  <c r="B19" i="119"/>
  <c r="L18" i="119"/>
  <c r="B18" i="119"/>
  <c r="J18" i="119" s="1"/>
  <c r="L17" i="119"/>
  <c r="J17" i="119"/>
  <c r="L16" i="119"/>
  <c r="B16" i="119"/>
  <c r="J16" i="119" s="1"/>
  <c r="L15" i="119"/>
  <c r="J15" i="119"/>
  <c r="L14" i="119"/>
  <c r="B14" i="119"/>
  <c r="B20" i="119" s="1"/>
  <c r="C18" i="109" s="1"/>
  <c r="L13" i="119"/>
  <c r="J13" i="119"/>
  <c r="L12" i="119"/>
  <c r="J12" i="119"/>
  <c r="X10" i="119"/>
  <c r="V10" i="119"/>
  <c r="U10" i="119"/>
  <c r="Z98" i="118"/>
  <c r="V98" i="118"/>
  <c r="U98" i="118"/>
  <c r="P98" i="118"/>
  <c r="B50" i="118" s="1"/>
  <c r="J50" i="118" s="1"/>
  <c r="X97" i="118"/>
  <c r="Y97" i="118" s="1"/>
  <c r="S97" i="118"/>
  <c r="T97" i="118" s="1"/>
  <c r="X96" i="118"/>
  <c r="Y96" i="118" s="1"/>
  <c r="S96" i="118"/>
  <c r="T96" i="118" s="1"/>
  <c r="X95" i="118"/>
  <c r="Y95" i="118" s="1"/>
  <c r="S95" i="118"/>
  <c r="T95" i="118" s="1"/>
  <c r="X94" i="118"/>
  <c r="Y94" i="118" s="1"/>
  <c r="S94" i="118"/>
  <c r="T94" i="118" s="1"/>
  <c r="X93" i="118"/>
  <c r="Y93" i="118" s="1"/>
  <c r="S93" i="118"/>
  <c r="T93" i="118" s="1"/>
  <c r="X92" i="118"/>
  <c r="Y92" i="118" s="1"/>
  <c r="S92" i="118"/>
  <c r="T92" i="118" s="1"/>
  <c r="X91" i="118"/>
  <c r="Y91" i="118" s="1"/>
  <c r="S91" i="118"/>
  <c r="T91" i="118" s="1"/>
  <c r="X90" i="118"/>
  <c r="Y90" i="118" s="1"/>
  <c r="S90" i="118"/>
  <c r="T90" i="118" s="1"/>
  <c r="X89" i="118"/>
  <c r="Y89" i="118" s="1"/>
  <c r="S89" i="118"/>
  <c r="T89" i="118" s="1"/>
  <c r="X88" i="118"/>
  <c r="Y88" i="118" s="1"/>
  <c r="S88" i="118"/>
  <c r="T88" i="118" s="1"/>
  <c r="X87" i="118"/>
  <c r="Y87" i="118" s="1"/>
  <c r="S87" i="118"/>
  <c r="T87" i="118" s="1"/>
  <c r="X86" i="118"/>
  <c r="Y86" i="118" s="1"/>
  <c r="S86" i="118"/>
  <c r="T86" i="118" s="1"/>
  <c r="X85" i="118"/>
  <c r="Y85" i="118" s="1"/>
  <c r="T85" i="118"/>
  <c r="X84" i="118"/>
  <c r="Y84" i="118" s="1"/>
  <c r="T84" i="118"/>
  <c r="X83" i="118"/>
  <c r="Y83" i="118" s="1"/>
  <c r="T83" i="118"/>
  <c r="X82" i="118"/>
  <c r="Y82" i="118" s="1"/>
  <c r="T82" i="118"/>
  <c r="X81" i="118"/>
  <c r="Y81" i="118" s="1"/>
  <c r="T81" i="118"/>
  <c r="X80" i="118"/>
  <c r="Y80" i="118" s="1"/>
  <c r="T80" i="118"/>
  <c r="X79" i="118"/>
  <c r="Y79" i="118" s="1"/>
  <c r="T79" i="118"/>
  <c r="X78" i="118"/>
  <c r="T75" i="118"/>
  <c r="B56" i="118" s="1"/>
  <c r="J56" i="118" s="1"/>
  <c r="R75" i="118"/>
  <c r="B49" i="118" s="1"/>
  <c r="J49" i="118" s="1"/>
  <c r="T69" i="118"/>
  <c r="R69" i="118"/>
  <c r="B48" i="118" s="1"/>
  <c r="J48" i="118" s="1"/>
  <c r="J64" i="118"/>
  <c r="T63" i="118"/>
  <c r="B53" i="118" s="1"/>
  <c r="J53" i="118" s="1"/>
  <c r="S63" i="118"/>
  <c r="B58" i="118" s="1"/>
  <c r="J58" i="118" s="1"/>
  <c r="R63" i="118"/>
  <c r="B47" i="118" s="1"/>
  <c r="J47" i="118" s="1"/>
  <c r="L62" i="118"/>
  <c r="J62" i="118"/>
  <c r="H62" i="118"/>
  <c r="J61" i="118"/>
  <c r="H61" i="118"/>
  <c r="J60" i="118"/>
  <c r="H60" i="118"/>
  <c r="D60" i="118"/>
  <c r="J59" i="118"/>
  <c r="G59" i="118"/>
  <c r="L59" i="118" s="1"/>
  <c r="H58" i="118"/>
  <c r="H57" i="118"/>
  <c r="H56" i="118"/>
  <c r="H55" i="118"/>
  <c r="B55" i="118"/>
  <c r="J55" i="118" s="1"/>
  <c r="H54" i="118"/>
  <c r="B54" i="118"/>
  <c r="J54" i="118" s="1"/>
  <c r="H53" i="118"/>
  <c r="H52" i="118"/>
  <c r="H51" i="118"/>
  <c r="H50" i="118"/>
  <c r="H49" i="118"/>
  <c r="H48" i="118"/>
  <c r="H47" i="118"/>
  <c r="H46" i="118"/>
  <c r="L45" i="118"/>
  <c r="J45" i="118"/>
  <c r="B43" i="118"/>
  <c r="L43" i="118" s="1"/>
  <c r="T42" i="118"/>
  <c r="B52" i="118" s="1"/>
  <c r="S42" i="118"/>
  <c r="B57" i="118" s="1"/>
  <c r="R42" i="118"/>
  <c r="B46" i="118" s="1"/>
  <c r="L42" i="118"/>
  <c r="B42" i="118"/>
  <c r="J42" i="118" s="1"/>
  <c r="L41" i="118"/>
  <c r="J41" i="118"/>
  <c r="L40" i="118"/>
  <c r="B40" i="118"/>
  <c r="J40" i="118" s="1"/>
  <c r="L39" i="118"/>
  <c r="J39" i="118"/>
  <c r="B38" i="118"/>
  <c r="J37" i="118"/>
  <c r="B35" i="118"/>
  <c r="L35" i="118" s="1"/>
  <c r="L34" i="118"/>
  <c r="B34" i="118"/>
  <c r="J34" i="118" s="1"/>
  <c r="L33" i="118"/>
  <c r="J33" i="118"/>
  <c r="L32" i="118"/>
  <c r="B32" i="118"/>
  <c r="J32" i="118" s="1"/>
  <c r="L31" i="118"/>
  <c r="J31" i="118"/>
  <c r="B30" i="118"/>
  <c r="J29" i="118"/>
  <c r="L28" i="118"/>
  <c r="L27" i="118"/>
  <c r="B27" i="118"/>
  <c r="L26" i="118"/>
  <c r="B26" i="118"/>
  <c r="J26" i="118" s="1"/>
  <c r="L25" i="118"/>
  <c r="J25" i="118"/>
  <c r="L24" i="118"/>
  <c r="B24" i="118"/>
  <c r="J24" i="118" s="1"/>
  <c r="L23" i="118"/>
  <c r="J23" i="118"/>
  <c r="L22" i="118"/>
  <c r="B22" i="118"/>
  <c r="B28" i="118" s="1"/>
  <c r="L21" i="118"/>
  <c r="J21" i="118"/>
  <c r="L20" i="118"/>
  <c r="L19" i="118"/>
  <c r="B19" i="118"/>
  <c r="L18" i="118"/>
  <c r="B18" i="118"/>
  <c r="J18" i="118" s="1"/>
  <c r="L17" i="118"/>
  <c r="J17" i="118"/>
  <c r="L16" i="118"/>
  <c r="B16" i="118"/>
  <c r="J16" i="118" s="1"/>
  <c r="L15" i="118"/>
  <c r="J15" i="118"/>
  <c r="L14" i="118"/>
  <c r="B14" i="118"/>
  <c r="B20" i="118" s="1"/>
  <c r="C17" i="109" s="1"/>
  <c r="L13" i="118"/>
  <c r="J13" i="118"/>
  <c r="L12" i="118"/>
  <c r="J12" i="118"/>
  <c r="X10" i="118"/>
  <c r="V10" i="118"/>
  <c r="U10" i="118"/>
  <c r="Z98" i="117"/>
  <c r="V98" i="117"/>
  <c r="U98" i="117"/>
  <c r="P98" i="117"/>
  <c r="X97" i="117"/>
  <c r="Y97" i="117" s="1"/>
  <c r="S97" i="117"/>
  <c r="T97" i="117" s="1"/>
  <c r="X96" i="117"/>
  <c r="Y96" i="117" s="1"/>
  <c r="S96" i="117"/>
  <c r="T96" i="117" s="1"/>
  <c r="X95" i="117"/>
  <c r="Y95" i="117" s="1"/>
  <c r="S95" i="117"/>
  <c r="T95" i="117" s="1"/>
  <c r="X94" i="117"/>
  <c r="Y94" i="117" s="1"/>
  <c r="S94" i="117"/>
  <c r="T94" i="117" s="1"/>
  <c r="X93" i="117"/>
  <c r="Y93" i="117" s="1"/>
  <c r="S93" i="117"/>
  <c r="T93" i="117" s="1"/>
  <c r="X92" i="117"/>
  <c r="Y92" i="117" s="1"/>
  <c r="S92" i="117"/>
  <c r="T92" i="117" s="1"/>
  <c r="X91" i="117"/>
  <c r="Y91" i="117" s="1"/>
  <c r="S91" i="117"/>
  <c r="T91" i="117" s="1"/>
  <c r="X90" i="117"/>
  <c r="Y90" i="117" s="1"/>
  <c r="S90" i="117"/>
  <c r="T90" i="117" s="1"/>
  <c r="X89" i="117"/>
  <c r="Y89" i="117" s="1"/>
  <c r="S89" i="117"/>
  <c r="T89" i="117" s="1"/>
  <c r="X88" i="117"/>
  <c r="Y88" i="117" s="1"/>
  <c r="S88" i="117"/>
  <c r="T88" i="117" s="1"/>
  <c r="X87" i="117"/>
  <c r="Y87" i="117" s="1"/>
  <c r="S87" i="117"/>
  <c r="T87" i="117" s="1"/>
  <c r="X86" i="117"/>
  <c r="Y86" i="117" s="1"/>
  <c r="S86" i="117"/>
  <c r="T86" i="117" s="1"/>
  <c r="X85" i="117"/>
  <c r="Y85" i="117" s="1"/>
  <c r="S85" i="117"/>
  <c r="T85" i="117" s="1"/>
  <c r="X84" i="117"/>
  <c r="Y84" i="117" s="1"/>
  <c r="S84" i="117"/>
  <c r="T84" i="117" s="1"/>
  <c r="X83" i="117"/>
  <c r="Y83" i="117" s="1"/>
  <c r="S83" i="117"/>
  <c r="T83" i="117" s="1"/>
  <c r="X82" i="117"/>
  <c r="Y82" i="117" s="1"/>
  <c r="S82" i="117"/>
  <c r="T82" i="117" s="1"/>
  <c r="X81" i="117"/>
  <c r="Y81" i="117" s="1"/>
  <c r="S81" i="117"/>
  <c r="T81" i="117" s="1"/>
  <c r="X80" i="117"/>
  <c r="Y80" i="117" s="1"/>
  <c r="S80" i="117"/>
  <c r="T80" i="117" s="1"/>
  <c r="X79" i="117"/>
  <c r="Y79" i="117" s="1"/>
  <c r="S79" i="117"/>
  <c r="T79" i="117" s="1"/>
  <c r="H79" i="117"/>
  <c r="X78" i="117"/>
  <c r="S78" i="117"/>
  <c r="T75" i="117"/>
  <c r="B56" i="117" s="1"/>
  <c r="J56" i="117" s="1"/>
  <c r="R75" i="117"/>
  <c r="B49" i="117" s="1"/>
  <c r="J49" i="117" s="1"/>
  <c r="T69" i="117"/>
  <c r="R69" i="117"/>
  <c r="B48" i="117" s="1"/>
  <c r="J48" i="117" s="1"/>
  <c r="J69" i="117"/>
  <c r="J64" i="117"/>
  <c r="T63" i="117"/>
  <c r="B53" i="117" s="1"/>
  <c r="S63" i="117"/>
  <c r="B58" i="117" s="1"/>
  <c r="J58" i="117" s="1"/>
  <c r="R63" i="117"/>
  <c r="B47" i="117" s="1"/>
  <c r="J47" i="117" s="1"/>
  <c r="L62" i="117"/>
  <c r="J62" i="117"/>
  <c r="H62" i="117"/>
  <c r="J61" i="117"/>
  <c r="H61" i="117"/>
  <c r="J60" i="117"/>
  <c r="H60" i="117"/>
  <c r="D60" i="117"/>
  <c r="J59" i="117"/>
  <c r="G59" i="117"/>
  <c r="L59" i="117" s="1"/>
  <c r="H58" i="117"/>
  <c r="H57" i="117"/>
  <c r="H56" i="117"/>
  <c r="H55" i="117"/>
  <c r="B55" i="117"/>
  <c r="J55" i="117" s="1"/>
  <c r="H54" i="117"/>
  <c r="B54" i="117"/>
  <c r="J54" i="117" s="1"/>
  <c r="H53" i="117"/>
  <c r="H52" i="117"/>
  <c r="H51" i="117"/>
  <c r="H50" i="117"/>
  <c r="H49" i="117"/>
  <c r="H48" i="117"/>
  <c r="H47" i="117"/>
  <c r="H46" i="117"/>
  <c r="L45" i="117"/>
  <c r="J45" i="117"/>
  <c r="L44" i="117"/>
  <c r="L43" i="117"/>
  <c r="B43" i="117"/>
  <c r="T42" i="117"/>
  <c r="B52" i="117" s="1"/>
  <c r="S42" i="117"/>
  <c r="B57" i="117" s="1"/>
  <c r="R42" i="117"/>
  <c r="B46" i="117" s="1"/>
  <c r="L42" i="117"/>
  <c r="B42" i="117"/>
  <c r="J42" i="117" s="1"/>
  <c r="L41" i="117"/>
  <c r="J41" i="117"/>
  <c r="L40" i="117"/>
  <c r="B40" i="117"/>
  <c r="J40" i="117" s="1"/>
  <c r="L39" i="117"/>
  <c r="J39" i="117"/>
  <c r="L38" i="117"/>
  <c r="B38" i="117"/>
  <c r="B44" i="117" s="1"/>
  <c r="L37" i="117"/>
  <c r="J37" i="117"/>
  <c r="L36" i="117"/>
  <c r="L35" i="117"/>
  <c r="B35" i="117"/>
  <c r="L34" i="117"/>
  <c r="B34" i="117"/>
  <c r="J34" i="117" s="1"/>
  <c r="L33" i="117"/>
  <c r="J33" i="117"/>
  <c r="L32" i="117"/>
  <c r="B32" i="117"/>
  <c r="J32" i="117" s="1"/>
  <c r="L31" i="117"/>
  <c r="J31" i="117"/>
  <c r="L30" i="117"/>
  <c r="B30" i="117"/>
  <c r="B36" i="117" s="1"/>
  <c r="L29" i="117"/>
  <c r="J29" i="117"/>
  <c r="L28" i="117"/>
  <c r="L27" i="117"/>
  <c r="B27" i="117"/>
  <c r="L26" i="117"/>
  <c r="B26" i="117"/>
  <c r="J26" i="117" s="1"/>
  <c r="L25" i="117"/>
  <c r="J25" i="117"/>
  <c r="L24" i="117"/>
  <c r="B24" i="117"/>
  <c r="J24" i="117" s="1"/>
  <c r="L23" i="117"/>
  <c r="J23" i="117"/>
  <c r="L22" i="117"/>
  <c r="B22" i="117"/>
  <c r="B28" i="117" s="1"/>
  <c r="L21" i="117"/>
  <c r="J21" i="117"/>
  <c r="L20" i="117"/>
  <c r="L19" i="117"/>
  <c r="B19" i="117"/>
  <c r="L18" i="117"/>
  <c r="B18" i="117"/>
  <c r="J18" i="117" s="1"/>
  <c r="L17" i="117"/>
  <c r="J17" i="117"/>
  <c r="L16" i="117"/>
  <c r="B16" i="117"/>
  <c r="J16" i="117" s="1"/>
  <c r="L15" i="117"/>
  <c r="J15" i="117"/>
  <c r="L14" i="117"/>
  <c r="B14" i="117"/>
  <c r="B20" i="117" s="1"/>
  <c r="C16" i="109" s="1"/>
  <c r="L13" i="117"/>
  <c r="J13" i="117"/>
  <c r="L12" i="117"/>
  <c r="J12" i="117"/>
  <c r="X10" i="117"/>
  <c r="V10" i="117"/>
  <c r="U10" i="117"/>
  <c r="Z98" i="116"/>
  <c r="V98" i="116"/>
  <c r="U98" i="116"/>
  <c r="P98" i="116"/>
  <c r="B50" i="116" s="1"/>
  <c r="X97" i="116"/>
  <c r="Y97" i="116" s="1"/>
  <c r="S97" i="116"/>
  <c r="T97" i="116" s="1"/>
  <c r="X96" i="116"/>
  <c r="Y96" i="116" s="1"/>
  <c r="S96" i="116"/>
  <c r="T96" i="116" s="1"/>
  <c r="X95" i="116"/>
  <c r="Y95" i="116" s="1"/>
  <c r="S95" i="116"/>
  <c r="T95" i="116" s="1"/>
  <c r="X94" i="116"/>
  <c r="Y94" i="116" s="1"/>
  <c r="S94" i="116"/>
  <c r="T94" i="116" s="1"/>
  <c r="X93" i="116"/>
  <c r="Y93" i="116" s="1"/>
  <c r="S93" i="116"/>
  <c r="T93" i="116" s="1"/>
  <c r="X92" i="116"/>
  <c r="Y92" i="116" s="1"/>
  <c r="S92" i="116"/>
  <c r="T92" i="116" s="1"/>
  <c r="X91" i="116"/>
  <c r="Y91" i="116" s="1"/>
  <c r="S91" i="116"/>
  <c r="T91" i="116" s="1"/>
  <c r="X90" i="116"/>
  <c r="Y90" i="116" s="1"/>
  <c r="S90" i="116"/>
  <c r="T90" i="116" s="1"/>
  <c r="X89" i="116"/>
  <c r="Y89" i="116" s="1"/>
  <c r="S89" i="116"/>
  <c r="T89" i="116" s="1"/>
  <c r="X88" i="116"/>
  <c r="Y88" i="116" s="1"/>
  <c r="S88" i="116"/>
  <c r="T88" i="116" s="1"/>
  <c r="X87" i="116"/>
  <c r="Y87" i="116" s="1"/>
  <c r="S87" i="116"/>
  <c r="T87" i="116" s="1"/>
  <c r="X86" i="116"/>
  <c r="Y86" i="116" s="1"/>
  <c r="S86" i="116"/>
  <c r="T86" i="116" s="1"/>
  <c r="X85" i="116"/>
  <c r="Y85" i="116" s="1"/>
  <c r="S85" i="116"/>
  <c r="T85" i="116" s="1"/>
  <c r="X84" i="116"/>
  <c r="Y84" i="116" s="1"/>
  <c r="S84" i="116"/>
  <c r="T84" i="116" s="1"/>
  <c r="X83" i="116"/>
  <c r="Y83" i="116" s="1"/>
  <c r="S83" i="116"/>
  <c r="T83" i="116" s="1"/>
  <c r="X82" i="116"/>
  <c r="Y82" i="116" s="1"/>
  <c r="S82" i="116"/>
  <c r="T82" i="116" s="1"/>
  <c r="X81" i="116"/>
  <c r="Y81" i="116" s="1"/>
  <c r="S81" i="116"/>
  <c r="T81" i="116" s="1"/>
  <c r="X80" i="116"/>
  <c r="Y80" i="116" s="1"/>
  <c r="S80" i="116"/>
  <c r="T80" i="116" s="1"/>
  <c r="X79" i="116"/>
  <c r="Y79" i="116" s="1"/>
  <c r="S79" i="116"/>
  <c r="T79" i="116" s="1"/>
  <c r="H79" i="116"/>
  <c r="X78" i="116"/>
  <c r="S78" i="116"/>
  <c r="T75" i="116"/>
  <c r="B56" i="116" s="1"/>
  <c r="J56" i="116" s="1"/>
  <c r="R75" i="116"/>
  <c r="B49" i="116" s="1"/>
  <c r="J49" i="116" s="1"/>
  <c r="T69" i="116"/>
  <c r="R69" i="116"/>
  <c r="B48" i="116" s="1"/>
  <c r="J48" i="116" s="1"/>
  <c r="J69" i="116"/>
  <c r="J64" i="116"/>
  <c r="T63" i="116"/>
  <c r="B53" i="116" s="1"/>
  <c r="J53" i="116" s="1"/>
  <c r="S63" i="116"/>
  <c r="B58" i="116" s="1"/>
  <c r="J58" i="116" s="1"/>
  <c r="R63" i="116"/>
  <c r="B47" i="116" s="1"/>
  <c r="J47" i="116" s="1"/>
  <c r="L62" i="116"/>
  <c r="J62" i="116"/>
  <c r="H62" i="116"/>
  <c r="J61" i="116"/>
  <c r="H61" i="116"/>
  <c r="J60" i="116"/>
  <c r="H60" i="116"/>
  <c r="D60" i="116"/>
  <c r="J59" i="116"/>
  <c r="G59" i="116"/>
  <c r="L59" i="116" s="1"/>
  <c r="H58" i="116"/>
  <c r="H57" i="116"/>
  <c r="H56" i="116"/>
  <c r="H55" i="116"/>
  <c r="B55" i="116"/>
  <c r="J55" i="116" s="1"/>
  <c r="H54" i="116"/>
  <c r="B54" i="116"/>
  <c r="J54" i="116" s="1"/>
  <c r="H53" i="116"/>
  <c r="H52" i="116"/>
  <c r="H51" i="116"/>
  <c r="H50" i="116"/>
  <c r="H49" i="116"/>
  <c r="H48" i="116"/>
  <c r="H47" i="116"/>
  <c r="H46" i="116"/>
  <c r="L45" i="116"/>
  <c r="J45" i="116"/>
  <c r="L44" i="116"/>
  <c r="L43" i="116"/>
  <c r="B43" i="116"/>
  <c r="T42" i="116"/>
  <c r="B52" i="116" s="1"/>
  <c r="S42" i="116"/>
  <c r="B57" i="116" s="1"/>
  <c r="R42" i="116"/>
  <c r="B46" i="116" s="1"/>
  <c r="L42" i="116"/>
  <c r="B42" i="116"/>
  <c r="J42" i="116" s="1"/>
  <c r="L41" i="116"/>
  <c r="J41" i="116"/>
  <c r="L40" i="116"/>
  <c r="B40" i="116"/>
  <c r="J40" i="116" s="1"/>
  <c r="L39" i="116"/>
  <c r="J39" i="116"/>
  <c r="L38" i="116"/>
  <c r="B38" i="116"/>
  <c r="B44" i="116" s="1"/>
  <c r="L37" i="116"/>
  <c r="J37" i="116"/>
  <c r="L36" i="116"/>
  <c r="L35" i="116"/>
  <c r="B35" i="116"/>
  <c r="L34" i="116"/>
  <c r="B34" i="116"/>
  <c r="J34" i="116" s="1"/>
  <c r="L33" i="116"/>
  <c r="J33" i="116"/>
  <c r="L32" i="116"/>
  <c r="B32" i="116"/>
  <c r="J32" i="116" s="1"/>
  <c r="L31" i="116"/>
  <c r="J31" i="116"/>
  <c r="L30" i="116"/>
  <c r="B30" i="116"/>
  <c r="B36" i="116" s="1"/>
  <c r="L29" i="116"/>
  <c r="J29" i="116"/>
  <c r="L28" i="116"/>
  <c r="L27" i="116"/>
  <c r="B27" i="116"/>
  <c r="L26" i="116"/>
  <c r="B26" i="116"/>
  <c r="J26" i="116" s="1"/>
  <c r="L25" i="116"/>
  <c r="J25" i="116"/>
  <c r="L24" i="116"/>
  <c r="B24" i="116"/>
  <c r="J24" i="116" s="1"/>
  <c r="L23" i="116"/>
  <c r="J23" i="116"/>
  <c r="L22" i="116"/>
  <c r="B22" i="116"/>
  <c r="B28" i="116" s="1"/>
  <c r="L21" i="116"/>
  <c r="J21" i="116"/>
  <c r="L20" i="116"/>
  <c r="L19" i="116"/>
  <c r="B19" i="116"/>
  <c r="L18" i="116"/>
  <c r="B18" i="116"/>
  <c r="J18" i="116" s="1"/>
  <c r="L17" i="116"/>
  <c r="J17" i="116"/>
  <c r="L16" i="116"/>
  <c r="B16" i="116"/>
  <c r="J16" i="116" s="1"/>
  <c r="L15" i="116"/>
  <c r="J15" i="116"/>
  <c r="L14" i="116"/>
  <c r="B14" i="116"/>
  <c r="B20" i="116" s="1"/>
  <c r="C15" i="109" s="1"/>
  <c r="L13" i="116"/>
  <c r="J13" i="116"/>
  <c r="L12" i="116"/>
  <c r="J12" i="116"/>
  <c r="X10" i="116"/>
  <c r="V10" i="116"/>
  <c r="U10" i="116"/>
  <c r="Z98" i="115"/>
  <c r="B55" i="115" s="1"/>
  <c r="J55" i="115" s="1"/>
  <c r="V98" i="115"/>
  <c r="U98" i="115"/>
  <c r="P98" i="115"/>
  <c r="B50" i="115" s="1"/>
  <c r="J50" i="115" s="1"/>
  <c r="X97" i="115"/>
  <c r="Y97" i="115" s="1"/>
  <c r="S97" i="115"/>
  <c r="T97" i="115" s="1"/>
  <c r="X96" i="115"/>
  <c r="Y96" i="115" s="1"/>
  <c r="S96" i="115"/>
  <c r="T96" i="115" s="1"/>
  <c r="X95" i="115"/>
  <c r="Y95" i="115" s="1"/>
  <c r="S95" i="115"/>
  <c r="T95" i="115" s="1"/>
  <c r="X94" i="115"/>
  <c r="Y94" i="115" s="1"/>
  <c r="S94" i="115"/>
  <c r="T94" i="115" s="1"/>
  <c r="X93" i="115"/>
  <c r="Y93" i="115" s="1"/>
  <c r="S93" i="115"/>
  <c r="T93" i="115" s="1"/>
  <c r="X92" i="115"/>
  <c r="Y92" i="115" s="1"/>
  <c r="S92" i="115"/>
  <c r="T92" i="115" s="1"/>
  <c r="X91" i="115"/>
  <c r="Y91" i="115" s="1"/>
  <c r="S91" i="115"/>
  <c r="T91" i="115" s="1"/>
  <c r="X90" i="115"/>
  <c r="Y90" i="115" s="1"/>
  <c r="S90" i="115"/>
  <c r="T90" i="115" s="1"/>
  <c r="X89" i="115"/>
  <c r="Y89" i="115" s="1"/>
  <c r="S89" i="115"/>
  <c r="T89" i="115" s="1"/>
  <c r="X88" i="115"/>
  <c r="Y88" i="115" s="1"/>
  <c r="S88" i="115"/>
  <c r="T88" i="115" s="1"/>
  <c r="X87" i="115"/>
  <c r="Y87" i="115" s="1"/>
  <c r="S87" i="115"/>
  <c r="T87" i="115" s="1"/>
  <c r="X86" i="115"/>
  <c r="Y86" i="115" s="1"/>
  <c r="S86" i="115"/>
  <c r="T86" i="115" s="1"/>
  <c r="X85" i="115"/>
  <c r="Y85" i="115" s="1"/>
  <c r="S85" i="115"/>
  <c r="T85" i="115" s="1"/>
  <c r="X84" i="115"/>
  <c r="Y84" i="115" s="1"/>
  <c r="S84" i="115"/>
  <c r="T84" i="115" s="1"/>
  <c r="X83" i="115"/>
  <c r="Y83" i="115" s="1"/>
  <c r="S83" i="115"/>
  <c r="T83" i="115" s="1"/>
  <c r="X82" i="115"/>
  <c r="Y82" i="115" s="1"/>
  <c r="S82" i="115"/>
  <c r="T82" i="115" s="1"/>
  <c r="X81" i="115"/>
  <c r="Y81" i="115" s="1"/>
  <c r="S81" i="115"/>
  <c r="T81" i="115" s="1"/>
  <c r="X80" i="115"/>
  <c r="Y80" i="115" s="1"/>
  <c r="S80" i="115"/>
  <c r="T80" i="115" s="1"/>
  <c r="X79" i="115"/>
  <c r="Y79" i="115" s="1"/>
  <c r="S79" i="115"/>
  <c r="T79" i="115" s="1"/>
  <c r="H79" i="115"/>
  <c r="X78" i="115"/>
  <c r="S78" i="115"/>
  <c r="T75" i="115"/>
  <c r="B56" i="115" s="1"/>
  <c r="J56" i="115" s="1"/>
  <c r="R75" i="115"/>
  <c r="B49" i="115" s="1"/>
  <c r="J49" i="115" s="1"/>
  <c r="T69" i="115"/>
  <c r="B54" i="115" s="1"/>
  <c r="J54" i="115" s="1"/>
  <c r="R69" i="115"/>
  <c r="B48" i="115" s="1"/>
  <c r="J48" i="115" s="1"/>
  <c r="J69" i="115"/>
  <c r="J64" i="115"/>
  <c r="T63" i="115"/>
  <c r="B53" i="115" s="1"/>
  <c r="J53" i="115" s="1"/>
  <c r="S63" i="115"/>
  <c r="B58" i="115" s="1"/>
  <c r="J58" i="115" s="1"/>
  <c r="R63" i="115"/>
  <c r="B47" i="115" s="1"/>
  <c r="J47" i="115" s="1"/>
  <c r="L62" i="115"/>
  <c r="J62" i="115"/>
  <c r="H62" i="115"/>
  <c r="J61" i="115"/>
  <c r="H61" i="115"/>
  <c r="J60" i="115"/>
  <c r="H60" i="115"/>
  <c r="D60" i="115"/>
  <c r="J59" i="115"/>
  <c r="G59" i="115"/>
  <c r="L59" i="115" s="1"/>
  <c r="H58" i="115"/>
  <c r="H57" i="115"/>
  <c r="H56" i="115"/>
  <c r="H55" i="115"/>
  <c r="H54" i="115"/>
  <c r="H53" i="115"/>
  <c r="H52" i="115"/>
  <c r="H51" i="115"/>
  <c r="H50" i="115"/>
  <c r="H49" i="115"/>
  <c r="H48" i="115"/>
  <c r="H47" i="115"/>
  <c r="H46" i="115"/>
  <c r="L45" i="115"/>
  <c r="J45" i="115"/>
  <c r="L44" i="115"/>
  <c r="L43" i="115"/>
  <c r="B43" i="115"/>
  <c r="T42" i="115"/>
  <c r="B52" i="115" s="1"/>
  <c r="S42" i="115"/>
  <c r="B57" i="115" s="1"/>
  <c r="R42" i="115"/>
  <c r="B46" i="115" s="1"/>
  <c r="L42" i="115"/>
  <c r="B42" i="115"/>
  <c r="J42" i="115" s="1"/>
  <c r="L41" i="115"/>
  <c r="J41" i="115"/>
  <c r="L40" i="115"/>
  <c r="B40" i="115"/>
  <c r="J40" i="115" s="1"/>
  <c r="L39" i="115"/>
  <c r="J39" i="115"/>
  <c r="L38" i="115"/>
  <c r="B38" i="115"/>
  <c r="B44" i="115" s="1"/>
  <c r="L37" i="115"/>
  <c r="J37" i="115"/>
  <c r="L36" i="115"/>
  <c r="L35" i="115"/>
  <c r="B35" i="115"/>
  <c r="L34" i="115"/>
  <c r="B34" i="115"/>
  <c r="J34" i="115" s="1"/>
  <c r="L33" i="115"/>
  <c r="J33" i="115"/>
  <c r="L32" i="115"/>
  <c r="B32" i="115"/>
  <c r="J32" i="115" s="1"/>
  <c r="L31" i="115"/>
  <c r="J31" i="115"/>
  <c r="L30" i="115"/>
  <c r="B30" i="115"/>
  <c r="B36" i="115" s="1"/>
  <c r="L29" i="115"/>
  <c r="J29" i="115"/>
  <c r="L28" i="115"/>
  <c r="L27" i="115"/>
  <c r="B27" i="115"/>
  <c r="L26" i="115"/>
  <c r="B26" i="115"/>
  <c r="J26" i="115" s="1"/>
  <c r="L25" i="115"/>
  <c r="J25" i="115"/>
  <c r="L24" i="115"/>
  <c r="B24" i="115"/>
  <c r="J24" i="115" s="1"/>
  <c r="L23" i="115"/>
  <c r="J23" i="115"/>
  <c r="L22" i="115"/>
  <c r="B22" i="115"/>
  <c r="B28" i="115" s="1"/>
  <c r="L21" i="115"/>
  <c r="J21" i="115"/>
  <c r="L20" i="115"/>
  <c r="L19" i="115"/>
  <c r="B19" i="115"/>
  <c r="L18" i="115"/>
  <c r="B18" i="115"/>
  <c r="J18" i="115" s="1"/>
  <c r="L17" i="115"/>
  <c r="J17" i="115"/>
  <c r="L16" i="115"/>
  <c r="B16" i="115"/>
  <c r="J16" i="115" s="1"/>
  <c r="L15" i="115"/>
  <c r="J15" i="115"/>
  <c r="L14" i="115"/>
  <c r="B14" i="115"/>
  <c r="B20" i="115" s="1"/>
  <c r="C14" i="109" s="1"/>
  <c r="L13" i="115"/>
  <c r="J13" i="115"/>
  <c r="L12" i="115"/>
  <c r="J12" i="115"/>
  <c r="X10" i="115"/>
  <c r="V10" i="115"/>
  <c r="U10" i="115"/>
  <c r="Z98" i="114"/>
  <c r="V98" i="114"/>
  <c r="U98" i="114"/>
  <c r="P98" i="114"/>
  <c r="B50" i="114" s="1"/>
  <c r="J50" i="114" s="1"/>
  <c r="X97" i="114"/>
  <c r="Y97" i="114" s="1"/>
  <c r="S97" i="114"/>
  <c r="T97" i="114" s="1"/>
  <c r="X96" i="114"/>
  <c r="Y96" i="114" s="1"/>
  <c r="S96" i="114"/>
  <c r="T96" i="114" s="1"/>
  <c r="X95" i="114"/>
  <c r="Y95" i="114" s="1"/>
  <c r="S95" i="114"/>
  <c r="T95" i="114" s="1"/>
  <c r="X94" i="114"/>
  <c r="Y94" i="114" s="1"/>
  <c r="S94" i="114"/>
  <c r="T94" i="114" s="1"/>
  <c r="X93" i="114"/>
  <c r="Y93" i="114" s="1"/>
  <c r="S93" i="114"/>
  <c r="T93" i="114" s="1"/>
  <c r="X92" i="114"/>
  <c r="Y92" i="114" s="1"/>
  <c r="S92" i="114"/>
  <c r="T92" i="114" s="1"/>
  <c r="X91" i="114"/>
  <c r="Y91" i="114" s="1"/>
  <c r="S91" i="114"/>
  <c r="T91" i="114" s="1"/>
  <c r="X90" i="114"/>
  <c r="Y90" i="114" s="1"/>
  <c r="S90" i="114"/>
  <c r="T90" i="114" s="1"/>
  <c r="X89" i="114"/>
  <c r="Y89" i="114" s="1"/>
  <c r="S89" i="114"/>
  <c r="T89" i="114" s="1"/>
  <c r="X88" i="114"/>
  <c r="Y88" i="114" s="1"/>
  <c r="S88" i="114"/>
  <c r="T88" i="114" s="1"/>
  <c r="X87" i="114"/>
  <c r="Y87" i="114" s="1"/>
  <c r="S87" i="114"/>
  <c r="T87" i="114" s="1"/>
  <c r="X86" i="114"/>
  <c r="Y86" i="114" s="1"/>
  <c r="S86" i="114"/>
  <c r="T86" i="114" s="1"/>
  <c r="X85" i="114"/>
  <c r="Y85" i="114" s="1"/>
  <c r="S85" i="114"/>
  <c r="T85" i="114" s="1"/>
  <c r="X84" i="114"/>
  <c r="Y84" i="114" s="1"/>
  <c r="S84" i="114"/>
  <c r="T84" i="114" s="1"/>
  <c r="X83" i="114"/>
  <c r="Y83" i="114" s="1"/>
  <c r="S83" i="114"/>
  <c r="T83" i="114" s="1"/>
  <c r="X82" i="114"/>
  <c r="Y82" i="114" s="1"/>
  <c r="S82" i="114"/>
  <c r="T82" i="114" s="1"/>
  <c r="X81" i="114"/>
  <c r="Y81" i="114" s="1"/>
  <c r="S81" i="114"/>
  <c r="T81" i="114" s="1"/>
  <c r="X80" i="114"/>
  <c r="Y80" i="114" s="1"/>
  <c r="S80" i="114"/>
  <c r="T80" i="114" s="1"/>
  <c r="X79" i="114"/>
  <c r="Y79" i="114" s="1"/>
  <c r="S79" i="114"/>
  <c r="T79" i="114" s="1"/>
  <c r="X78" i="114"/>
  <c r="S78" i="114"/>
  <c r="T75" i="114"/>
  <c r="B56" i="114" s="1"/>
  <c r="J56" i="114" s="1"/>
  <c r="R75" i="114"/>
  <c r="B49" i="114" s="1"/>
  <c r="J49" i="114" s="1"/>
  <c r="T69" i="114"/>
  <c r="R69" i="114"/>
  <c r="B48" i="114" s="1"/>
  <c r="J48" i="114" s="1"/>
  <c r="J64" i="114"/>
  <c r="T63" i="114"/>
  <c r="B53" i="114" s="1"/>
  <c r="J53" i="114" s="1"/>
  <c r="S63" i="114"/>
  <c r="B58" i="114" s="1"/>
  <c r="J58" i="114" s="1"/>
  <c r="R63" i="114"/>
  <c r="B47" i="114" s="1"/>
  <c r="J47" i="114" s="1"/>
  <c r="L62" i="114"/>
  <c r="J62" i="114"/>
  <c r="H62" i="114"/>
  <c r="J61" i="114"/>
  <c r="H61" i="114"/>
  <c r="J60" i="114"/>
  <c r="H60" i="114"/>
  <c r="D60" i="114"/>
  <c r="J59" i="114"/>
  <c r="G59" i="114"/>
  <c r="L59" i="114" s="1"/>
  <c r="H58" i="114"/>
  <c r="H57" i="114"/>
  <c r="H56" i="114"/>
  <c r="H55" i="114"/>
  <c r="B55" i="114"/>
  <c r="J55" i="114" s="1"/>
  <c r="H54" i="114"/>
  <c r="B54" i="114"/>
  <c r="J54" i="114" s="1"/>
  <c r="H53" i="114"/>
  <c r="H52" i="114"/>
  <c r="H51" i="114"/>
  <c r="H50" i="114"/>
  <c r="H49" i="114"/>
  <c r="H48" i="114"/>
  <c r="H47" i="114"/>
  <c r="H46" i="114"/>
  <c r="L45" i="114"/>
  <c r="J45" i="114"/>
  <c r="B43" i="114"/>
  <c r="L43" i="114" s="1"/>
  <c r="T42" i="114"/>
  <c r="B52" i="114" s="1"/>
  <c r="S42" i="114"/>
  <c r="B57" i="114" s="1"/>
  <c r="R42" i="114"/>
  <c r="B46" i="114" s="1"/>
  <c r="L42" i="114"/>
  <c r="B42" i="114"/>
  <c r="J42" i="114" s="1"/>
  <c r="L41" i="114"/>
  <c r="J41" i="114"/>
  <c r="L40" i="114"/>
  <c r="B40" i="114"/>
  <c r="J40" i="114" s="1"/>
  <c r="L39" i="114"/>
  <c r="J39" i="114"/>
  <c r="B38" i="114"/>
  <c r="J37" i="114"/>
  <c r="L36" i="114"/>
  <c r="L35" i="114"/>
  <c r="B35" i="114"/>
  <c r="L34" i="114"/>
  <c r="B34" i="114"/>
  <c r="J34" i="114" s="1"/>
  <c r="L33" i="114"/>
  <c r="J33" i="114"/>
  <c r="L32" i="114"/>
  <c r="B32" i="114"/>
  <c r="J32" i="114" s="1"/>
  <c r="L31" i="114"/>
  <c r="J31" i="114"/>
  <c r="L30" i="114"/>
  <c r="B30" i="114"/>
  <c r="B36" i="114" s="1"/>
  <c r="L29" i="114"/>
  <c r="J29" i="114"/>
  <c r="L28" i="114"/>
  <c r="L27" i="114"/>
  <c r="B27" i="114"/>
  <c r="L26" i="114"/>
  <c r="B26" i="114"/>
  <c r="J26" i="114" s="1"/>
  <c r="L25" i="114"/>
  <c r="J25" i="114"/>
  <c r="L24" i="114"/>
  <c r="B24" i="114"/>
  <c r="J24" i="114" s="1"/>
  <c r="L23" i="114"/>
  <c r="J23" i="114"/>
  <c r="L22" i="114"/>
  <c r="B22" i="114"/>
  <c r="B28" i="114" s="1"/>
  <c r="L21" i="114"/>
  <c r="J21" i="114"/>
  <c r="L20" i="114"/>
  <c r="L19" i="114"/>
  <c r="B19" i="114"/>
  <c r="L18" i="114"/>
  <c r="B18" i="114"/>
  <c r="J18" i="114" s="1"/>
  <c r="L17" i="114"/>
  <c r="J17" i="114"/>
  <c r="L16" i="114"/>
  <c r="B16" i="114"/>
  <c r="J16" i="114" s="1"/>
  <c r="L15" i="114"/>
  <c r="J15" i="114"/>
  <c r="L14" i="114"/>
  <c r="B14" i="114"/>
  <c r="L13" i="114"/>
  <c r="J13" i="114"/>
  <c r="L12" i="114"/>
  <c r="J12" i="114"/>
  <c r="X10" i="114"/>
  <c r="V10" i="114"/>
  <c r="U10" i="114"/>
  <c r="Z98" i="113"/>
  <c r="B55" i="113" s="1"/>
  <c r="J55" i="113" s="1"/>
  <c r="V98" i="113"/>
  <c r="U98" i="113"/>
  <c r="P98" i="113"/>
  <c r="B50" i="113" s="1"/>
  <c r="J50" i="113" s="1"/>
  <c r="X97" i="113"/>
  <c r="Y97" i="113" s="1"/>
  <c r="S97" i="113"/>
  <c r="T97" i="113" s="1"/>
  <c r="X96" i="113"/>
  <c r="Y96" i="113" s="1"/>
  <c r="S96" i="113"/>
  <c r="T96" i="113" s="1"/>
  <c r="X95" i="113"/>
  <c r="Y95" i="113" s="1"/>
  <c r="S95" i="113"/>
  <c r="T95" i="113" s="1"/>
  <c r="X94" i="113"/>
  <c r="Y94" i="113" s="1"/>
  <c r="S94" i="113"/>
  <c r="T94" i="113" s="1"/>
  <c r="X93" i="113"/>
  <c r="Y93" i="113" s="1"/>
  <c r="S93" i="113"/>
  <c r="T93" i="113" s="1"/>
  <c r="X92" i="113"/>
  <c r="Y92" i="113" s="1"/>
  <c r="S92" i="113"/>
  <c r="T92" i="113" s="1"/>
  <c r="X91" i="113"/>
  <c r="Y91" i="113" s="1"/>
  <c r="S91" i="113"/>
  <c r="T91" i="113" s="1"/>
  <c r="X90" i="113"/>
  <c r="Y90" i="113" s="1"/>
  <c r="S90" i="113"/>
  <c r="T90" i="113" s="1"/>
  <c r="X89" i="113"/>
  <c r="Y89" i="113" s="1"/>
  <c r="S89" i="113"/>
  <c r="T89" i="113" s="1"/>
  <c r="X88" i="113"/>
  <c r="Y88" i="113" s="1"/>
  <c r="S88" i="113"/>
  <c r="T88" i="113" s="1"/>
  <c r="X87" i="113"/>
  <c r="Y87" i="113" s="1"/>
  <c r="S87" i="113"/>
  <c r="T87" i="113" s="1"/>
  <c r="X86" i="113"/>
  <c r="Y86" i="113" s="1"/>
  <c r="S86" i="113"/>
  <c r="T86" i="113" s="1"/>
  <c r="X85" i="113"/>
  <c r="Y85" i="113" s="1"/>
  <c r="S85" i="113"/>
  <c r="T85" i="113" s="1"/>
  <c r="X84" i="113"/>
  <c r="Y84" i="113" s="1"/>
  <c r="S84" i="113"/>
  <c r="T84" i="113" s="1"/>
  <c r="X83" i="113"/>
  <c r="Y83" i="113" s="1"/>
  <c r="S83" i="113"/>
  <c r="T83" i="113" s="1"/>
  <c r="X82" i="113"/>
  <c r="Y82" i="113" s="1"/>
  <c r="S82" i="113"/>
  <c r="T82" i="113" s="1"/>
  <c r="X81" i="113"/>
  <c r="Y81" i="113" s="1"/>
  <c r="S81" i="113"/>
  <c r="T81" i="113" s="1"/>
  <c r="X80" i="113"/>
  <c r="Y80" i="113" s="1"/>
  <c r="S80" i="113"/>
  <c r="T80" i="113" s="1"/>
  <c r="X79" i="113"/>
  <c r="Y79" i="113" s="1"/>
  <c r="S79" i="113"/>
  <c r="T79" i="113" s="1"/>
  <c r="X78" i="113"/>
  <c r="S78" i="113"/>
  <c r="T75" i="113"/>
  <c r="B56" i="113" s="1"/>
  <c r="J56" i="113" s="1"/>
  <c r="R75" i="113"/>
  <c r="B49" i="113" s="1"/>
  <c r="J49" i="113" s="1"/>
  <c r="T69" i="113"/>
  <c r="B54" i="113" s="1"/>
  <c r="J54" i="113" s="1"/>
  <c r="R69" i="113"/>
  <c r="B48" i="113" s="1"/>
  <c r="J48" i="113" s="1"/>
  <c r="J69" i="113"/>
  <c r="J64" i="113"/>
  <c r="T63" i="113"/>
  <c r="B53" i="113" s="1"/>
  <c r="J53" i="113" s="1"/>
  <c r="S63" i="113"/>
  <c r="B58" i="113" s="1"/>
  <c r="J58" i="113" s="1"/>
  <c r="R63" i="113"/>
  <c r="B47" i="113" s="1"/>
  <c r="J47" i="113" s="1"/>
  <c r="L62" i="113"/>
  <c r="J62" i="113"/>
  <c r="H62" i="113"/>
  <c r="J61" i="113"/>
  <c r="H61" i="113"/>
  <c r="J60" i="113"/>
  <c r="H60" i="113"/>
  <c r="D60" i="113"/>
  <c r="J59" i="113"/>
  <c r="G59" i="113"/>
  <c r="L59" i="113" s="1"/>
  <c r="H58" i="113"/>
  <c r="H57" i="113"/>
  <c r="H56" i="113"/>
  <c r="H55" i="113"/>
  <c r="H54" i="113"/>
  <c r="H53" i="113"/>
  <c r="H52" i="113"/>
  <c r="H51" i="113"/>
  <c r="H50" i="113"/>
  <c r="H49" i="113"/>
  <c r="H48" i="113"/>
  <c r="H47" i="113"/>
  <c r="H46" i="113"/>
  <c r="L45" i="113"/>
  <c r="J45" i="113"/>
  <c r="B43" i="113"/>
  <c r="L43" i="113" s="1"/>
  <c r="T42" i="113"/>
  <c r="B52" i="113" s="1"/>
  <c r="S42" i="113"/>
  <c r="B57" i="113" s="1"/>
  <c r="R42" i="113"/>
  <c r="B46" i="113" s="1"/>
  <c r="L42" i="113"/>
  <c r="B42" i="113"/>
  <c r="J42" i="113" s="1"/>
  <c r="L41" i="113"/>
  <c r="J41" i="113"/>
  <c r="L40" i="113"/>
  <c r="B40" i="113"/>
  <c r="J40" i="113" s="1"/>
  <c r="L39" i="113"/>
  <c r="J39" i="113"/>
  <c r="B38" i="113"/>
  <c r="J37" i="113"/>
  <c r="L36" i="113"/>
  <c r="L35" i="113"/>
  <c r="B35" i="113"/>
  <c r="L34" i="113"/>
  <c r="B34" i="113"/>
  <c r="J34" i="113" s="1"/>
  <c r="L33" i="113"/>
  <c r="J33" i="113"/>
  <c r="L32" i="113"/>
  <c r="B32" i="113"/>
  <c r="J32" i="113" s="1"/>
  <c r="L31" i="113"/>
  <c r="J31" i="113"/>
  <c r="L30" i="113"/>
  <c r="B30" i="113"/>
  <c r="B36" i="113" s="1"/>
  <c r="L29" i="113"/>
  <c r="J29" i="113"/>
  <c r="L28" i="113"/>
  <c r="L27" i="113"/>
  <c r="B27" i="113"/>
  <c r="L26" i="113"/>
  <c r="B26" i="113"/>
  <c r="J26" i="113" s="1"/>
  <c r="L25" i="113"/>
  <c r="J25" i="113"/>
  <c r="L24" i="113"/>
  <c r="B24" i="113"/>
  <c r="J24" i="113" s="1"/>
  <c r="L23" i="113"/>
  <c r="J23" i="113"/>
  <c r="L22" i="113"/>
  <c r="B22" i="113"/>
  <c r="B28" i="113" s="1"/>
  <c r="L21" i="113"/>
  <c r="J21" i="113"/>
  <c r="L20" i="113"/>
  <c r="L19" i="113"/>
  <c r="B19" i="113"/>
  <c r="L18" i="113"/>
  <c r="B18" i="113"/>
  <c r="J18" i="113" s="1"/>
  <c r="L17" i="113"/>
  <c r="J17" i="113"/>
  <c r="L16" i="113"/>
  <c r="B16" i="113"/>
  <c r="J16" i="113" s="1"/>
  <c r="L15" i="113"/>
  <c r="J15" i="113"/>
  <c r="L14" i="113"/>
  <c r="B14" i="113"/>
  <c r="B20" i="113" s="1"/>
  <c r="C12" i="109" s="1"/>
  <c r="L13" i="113"/>
  <c r="J13" i="113"/>
  <c r="L12" i="113"/>
  <c r="J12" i="113"/>
  <c r="X10" i="113"/>
  <c r="V10" i="113"/>
  <c r="U10" i="113"/>
  <c r="Z98" i="112"/>
  <c r="B55" i="112" s="1"/>
  <c r="J55" i="112" s="1"/>
  <c r="V98" i="112"/>
  <c r="U98" i="112"/>
  <c r="B51" i="112" s="1"/>
  <c r="J51" i="112" s="1"/>
  <c r="P98" i="112"/>
  <c r="B50" i="112" s="1"/>
  <c r="J50" i="112" s="1"/>
  <c r="X97" i="112"/>
  <c r="Y97" i="112" s="1"/>
  <c r="S97" i="112"/>
  <c r="T97" i="112" s="1"/>
  <c r="X96" i="112"/>
  <c r="Y96" i="112" s="1"/>
  <c r="S96" i="112"/>
  <c r="T96" i="112" s="1"/>
  <c r="X95" i="112"/>
  <c r="Y95" i="112" s="1"/>
  <c r="S95" i="112"/>
  <c r="T95" i="112" s="1"/>
  <c r="X94" i="112"/>
  <c r="Y94" i="112" s="1"/>
  <c r="S94" i="112"/>
  <c r="T94" i="112" s="1"/>
  <c r="X93" i="112"/>
  <c r="Y93" i="112" s="1"/>
  <c r="S93" i="112"/>
  <c r="T93" i="112" s="1"/>
  <c r="X92" i="112"/>
  <c r="Y92" i="112" s="1"/>
  <c r="S92" i="112"/>
  <c r="T92" i="112" s="1"/>
  <c r="X91" i="112"/>
  <c r="Y91" i="112" s="1"/>
  <c r="S91" i="112"/>
  <c r="T91" i="112" s="1"/>
  <c r="X90" i="112"/>
  <c r="Y90" i="112" s="1"/>
  <c r="S90" i="112"/>
  <c r="T90" i="112" s="1"/>
  <c r="X89" i="112"/>
  <c r="Y89" i="112" s="1"/>
  <c r="S89" i="112"/>
  <c r="T89" i="112" s="1"/>
  <c r="X88" i="112"/>
  <c r="Y88" i="112" s="1"/>
  <c r="S88" i="112"/>
  <c r="T88" i="112" s="1"/>
  <c r="X87" i="112"/>
  <c r="Y87" i="112" s="1"/>
  <c r="S87" i="112"/>
  <c r="T87" i="112" s="1"/>
  <c r="X86" i="112"/>
  <c r="Y86" i="112" s="1"/>
  <c r="S86" i="112"/>
  <c r="T86" i="112" s="1"/>
  <c r="X85" i="112"/>
  <c r="Y85" i="112" s="1"/>
  <c r="S85" i="112"/>
  <c r="T85" i="112" s="1"/>
  <c r="X84" i="112"/>
  <c r="Y84" i="112" s="1"/>
  <c r="S84" i="112"/>
  <c r="T84" i="112" s="1"/>
  <c r="X83" i="112"/>
  <c r="Y83" i="112" s="1"/>
  <c r="S83" i="112"/>
  <c r="T83" i="112" s="1"/>
  <c r="X82" i="112"/>
  <c r="Y82" i="112" s="1"/>
  <c r="S82" i="112"/>
  <c r="T82" i="112" s="1"/>
  <c r="X81" i="112"/>
  <c r="Y81" i="112" s="1"/>
  <c r="S81" i="112"/>
  <c r="T81" i="112" s="1"/>
  <c r="X80" i="112"/>
  <c r="Y80" i="112" s="1"/>
  <c r="S80" i="112"/>
  <c r="T80" i="112" s="1"/>
  <c r="X79" i="112"/>
  <c r="Y79" i="112" s="1"/>
  <c r="S79" i="112"/>
  <c r="T79" i="112" s="1"/>
  <c r="X78" i="112"/>
  <c r="S78" i="112"/>
  <c r="T75" i="112"/>
  <c r="B56" i="112" s="1"/>
  <c r="J56" i="112" s="1"/>
  <c r="R75" i="112"/>
  <c r="B49" i="112" s="1"/>
  <c r="J49" i="112" s="1"/>
  <c r="T69" i="112"/>
  <c r="B54" i="112" s="1"/>
  <c r="J54" i="112" s="1"/>
  <c r="R69" i="112"/>
  <c r="B48" i="112" s="1"/>
  <c r="J48" i="112" s="1"/>
  <c r="J69" i="112"/>
  <c r="J64" i="112"/>
  <c r="T63" i="112"/>
  <c r="B53" i="112" s="1"/>
  <c r="J53" i="112" s="1"/>
  <c r="S63" i="112"/>
  <c r="B58" i="112" s="1"/>
  <c r="J58" i="112" s="1"/>
  <c r="R63" i="112"/>
  <c r="B47" i="112" s="1"/>
  <c r="J47" i="112" s="1"/>
  <c r="L62" i="112"/>
  <c r="J62" i="112"/>
  <c r="H62" i="112"/>
  <c r="J61" i="112"/>
  <c r="H61" i="112"/>
  <c r="J60" i="112"/>
  <c r="H60" i="112"/>
  <c r="D60" i="112"/>
  <c r="J59" i="112"/>
  <c r="G59" i="112"/>
  <c r="L59" i="112" s="1"/>
  <c r="H58" i="112"/>
  <c r="H57" i="112"/>
  <c r="H56" i="112"/>
  <c r="H55" i="112"/>
  <c r="H54" i="112"/>
  <c r="H53" i="112"/>
  <c r="H52" i="112"/>
  <c r="H51" i="112"/>
  <c r="H50" i="112"/>
  <c r="H49" i="112"/>
  <c r="H48" i="112"/>
  <c r="H47" i="112"/>
  <c r="H46" i="112"/>
  <c r="L45" i="112"/>
  <c r="J45" i="112"/>
  <c r="L44" i="112"/>
  <c r="L43" i="112"/>
  <c r="B43" i="112"/>
  <c r="T42" i="112"/>
  <c r="B52" i="112" s="1"/>
  <c r="S42" i="112"/>
  <c r="B57" i="112" s="1"/>
  <c r="R42" i="112"/>
  <c r="B46" i="112" s="1"/>
  <c r="L42" i="112"/>
  <c r="B42" i="112"/>
  <c r="J42" i="112" s="1"/>
  <c r="L41" i="112"/>
  <c r="J41" i="112"/>
  <c r="L40" i="112"/>
  <c r="B40" i="112"/>
  <c r="J40" i="112" s="1"/>
  <c r="L39" i="112"/>
  <c r="J39" i="112"/>
  <c r="L38" i="112"/>
  <c r="B38" i="112"/>
  <c r="B44" i="112" s="1"/>
  <c r="L37" i="112"/>
  <c r="J37" i="112"/>
  <c r="L36" i="112"/>
  <c r="L35" i="112"/>
  <c r="B35" i="112"/>
  <c r="L34" i="112"/>
  <c r="B34" i="112"/>
  <c r="J34" i="112" s="1"/>
  <c r="L33" i="112"/>
  <c r="J33" i="112"/>
  <c r="L32" i="112"/>
  <c r="B32" i="112"/>
  <c r="J32" i="112" s="1"/>
  <c r="L31" i="112"/>
  <c r="J31" i="112"/>
  <c r="L30" i="112"/>
  <c r="B30" i="112"/>
  <c r="B36" i="112" s="1"/>
  <c r="L29" i="112"/>
  <c r="J29" i="112"/>
  <c r="L28" i="112"/>
  <c r="L27" i="112"/>
  <c r="B27" i="112"/>
  <c r="L26" i="112"/>
  <c r="B26" i="112"/>
  <c r="J26" i="112" s="1"/>
  <c r="L25" i="112"/>
  <c r="J25" i="112"/>
  <c r="L24" i="112"/>
  <c r="B24" i="112"/>
  <c r="J24" i="112" s="1"/>
  <c r="L23" i="112"/>
  <c r="J23" i="112"/>
  <c r="L22" i="112"/>
  <c r="B22" i="112"/>
  <c r="B28" i="112" s="1"/>
  <c r="L21" i="112"/>
  <c r="J21" i="112"/>
  <c r="L20" i="112"/>
  <c r="L19" i="112"/>
  <c r="B19" i="112"/>
  <c r="L18" i="112"/>
  <c r="B18" i="112"/>
  <c r="J18" i="112" s="1"/>
  <c r="L17" i="112"/>
  <c r="J17" i="112"/>
  <c r="L16" i="112"/>
  <c r="B16" i="112"/>
  <c r="J16" i="112" s="1"/>
  <c r="L15" i="112"/>
  <c r="J15" i="112"/>
  <c r="L14" i="112"/>
  <c r="B14" i="112"/>
  <c r="B20" i="112" s="1"/>
  <c r="C11" i="109" s="1"/>
  <c r="L13" i="112"/>
  <c r="J13" i="112"/>
  <c r="L12" i="112"/>
  <c r="J12" i="112"/>
  <c r="X10" i="112"/>
  <c r="V10" i="112"/>
  <c r="U10" i="112"/>
  <c r="Z98" i="111"/>
  <c r="V98" i="111"/>
  <c r="U98" i="111"/>
  <c r="P98" i="111"/>
  <c r="B50" i="111" s="1"/>
  <c r="J50" i="111" s="1"/>
  <c r="X97" i="111"/>
  <c r="Y97" i="111" s="1"/>
  <c r="S97" i="111"/>
  <c r="T97" i="111" s="1"/>
  <c r="X96" i="111"/>
  <c r="Y96" i="111" s="1"/>
  <c r="S96" i="111"/>
  <c r="T96" i="111" s="1"/>
  <c r="X95" i="111"/>
  <c r="Y95" i="111" s="1"/>
  <c r="S95" i="111"/>
  <c r="T95" i="111" s="1"/>
  <c r="X94" i="111"/>
  <c r="Y94" i="111" s="1"/>
  <c r="S94" i="111"/>
  <c r="T94" i="111" s="1"/>
  <c r="X93" i="111"/>
  <c r="Y93" i="111" s="1"/>
  <c r="S93" i="111"/>
  <c r="T93" i="111" s="1"/>
  <c r="X92" i="111"/>
  <c r="Y92" i="111" s="1"/>
  <c r="S92" i="111"/>
  <c r="T92" i="111" s="1"/>
  <c r="X91" i="111"/>
  <c r="Y91" i="111" s="1"/>
  <c r="S91" i="111"/>
  <c r="T91" i="111" s="1"/>
  <c r="X90" i="111"/>
  <c r="Y90" i="111" s="1"/>
  <c r="S90" i="111"/>
  <c r="T90" i="111" s="1"/>
  <c r="X89" i="111"/>
  <c r="Y89" i="111" s="1"/>
  <c r="S89" i="111"/>
  <c r="T89" i="111" s="1"/>
  <c r="X88" i="111"/>
  <c r="Y88" i="111" s="1"/>
  <c r="S88" i="111"/>
  <c r="T88" i="111" s="1"/>
  <c r="X87" i="111"/>
  <c r="Y87" i="111" s="1"/>
  <c r="S87" i="111"/>
  <c r="T87" i="111" s="1"/>
  <c r="X86" i="111"/>
  <c r="Y86" i="111" s="1"/>
  <c r="S86" i="111"/>
  <c r="T86" i="111" s="1"/>
  <c r="X85" i="111"/>
  <c r="Y85" i="111" s="1"/>
  <c r="S85" i="111"/>
  <c r="T85" i="111" s="1"/>
  <c r="X84" i="111"/>
  <c r="Y84" i="111" s="1"/>
  <c r="S84" i="111"/>
  <c r="T84" i="111" s="1"/>
  <c r="X83" i="111"/>
  <c r="Y83" i="111" s="1"/>
  <c r="S83" i="111"/>
  <c r="T83" i="111" s="1"/>
  <c r="X82" i="111"/>
  <c r="Y82" i="111" s="1"/>
  <c r="S82" i="111"/>
  <c r="T82" i="111" s="1"/>
  <c r="X81" i="111"/>
  <c r="Y81" i="111" s="1"/>
  <c r="S81" i="111"/>
  <c r="T81" i="111" s="1"/>
  <c r="X80" i="111"/>
  <c r="Y80" i="111" s="1"/>
  <c r="S80" i="111"/>
  <c r="T80" i="111" s="1"/>
  <c r="X79" i="111"/>
  <c r="Y79" i="111" s="1"/>
  <c r="S79" i="111"/>
  <c r="T79" i="111" s="1"/>
  <c r="X78" i="111"/>
  <c r="S78" i="111"/>
  <c r="T78" i="111" s="1"/>
  <c r="T75" i="111"/>
  <c r="B56" i="111" s="1"/>
  <c r="R75" i="111"/>
  <c r="B49" i="111" s="1"/>
  <c r="J49" i="111" s="1"/>
  <c r="T69" i="111"/>
  <c r="B54" i="111" s="1"/>
  <c r="J54" i="111" s="1"/>
  <c r="R69" i="111"/>
  <c r="B48" i="111" s="1"/>
  <c r="J48" i="111" s="1"/>
  <c r="J69" i="111"/>
  <c r="J64" i="111"/>
  <c r="T63" i="111"/>
  <c r="B53" i="111" s="1"/>
  <c r="J53" i="111" s="1"/>
  <c r="S63" i="111"/>
  <c r="B58" i="111" s="1"/>
  <c r="J58" i="111" s="1"/>
  <c r="R63" i="111"/>
  <c r="B47" i="111" s="1"/>
  <c r="J47" i="111" s="1"/>
  <c r="L62" i="111"/>
  <c r="J62" i="111"/>
  <c r="H62" i="111"/>
  <c r="J61" i="111"/>
  <c r="H61" i="111"/>
  <c r="J60" i="111"/>
  <c r="H60" i="111"/>
  <c r="D60" i="111"/>
  <c r="J59" i="111"/>
  <c r="G59" i="111"/>
  <c r="L59" i="111" s="1"/>
  <c r="H58" i="111"/>
  <c r="H57" i="111"/>
  <c r="H56" i="111"/>
  <c r="H55" i="111"/>
  <c r="B55" i="111"/>
  <c r="J55" i="111" s="1"/>
  <c r="H54" i="111"/>
  <c r="H53" i="111"/>
  <c r="H52" i="111"/>
  <c r="H51" i="111"/>
  <c r="H50" i="111"/>
  <c r="H49" i="111"/>
  <c r="H48" i="111"/>
  <c r="H47" i="111"/>
  <c r="H46" i="111"/>
  <c r="L45" i="111"/>
  <c r="J45" i="111"/>
  <c r="L44" i="111"/>
  <c r="L43" i="111"/>
  <c r="B43" i="111"/>
  <c r="T42" i="111"/>
  <c r="B52" i="111" s="1"/>
  <c r="S42" i="111"/>
  <c r="B57" i="111" s="1"/>
  <c r="R42" i="111"/>
  <c r="B46" i="111" s="1"/>
  <c r="L42" i="111"/>
  <c r="B42" i="111"/>
  <c r="J42" i="111" s="1"/>
  <c r="L41" i="111"/>
  <c r="J41" i="111"/>
  <c r="L40" i="111"/>
  <c r="B40" i="111"/>
  <c r="J40" i="111" s="1"/>
  <c r="L39" i="111"/>
  <c r="J39" i="111"/>
  <c r="L38" i="111"/>
  <c r="B38" i="111"/>
  <c r="B44" i="111" s="1"/>
  <c r="L37" i="111"/>
  <c r="J37" i="111"/>
  <c r="L36" i="111"/>
  <c r="L35" i="111"/>
  <c r="B35" i="111"/>
  <c r="L34" i="111"/>
  <c r="B34" i="111"/>
  <c r="J34" i="111" s="1"/>
  <c r="L33" i="111"/>
  <c r="J33" i="111"/>
  <c r="L32" i="111"/>
  <c r="B32" i="111"/>
  <c r="J32" i="111" s="1"/>
  <c r="L31" i="111"/>
  <c r="J31" i="111"/>
  <c r="L30" i="111"/>
  <c r="B30" i="111"/>
  <c r="B36" i="111" s="1"/>
  <c r="L29" i="111"/>
  <c r="J29" i="111"/>
  <c r="L28" i="111"/>
  <c r="L27" i="111"/>
  <c r="B27" i="111"/>
  <c r="L26" i="111"/>
  <c r="B26" i="111"/>
  <c r="J26" i="111" s="1"/>
  <c r="L25" i="111"/>
  <c r="J25" i="111"/>
  <c r="L24" i="111"/>
  <c r="B24" i="111"/>
  <c r="J24" i="111" s="1"/>
  <c r="L23" i="111"/>
  <c r="J23" i="111"/>
  <c r="L22" i="111"/>
  <c r="B22" i="111"/>
  <c r="B28" i="111" s="1"/>
  <c r="L21" i="111"/>
  <c r="J21" i="111"/>
  <c r="L20" i="111"/>
  <c r="L19" i="111"/>
  <c r="B19" i="111"/>
  <c r="L18" i="111"/>
  <c r="B18" i="111"/>
  <c r="J18" i="111" s="1"/>
  <c r="L17" i="111"/>
  <c r="J17" i="111"/>
  <c r="L16" i="111"/>
  <c r="B16" i="111"/>
  <c r="J16" i="111" s="1"/>
  <c r="L15" i="111"/>
  <c r="J15" i="111"/>
  <c r="L14" i="111"/>
  <c r="B14" i="111"/>
  <c r="B20" i="111" s="1"/>
  <c r="C10" i="109" s="1"/>
  <c r="L13" i="111"/>
  <c r="J13" i="111"/>
  <c r="L12" i="111"/>
  <c r="J12" i="111"/>
  <c r="X10" i="111"/>
  <c r="V10" i="111"/>
  <c r="U10" i="111"/>
  <c r="Z98" i="110"/>
  <c r="B55" i="110" s="1"/>
  <c r="J55" i="110" s="1"/>
  <c r="V98" i="110"/>
  <c r="U98" i="110"/>
  <c r="P98" i="110"/>
  <c r="B50" i="110" s="1"/>
  <c r="J50" i="110" s="1"/>
  <c r="X97" i="110"/>
  <c r="Y97" i="110" s="1"/>
  <c r="S97" i="110"/>
  <c r="T97" i="110" s="1"/>
  <c r="X96" i="110"/>
  <c r="Y96" i="110" s="1"/>
  <c r="S96" i="110"/>
  <c r="T96" i="110" s="1"/>
  <c r="X95" i="110"/>
  <c r="Y95" i="110" s="1"/>
  <c r="S95" i="110"/>
  <c r="T95" i="110" s="1"/>
  <c r="X94" i="110"/>
  <c r="Y94" i="110" s="1"/>
  <c r="S94" i="110"/>
  <c r="T94" i="110" s="1"/>
  <c r="X93" i="110"/>
  <c r="Y93" i="110" s="1"/>
  <c r="S93" i="110"/>
  <c r="T93" i="110" s="1"/>
  <c r="X92" i="110"/>
  <c r="Y92" i="110" s="1"/>
  <c r="S92" i="110"/>
  <c r="T92" i="110" s="1"/>
  <c r="X91" i="110"/>
  <c r="Y91" i="110" s="1"/>
  <c r="S91" i="110"/>
  <c r="T91" i="110" s="1"/>
  <c r="X90" i="110"/>
  <c r="Y90" i="110" s="1"/>
  <c r="S90" i="110"/>
  <c r="T90" i="110" s="1"/>
  <c r="X89" i="110"/>
  <c r="Y89" i="110" s="1"/>
  <c r="S89" i="110"/>
  <c r="T89" i="110" s="1"/>
  <c r="X88" i="110"/>
  <c r="Y88" i="110" s="1"/>
  <c r="S88" i="110"/>
  <c r="T88" i="110" s="1"/>
  <c r="X87" i="110"/>
  <c r="Y87" i="110" s="1"/>
  <c r="S87" i="110"/>
  <c r="T87" i="110" s="1"/>
  <c r="X86" i="110"/>
  <c r="Y86" i="110" s="1"/>
  <c r="S86" i="110"/>
  <c r="T86" i="110" s="1"/>
  <c r="X85" i="110"/>
  <c r="Y85" i="110" s="1"/>
  <c r="S85" i="110"/>
  <c r="T85" i="110" s="1"/>
  <c r="X84" i="110"/>
  <c r="Y84" i="110" s="1"/>
  <c r="S84" i="110"/>
  <c r="T84" i="110" s="1"/>
  <c r="X83" i="110"/>
  <c r="Y83" i="110" s="1"/>
  <c r="S83" i="110"/>
  <c r="T83" i="110" s="1"/>
  <c r="X82" i="110"/>
  <c r="Y82" i="110" s="1"/>
  <c r="S82" i="110"/>
  <c r="T82" i="110" s="1"/>
  <c r="X81" i="110"/>
  <c r="Y81" i="110" s="1"/>
  <c r="S81" i="110"/>
  <c r="T81" i="110" s="1"/>
  <c r="X80" i="110"/>
  <c r="Y80" i="110" s="1"/>
  <c r="S80" i="110"/>
  <c r="T80" i="110" s="1"/>
  <c r="X79" i="110"/>
  <c r="Y79" i="110" s="1"/>
  <c r="S79" i="110"/>
  <c r="T79" i="110" s="1"/>
  <c r="H79" i="110"/>
  <c r="X78" i="110"/>
  <c r="S78" i="110"/>
  <c r="T75" i="110"/>
  <c r="B56" i="110" s="1"/>
  <c r="J56" i="110" s="1"/>
  <c r="R75" i="110"/>
  <c r="B49" i="110" s="1"/>
  <c r="J49" i="110" s="1"/>
  <c r="T69" i="110"/>
  <c r="B54" i="110" s="1"/>
  <c r="J54" i="110" s="1"/>
  <c r="R69" i="110"/>
  <c r="B48" i="110" s="1"/>
  <c r="J48" i="110" s="1"/>
  <c r="J69" i="110"/>
  <c r="J64" i="110"/>
  <c r="T63" i="110"/>
  <c r="B53" i="110" s="1"/>
  <c r="J53" i="110" s="1"/>
  <c r="S63" i="110"/>
  <c r="B58" i="110" s="1"/>
  <c r="J58" i="110" s="1"/>
  <c r="R63" i="110"/>
  <c r="B47" i="110" s="1"/>
  <c r="J47" i="110" s="1"/>
  <c r="L62" i="110"/>
  <c r="J62" i="110"/>
  <c r="H62" i="110"/>
  <c r="J61" i="110"/>
  <c r="H61" i="110"/>
  <c r="J60" i="110"/>
  <c r="H60" i="110"/>
  <c r="D60" i="110"/>
  <c r="J59" i="110"/>
  <c r="G59" i="110"/>
  <c r="L59" i="110" s="1"/>
  <c r="H58" i="110"/>
  <c r="H57" i="110"/>
  <c r="H56" i="110"/>
  <c r="H55" i="110"/>
  <c r="H54" i="110"/>
  <c r="H53" i="110"/>
  <c r="H52" i="110"/>
  <c r="H51" i="110"/>
  <c r="H50" i="110"/>
  <c r="H49" i="110"/>
  <c r="H48" i="110"/>
  <c r="H47" i="110"/>
  <c r="H46" i="110"/>
  <c r="L45" i="110"/>
  <c r="J45" i="110"/>
  <c r="L44" i="110"/>
  <c r="L43" i="110"/>
  <c r="B43" i="110"/>
  <c r="T42" i="110"/>
  <c r="B52" i="110" s="1"/>
  <c r="S42" i="110"/>
  <c r="B57" i="110" s="1"/>
  <c r="R42" i="110"/>
  <c r="B46" i="110" s="1"/>
  <c r="L42" i="110"/>
  <c r="B42" i="110"/>
  <c r="J42" i="110" s="1"/>
  <c r="L41" i="110"/>
  <c r="J41" i="110"/>
  <c r="L40" i="110"/>
  <c r="B40" i="110"/>
  <c r="J40" i="110" s="1"/>
  <c r="L39" i="110"/>
  <c r="J39" i="110"/>
  <c r="L38" i="110"/>
  <c r="B38" i="110"/>
  <c r="B44" i="110" s="1"/>
  <c r="L37" i="110"/>
  <c r="J37" i="110"/>
  <c r="L36" i="110"/>
  <c r="L35" i="110"/>
  <c r="B35" i="110"/>
  <c r="L34" i="110"/>
  <c r="B34" i="110"/>
  <c r="J34" i="110" s="1"/>
  <c r="L33" i="110"/>
  <c r="J33" i="110"/>
  <c r="L32" i="110"/>
  <c r="B32" i="110"/>
  <c r="J32" i="110" s="1"/>
  <c r="L31" i="110"/>
  <c r="J31" i="110"/>
  <c r="L30" i="110"/>
  <c r="B30" i="110"/>
  <c r="B36" i="110" s="1"/>
  <c r="L29" i="110"/>
  <c r="J29" i="110"/>
  <c r="L28" i="110"/>
  <c r="L27" i="110"/>
  <c r="B27" i="110"/>
  <c r="L26" i="110"/>
  <c r="B26" i="110"/>
  <c r="J26" i="110" s="1"/>
  <c r="L25" i="110"/>
  <c r="J25" i="110"/>
  <c r="L24" i="110"/>
  <c r="B24" i="110"/>
  <c r="J24" i="110" s="1"/>
  <c r="L23" i="110"/>
  <c r="J23" i="110"/>
  <c r="L22" i="110"/>
  <c r="B22" i="110"/>
  <c r="B28" i="110" s="1"/>
  <c r="L21" i="110"/>
  <c r="J21" i="110"/>
  <c r="L20" i="110"/>
  <c r="L19" i="110"/>
  <c r="B19" i="110"/>
  <c r="L18" i="110"/>
  <c r="B18" i="110"/>
  <c r="J18" i="110" s="1"/>
  <c r="L17" i="110"/>
  <c r="J17" i="110"/>
  <c r="L16" i="110"/>
  <c r="B16" i="110"/>
  <c r="J16" i="110" s="1"/>
  <c r="L15" i="110"/>
  <c r="J15" i="110"/>
  <c r="L14" i="110"/>
  <c r="B14" i="110"/>
  <c r="L13" i="110"/>
  <c r="J13" i="110"/>
  <c r="L12" i="110"/>
  <c r="J12" i="110"/>
  <c r="X10" i="110"/>
  <c r="V10" i="110"/>
  <c r="U10" i="110"/>
  <c r="J69" i="40"/>
  <c r="J32" i="122" l="1"/>
  <c r="L32" i="122"/>
  <c r="B36" i="134"/>
  <c r="L36" i="134" s="1"/>
  <c r="L30" i="134"/>
  <c r="J56" i="111"/>
  <c r="F56" i="111"/>
  <c r="D56" i="111"/>
  <c r="B36" i="131"/>
  <c r="L36" i="131" s="1"/>
  <c r="L30" i="131"/>
  <c r="J50" i="116"/>
  <c r="B44" i="139"/>
  <c r="L44" i="139" s="1"/>
  <c r="L38" i="139"/>
  <c r="B36" i="139"/>
  <c r="L36" i="139" s="1"/>
  <c r="L30" i="139"/>
  <c r="B44" i="132"/>
  <c r="L44" i="132" s="1"/>
  <c r="B44" i="131"/>
  <c r="L44" i="131" s="1"/>
  <c r="L38" i="131"/>
  <c r="B36" i="136"/>
  <c r="L36" i="136" s="1"/>
  <c r="L30" i="136"/>
  <c r="B44" i="135"/>
  <c r="L44" i="135" s="1"/>
  <c r="L38" i="135"/>
  <c r="B36" i="135"/>
  <c r="L36" i="135" s="1"/>
  <c r="L30" i="135"/>
  <c r="B44" i="124"/>
  <c r="L44" i="124" s="1"/>
  <c r="L38" i="124"/>
  <c r="B36" i="121"/>
  <c r="L36" i="121" s="1"/>
  <c r="L30" i="121"/>
  <c r="B44" i="121"/>
  <c r="L44" i="121" s="1"/>
  <c r="L38" i="121"/>
  <c r="B20" i="120"/>
  <c r="C19" i="109" s="1"/>
  <c r="B36" i="125"/>
  <c r="J36" i="125" s="1"/>
  <c r="B44" i="118"/>
  <c r="L44" i="118" s="1"/>
  <c r="L38" i="118"/>
  <c r="B36" i="118"/>
  <c r="L36" i="118" s="1"/>
  <c r="L30" i="118"/>
  <c r="B51" i="120"/>
  <c r="J51" i="120" s="1"/>
  <c r="B51" i="123"/>
  <c r="J51" i="123" s="1"/>
  <c r="B51" i="127"/>
  <c r="J51" i="127" s="1"/>
  <c r="B20" i="133"/>
  <c r="C32" i="109" s="1"/>
  <c r="B44" i="114"/>
  <c r="L44" i="114" s="1"/>
  <c r="L38" i="114"/>
  <c r="B53" i="137"/>
  <c r="J53" i="137" s="1"/>
  <c r="J32" i="130"/>
  <c r="L32" i="130"/>
  <c r="B36" i="130"/>
  <c r="L36" i="130" s="1"/>
  <c r="B44" i="130"/>
  <c r="L44" i="130" s="1"/>
  <c r="L38" i="130"/>
  <c r="B44" i="113"/>
  <c r="L44" i="113" s="1"/>
  <c r="L38" i="113"/>
  <c r="B20" i="110"/>
  <c r="C9" i="109" s="1"/>
  <c r="B44" i="129"/>
  <c r="L44" i="129" s="1"/>
  <c r="L38" i="129"/>
  <c r="B36" i="129"/>
  <c r="L36" i="129" s="1"/>
  <c r="L30" i="129"/>
  <c r="B20" i="114"/>
  <c r="C13" i="109" s="1"/>
  <c r="D52" i="132"/>
  <c r="B51" i="134"/>
  <c r="J51" i="134" s="1"/>
  <c r="B51" i="128"/>
  <c r="J51" i="128" s="1"/>
  <c r="B51" i="129"/>
  <c r="J51" i="129" s="1"/>
  <c r="B51" i="132"/>
  <c r="J51" i="132" s="1"/>
  <c r="B51" i="121"/>
  <c r="J51" i="121" s="1"/>
  <c r="X98" i="125"/>
  <c r="F52" i="117"/>
  <c r="D52" i="117"/>
  <c r="J53" i="117"/>
  <c r="F53" i="117"/>
  <c r="B51" i="119"/>
  <c r="J51" i="119" s="1"/>
  <c r="X98" i="131"/>
  <c r="B51" i="138"/>
  <c r="J51" i="138" s="1"/>
  <c r="B50" i="138"/>
  <c r="J50" i="138" s="1"/>
  <c r="B51" i="113"/>
  <c r="J51" i="113" s="1"/>
  <c r="B51" i="114"/>
  <c r="J51" i="114" s="1"/>
  <c r="B51" i="115"/>
  <c r="J51" i="115" s="1"/>
  <c r="B51" i="116"/>
  <c r="J51" i="116" s="1"/>
  <c r="B51" i="118"/>
  <c r="J51" i="118" s="1"/>
  <c r="B51" i="122"/>
  <c r="J51" i="122" s="1"/>
  <c r="B50" i="126"/>
  <c r="D50" i="126" s="1"/>
  <c r="F50" i="126" s="1"/>
  <c r="X98" i="128"/>
  <c r="B51" i="131"/>
  <c r="J51" i="131" s="1"/>
  <c r="B51" i="133"/>
  <c r="J51" i="133" s="1"/>
  <c r="B51" i="110"/>
  <c r="J51" i="110" s="1"/>
  <c r="B51" i="111"/>
  <c r="J51" i="111" s="1"/>
  <c r="B51" i="124"/>
  <c r="J51" i="124" s="1"/>
  <c r="B51" i="126"/>
  <c r="J51" i="126" s="1"/>
  <c r="B51" i="135"/>
  <c r="J51" i="135" s="1"/>
  <c r="B51" i="136"/>
  <c r="J51" i="136" s="1"/>
  <c r="B51" i="137"/>
  <c r="J51" i="137" s="1"/>
  <c r="S98" i="138"/>
  <c r="X98" i="139"/>
  <c r="B50" i="139"/>
  <c r="J50" i="139" s="1"/>
  <c r="B51" i="139"/>
  <c r="J51" i="139" s="1"/>
  <c r="D11" i="77"/>
  <c r="D13" i="77"/>
  <c r="D27" i="77"/>
  <c r="D31" i="77"/>
  <c r="D33" i="77"/>
  <c r="D35" i="77"/>
  <c r="D37" i="77"/>
  <c r="X98" i="137"/>
  <c r="B50" i="137"/>
  <c r="J50" i="137" s="1"/>
  <c r="S98" i="136"/>
  <c r="X98" i="135"/>
  <c r="B50" i="135"/>
  <c r="J50" i="135" s="1"/>
  <c r="S98" i="134"/>
  <c r="X98" i="133"/>
  <c r="B50" i="133"/>
  <c r="J50" i="133" s="1"/>
  <c r="S98" i="132"/>
  <c r="B51" i="130"/>
  <c r="J51" i="130" s="1"/>
  <c r="B50" i="130"/>
  <c r="J50" i="130" s="1"/>
  <c r="D29" i="77"/>
  <c r="B50" i="129"/>
  <c r="J50" i="129" s="1"/>
  <c r="S98" i="129"/>
  <c r="B50" i="128"/>
  <c r="J50" i="128" s="1"/>
  <c r="S98" i="127"/>
  <c r="D25" i="77"/>
  <c r="X98" i="126"/>
  <c r="J50" i="126"/>
  <c r="B51" i="117"/>
  <c r="J51" i="117" s="1"/>
  <c r="X98" i="122"/>
  <c r="J51" i="125"/>
  <c r="S98" i="126"/>
  <c r="X98" i="127"/>
  <c r="S98" i="128"/>
  <c r="X98" i="129"/>
  <c r="X98" i="130"/>
  <c r="S98" i="131"/>
  <c r="X98" i="132"/>
  <c r="S98" i="133"/>
  <c r="X98" i="134"/>
  <c r="S98" i="135"/>
  <c r="X98" i="136"/>
  <c r="S98" i="137"/>
  <c r="X98" i="138"/>
  <c r="S98" i="139"/>
  <c r="D10" i="77"/>
  <c r="D12" i="77"/>
  <c r="D16" i="77"/>
  <c r="D20" i="77"/>
  <c r="D22" i="77"/>
  <c r="D24" i="77"/>
  <c r="D26" i="77"/>
  <c r="D28" i="77"/>
  <c r="D30" i="77"/>
  <c r="D32" i="77"/>
  <c r="D34" i="77"/>
  <c r="D36" i="77"/>
  <c r="D38" i="77"/>
  <c r="B50" i="125"/>
  <c r="J50" i="125" s="1"/>
  <c r="S98" i="125"/>
  <c r="X98" i="124"/>
  <c r="S98" i="124"/>
  <c r="D23" i="77"/>
  <c r="S98" i="123"/>
  <c r="D21" i="77"/>
  <c r="B50" i="122"/>
  <c r="J50" i="122" s="1"/>
  <c r="S98" i="122"/>
  <c r="B50" i="121"/>
  <c r="J50" i="121" s="1"/>
  <c r="X98" i="121"/>
  <c r="S98" i="121"/>
  <c r="D19" i="77"/>
  <c r="B50" i="120"/>
  <c r="J50" i="120" s="1"/>
  <c r="X98" i="120"/>
  <c r="S98" i="120"/>
  <c r="S98" i="115"/>
  <c r="D18" i="77"/>
  <c r="X98" i="119"/>
  <c r="S98" i="119"/>
  <c r="D17" i="77"/>
  <c r="X98" i="118"/>
  <c r="S98" i="118"/>
  <c r="B50" i="117"/>
  <c r="J50" i="117" s="1"/>
  <c r="X98" i="117"/>
  <c r="S98" i="117"/>
  <c r="S98" i="116"/>
  <c r="X98" i="116"/>
  <c r="D15" i="77"/>
  <c r="X98" i="115"/>
  <c r="D14" i="77"/>
  <c r="X98" i="114"/>
  <c r="S98" i="114"/>
  <c r="X98" i="113"/>
  <c r="X98" i="112"/>
  <c r="S98" i="112"/>
  <c r="X98" i="111"/>
  <c r="S98" i="111"/>
  <c r="X98" i="110"/>
  <c r="S98" i="110"/>
  <c r="D9" i="77"/>
  <c r="J28" i="110"/>
  <c r="E9" i="109"/>
  <c r="J27" i="110"/>
  <c r="D9" i="109"/>
  <c r="J44" i="110"/>
  <c r="I9" i="109"/>
  <c r="J19" i="111"/>
  <c r="B10" i="109"/>
  <c r="J36" i="111"/>
  <c r="G10" i="109"/>
  <c r="J35" i="111"/>
  <c r="F10" i="109"/>
  <c r="J43" i="111"/>
  <c r="H10" i="109"/>
  <c r="J28" i="112"/>
  <c r="E11" i="109"/>
  <c r="J27" i="112"/>
  <c r="D11" i="109"/>
  <c r="J44" i="112"/>
  <c r="I11" i="109"/>
  <c r="J19" i="113"/>
  <c r="B12" i="109"/>
  <c r="J36" i="113"/>
  <c r="G12" i="109"/>
  <c r="J35" i="113"/>
  <c r="F12" i="109"/>
  <c r="J43" i="113"/>
  <c r="H12" i="109"/>
  <c r="S98" i="113"/>
  <c r="J28" i="114"/>
  <c r="E13" i="109"/>
  <c r="J27" i="114"/>
  <c r="D13" i="109"/>
  <c r="J44" i="114"/>
  <c r="J19" i="115"/>
  <c r="B14" i="109"/>
  <c r="J36" i="115"/>
  <c r="G14" i="109"/>
  <c r="J35" i="115"/>
  <c r="F14" i="109"/>
  <c r="J43" i="115"/>
  <c r="H14" i="109"/>
  <c r="J28" i="116"/>
  <c r="E15" i="109"/>
  <c r="J27" i="116"/>
  <c r="D15" i="109"/>
  <c r="J44" i="116"/>
  <c r="I15" i="109"/>
  <c r="J19" i="117"/>
  <c r="B16" i="109"/>
  <c r="J36" i="117"/>
  <c r="G16" i="109"/>
  <c r="J35" i="117"/>
  <c r="F16" i="109"/>
  <c r="J43" i="117"/>
  <c r="H16" i="109"/>
  <c r="J28" i="118"/>
  <c r="E17" i="109"/>
  <c r="J27" i="118"/>
  <c r="D17" i="109"/>
  <c r="J19" i="119"/>
  <c r="B18" i="109"/>
  <c r="J36" i="119"/>
  <c r="G18" i="109"/>
  <c r="J35" i="119"/>
  <c r="F18" i="109"/>
  <c r="J43" i="119"/>
  <c r="H18" i="109"/>
  <c r="J28" i="120"/>
  <c r="E19" i="109"/>
  <c r="J27" i="120"/>
  <c r="D19" i="109"/>
  <c r="J44" i="120"/>
  <c r="I19" i="109"/>
  <c r="J19" i="121"/>
  <c r="B20" i="109"/>
  <c r="G20" i="109"/>
  <c r="J35" i="121"/>
  <c r="F20" i="109"/>
  <c r="J43" i="121"/>
  <c r="H20" i="109"/>
  <c r="J28" i="122"/>
  <c r="E21" i="109"/>
  <c r="J27" i="122"/>
  <c r="D21" i="109"/>
  <c r="J44" i="122"/>
  <c r="I21" i="109"/>
  <c r="J19" i="123"/>
  <c r="B22" i="109"/>
  <c r="J36" i="123"/>
  <c r="G22" i="109"/>
  <c r="J35" i="123"/>
  <c r="F22" i="109"/>
  <c r="J43" i="123"/>
  <c r="H22" i="109"/>
  <c r="J28" i="124"/>
  <c r="E23" i="109"/>
  <c r="J27" i="124"/>
  <c r="D23" i="109"/>
  <c r="J19" i="125"/>
  <c r="B24" i="109"/>
  <c r="J35" i="125"/>
  <c r="F24" i="109"/>
  <c r="J43" i="125"/>
  <c r="H24" i="109"/>
  <c r="J28" i="126"/>
  <c r="E25" i="109"/>
  <c r="J27" i="126"/>
  <c r="D25" i="109"/>
  <c r="J44" i="126"/>
  <c r="I25" i="109"/>
  <c r="J19" i="127"/>
  <c r="B26" i="109"/>
  <c r="J36" i="127"/>
  <c r="G26" i="109"/>
  <c r="J35" i="127"/>
  <c r="F26" i="109"/>
  <c r="J43" i="127"/>
  <c r="H26" i="109"/>
  <c r="J28" i="128"/>
  <c r="E27" i="109"/>
  <c r="J27" i="128"/>
  <c r="D27" i="109"/>
  <c r="J44" i="128"/>
  <c r="I27" i="109"/>
  <c r="J19" i="129"/>
  <c r="B28" i="109"/>
  <c r="J35" i="129"/>
  <c r="F28" i="109"/>
  <c r="J43" i="129"/>
  <c r="H28" i="109"/>
  <c r="J28" i="130"/>
  <c r="E29" i="109"/>
  <c r="J27" i="130"/>
  <c r="D29" i="109"/>
  <c r="J19" i="131"/>
  <c r="B30" i="109"/>
  <c r="J36" i="131"/>
  <c r="J35" i="131"/>
  <c r="F30" i="109"/>
  <c r="J43" i="131"/>
  <c r="H30" i="109"/>
  <c r="J28" i="132"/>
  <c r="E31" i="109"/>
  <c r="J27" i="132"/>
  <c r="D31" i="109"/>
  <c r="J44" i="132"/>
  <c r="J19" i="133"/>
  <c r="B32" i="109"/>
  <c r="J36" i="133"/>
  <c r="G32" i="109"/>
  <c r="J35" i="133"/>
  <c r="F32" i="109"/>
  <c r="J43" i="133"/>
  <c r="H32" i="109"/>
  <c r="J28" i="134"/>
  <c r="E33" i="109"/>
  <c r="J27" i="134"/>
  <c r="D33" i="109"/>
  <c r="J44" i="134"/>
  <c r="I33" i="109"/>
  <c r="J19" i="135"/>
  <c r="B34" i="109"/>
  <c r="J36" i="135"/>
  <c r="J35" i="135"/>
  <c r="F34" i="109"/>
  <c r="J43" i="135"/>
  <c r="H34" i="109"/>
  <c r="J28" i="136"/>
  <c r="E35" i="109"/>
  <c r="J27" i="136"/>
  <c r="D35" i="109"/>
  <c r="J44" i="136"/>
  <c r="I35" i="109"/>
  <c r="J19" i="137"/>
  <c r="B36" i="109"/>
  <c r="J36" i="137"/>
  <c r="G36" i="109"/>
  <c r="J35" i="137"/>
  <c r="F36" i="109"/>
  <c r="J43" i="137"/>
  <c r="H36" i="109"/>
  <c r="J28" i="138"/>
  <c r="E37" i="109"/>
  <c r="J27" i="138"/>
  <c r="D37" i="109"/>
  <c r="J44" i="138"/>
  <c r="I37" i="109"/>
  <c r="J19" i="139"/>
  <c r="B38" i="109"/>
  <c r="J36" i="139"/>
  <c r="G38" i="109"/>
  <c r="J35" i="139"/>
  <c r="F38" i="109"/>
  <c r="J43" i="139"/>
  <c r="H38" i="109"/>
  <c r="J19" i="110"/>
  <c r="B9" i="109"/>
  <c r="J36" i="110"/>
  <c r="G9" i="109"/>
  <c r="J35" i="110"/>
  <c r="F9" i="109"/>
  <c r="J43" i="110"/>
  <c r="H9" i="109"/>
  <c r="J28" i="111"/>
  <c r="E10" i="109"/>
  <c r="J27" i="111"/>
  <c r="D10" i="109"/>
  <c r="J44" i="111"/>
  <c r="I10" i="109"/>
  <c r="J19" i="112"/>
  <c r="B11" i="109"/>
  <c r="J36" i="112"/>
  <c r="G11" i="109"/>
  <c r="J35" i="112"/>
  <c r="F11" i="109"/>
  <c r="J43" i="112"/>
  <c r="H11" i="109"/>
  <c r="J28" i="113"/>
  <c r="E12" i="109"/>
  <c r="J27" i="113"/>
  <c r="D12" i="109"/>
  <c r="J19" i="114"/>
  <c r="B13" i="109"/>
  <c r="J36" i="114"/>
  <c r="G13" i="109"/>
  <c r="J35" i="114"/>
  <c r="F13" i="109"/>
  <c r="J43" i="114"/>
  <c r="H13" i="109"/>
  <c r="J28" i="115"/>
  <c r="E14" i="109"/>
  <c r="J27" i="115"/>
  <c r="D14" i="109"/>
  <c r="J44" i="115"/>
  <c r="I14" i="109"/>
  <c r="J19" i="116"/>
  <c r="B15" i="109"/>
  <c r="J36" i="116"/>
  <c r="G15" i="109"/>
  <c r="J35" i="116"/>
  <c r="F15" i="109"/>
  <c r="J43" i="116"/>
  <c r="H15" i="109"/>
  <c r="J28" i="117"/>
  <c r="E16" i="109"/>
  <c r="J27" i="117"/>
  <c r="D16" i="109"/>
  <c r="J44" i="117"/>
  <c r="I16" i="109"/>
  <c r="J19" i="118"/>
  <c r="B17" i="109"/>
  <c r="J35" i="118"/>
  <c r="F17" i="109"/>
  <c r="J43" i="118"/>
  <c r="H17" i="109"/>
  <c r="J28" i="119"/>
  <c r="E18" i="109"/>
  <c r="J27" i="119"/>
  <c r="D18" i="109"/>
  <c r="J44" i="119"/>
  <c r="I18" i="109"/>
  <c r="J19" i="120"/>
  <c r="B19" i="109"/>
  <c r="J36" i="120"/>
  <c r="G19" i="109"/>
  <c r="J35" i="120"/>
  <c r="F19" i="109"/>
  <c r="J43" i="120"/>
  <c r="H19" i="109"/>
  <c r="J28" i="121"/>
  <c r="E20" i="109"/>
  <c r="J27" i="121"/>
  <c r="D20" i="109"/>
  <c r="J44" i="121"/>
  <c r="J19" i="122"/>
  <c r="B21" i="109"/>
  <c r="J36" i="122"/>
  <c r="G21" i="109"/>
  <c r="J35" i="122"/>
  <c r="F21" i="109"/>
  <c r="J43" i="122"/>
  <c r="H21" i="109"/>
  <c r="J28" i="123"/>
  <c r="E22" i="109"/>
  <c r="J27" i="123"/>
  <c r="D22" i="109"/>
  <c r="J44" i="123"/>
  <c r="I22" i="109"/>
  <c r="X98" i="123"/>
  <c r="J19" i="124"/>
  <c r="B23" i="109"/>
  <c r="J36" i="124"/>
  <c r="G23" i="109"/>
  <c r="J35" i="124"/>
  <c r="F23" i="109"/>
  <c r="J43" i="124"/>
  <c r="H23" i="109"/>
  <c r="J28" i="125"/>
  <c r="E24" i="109"/>
  <c r="J27" i="125"/>
  <c r="D24" i="109"/>
  <c r="J44" i="125"/>
  <c r="I24" i="109"/>
  <c r="J19" i="126"/>
  <c r="B25" i="109"/>
  <c r="J36" i="126"/>
  <c r="G25" i="109"/>
  <c r="J35" i="126"/>
  <c r="F25" i="109"/>
  <c r="J43" i="126"/>
  <c r="H25" i="109"/>
  <c r="J28" i="127"/>
  <c r="E26" i="109"/>
  <c r="J27" i="127"/>
  <c r="D26" i="109"/>
  <c r="J44" i="127"/>
  <c r="I26" i="109"/>
  <c r="J19" i="128"/>
  <c r="B27" i="109"/>
  <c r="J36" i="128"/>
  <c r="G27" i="109"/>
  <c r="J35" i="128"/>
  <c r="F27" i="109"/>
  <c r="J43" i="128"/>
  <c r="H27" i="109"/>
  <c r="J28" i="129"/>
  <c r="E28" i="109"/>
  <c r="J27" i="129"/>
  <c r="D28" i="109"/>
  <c r="J19" i="130"/>
  <c r="B29" i="109"/>
  <c r="J35" i="130"/>
  <c r="F29" i="109"/>
  <c r="J43" i="130"/>
  <c r="H29" i="109"/>
  <c r="S98" i="130"/>
  <c r="J28" i="131"/>
  <c r="E30" i="109"/>
  <c r="J27" i="131"/>
  <c r="D30" i="109"/>
  <c r="J44" i="131"/>
  <c r="J19" i="132"/>
  <c r="B31" i="109"/>
  <c r="J36" i="132"/>
  <c r="G31" i="109"/>
  <c r="J35" i="132"/>
  <c r="F31" i="109"/>
  <c r="J43" i="132"/>
  <c r="H31" i="109"/>
  <c r="J28" i="133"/>
  <c r="E32" i="109"/>
  <c r="J27" i="133"/>
  <c r="D32" i="109"/>
  <c r="J44" i="133"/>
  <c r="I32" i="109"/>
  <c r="J19" i="134"/>
  <c r="B33" i="109"/>
  <c r="J36" i="134"/>
  <c r="J35" i="134"/>
  <c r="F33" i="109"/>
  <c r="J43" i="134"/>
  <c r="H33" i="109"/>
  <c r="J28" i="135"/>
  <c r="E34" i="109"/>
  <c r="J27" i="135"/>
  <c r="D34" i="109"/>
  <c r="J19" i="136"/>
  <c r="B35" i="109"/>
  <c r="J35" i="136"/>
  <c r="F35" i="109"/>
  <c r="J43" i="136"/>
  <c r="H35" i="109"/>
  <c r="J28" i="137"/>
  <c r="E36" i="109"/>
  <c r="J27" i="137"/>
  <c r="D36" i="109"/>
  <c r="J44" i="137"/>
  <c r="I36" i="109"/>
  <c r="J19" i="138"/>
  <c r="B37" i="109"/>
  <c r="J36" i="138"/>
  <c r="G37" i="109"/>
  <c r="J35" i="138"/>
  <c r="F37" i="109"/>
  <c r="J43" i="138"/>
  <c r="H37" i="109"/>
  <c r="J28" i="139"/>
  <c r="E38" i="109"/>
  <c r="J27" i="139"/>
  <c r="D38" i="109"/>
  <c r="J44" i="139"/>
  <c r="I38" i="109"/>
  <c r="J20" i="139"/>
  <c r="AA97" i="139"/>
  <c r="AA96" i="139"/>
  <c r="AA95" i="139"/>
  <c r="AA94" i="139"/>
  <c r="AA93" i="139"/>
  <c r="AA92" i="139"/>
  <c r="AA91" i="139"/>
  <c r="AA90" i="139"/>
  <c r="AA89" i="139"/>
  <c r="AA88" i="139"/>
  <c r="AA87" i="139"/>
  <c r="AA86" i="139"/>
  <c r="AA85" i="139"/>
  <c r="AA84" i="139"/>
  <c r="AA83" i="139"/>
  <c r="AA82" i="139"/>
  <c r="AA81" i="139"/>
  <c r="AA80" i="139"/>
  <c r="AA79" i="139"/>
  <c r="AA78" i="139"/>
  <c r="U74" i="139"/>
  <c r="U73" i="139"/>
  <c r="U72" i="139"/>
  <c r="U71" i="139"/>
  <c r="U70" i="139"/>
  <c r="U68" i="139"/>
  <c r="U67" i="139"/>
  <c r="U66" i="139"/>
  <c r="U65" i="139"/>
  <c r="U64" i="139"/>
  <c r="U62" i="139"/>
  <c r="U61" i="139"/>
  <c r="U60" i="139"/>
  <c r="U59" i="139"/>
  <c r="U58" i="139"/>
  <c r="U57" i="139"/>
  <c r="U56" i="139"/>
  <c r="U55" i="139"/>
  <c r="U54" i="139"/>
  <c r="U53" i="139"/>
  <c r="U52" i="139"/>
  <c r="U51" i="139"/>
  <c r="U50" i="139"/>
  <c r="U49" i="139"/>
  <c r="U48" i="139"/>
  <c r="U47" i="139"/>
  <c r="U46" i="139"/>
  <c r="U45" i="139"/>
  <c r="U44" i="139"/>
  <c r="U43" i="139"/>
  <c r="U41" i="139"/>
  <c r="U40" i="139"/>
  <c r="U39" i="139"/>
  <c r="U38" i="139"/>
  <c r="U37" i="139"/>
  <c r="U36" i="139"/>
  <c r="U35" i="139"/>
  <c r="U34" i="139"/>
  <c r="U33" i="139"/>
  <c r="U32" i="139"/>
  <c r="U31" i="139"/>
  <c r="U30" i="139"/>
  <c r="U29" i="139"/>
  <c r="U28" i="139"/>
  <c r="U27" i="139"/>
  <c r="U26" i="139"/>
  <c r="U25" i="139"/>
  <c r="U24" i="139"/>
  <c r="U23" i="139"/>
  <c r="U22" i="139"/>
  <c r="W74" i="139"/>
  <c r="Z74" i="139" s="1"/>
  <c r="V74" i="139"/>
  <c r="Y74" i="139" s="1"/>
  <c r="W73" i="139"/>
  <c r="Z73" i="139" s="1"/>
  <c r="V73" i="139"/>
  <c r="Y73" i="139" s="1"/>
  <c r="W72" i="139"/>
  <c r="Z72" i="139" s="1"/>
  <c r="V72" i="139"/>
  <c r="Y72" i="139" s="1"/>
  <c r="W71" i="139"/>
  <c r="Z71" i="139" s="1"/>
  <c r="V71" i="139"/>
  <c r="Y71" i="139" s="1"/>
  <c r="W70" i="139"/>
  <c r="V70" i="139"/>
  <c r="W68" i="139"/>
  <c r="Z68" i="139" s="1"/>
  <c r="V68" i="139"/>
  <c r="Y68" i="139" s="1"/>
  <c r="W67" i="139"/>
  <c r="Z67" i="139" s="1"/>
  <c r="V67" i="139"/>
  <c r="Y67" i="139" s="1"/>
  <c r="W66" i="139"/>
  <c r="Z66" i="139" s="1"/>
  <c r="V66" i="139"/>
  <c r="Y66" i="139" s="1"/>
  <c r="W65" i="139"/>
  <c r="Z65" i="139" s="1"/>
  <c r="V65" i="139"/>
  <c r="Y65" i="139" s="1"/>
  <c r="W64" i="139"/>
  <c r="V64" i="139"/>
  <c r="W62" i="139"/>
  <c r="Z62" i="139" s="1"/>
  <c r="V62" i="139"/>
  <c r="Y62" i="139" s="1"/>
  <c r="W61" i="139"/>
  <c r="Z61" i="139" s="1"/>
  <c r="V61" i="139"/>
  <c r="Y61" i="139" s="1"/>
  <c r="W60" i="139"/>
  <c r="Z60" i="139" s="1"/>
  <c r="V60" i="139"/>
  <c r="Y60" i="139" s="1"/>
  <c r="W59" i="139"/>
  <c r="Z59" i="139" s="1"/>
  <c r="V59" i="139"/>
  <c r="Y59" i="139" s="1"/>
  <c r="W58" i="139"/>
  <c r="Z58" i="139" s="1"/>
  <c r="V58" i="139"/>
  <c r="Y58" i="139" s="1"/>
  <c r="W57" i="139"/>
  <c r="Z57" i="139" s="1"/>
  <c r="V57" i="139"/>
  <c r="Y57" i="139" s="1"/>
  <c r="W56" i="139"/>
  <c r="Z56" i="139" s="1"/>
  <c r="V56" i="139"/>
  <c r="Y56" i="139" s="1"/>
  <c r="W55" i="139"/>
  <c r="Z55" i="139" s="1"/>
  <c r="V55" i="139"/>
  <c r="Y55" i="139" s="1"/>
  <c r="W54" i="139"/>
  <c r="Z54" i="139" s="1"/>
  <c r="V54" i="139"/>
  <c r="Y54" i="139" s="1"/>
  <c r="W53" i="139"/>
  <c r="Z53" i="139" s="1"/>
  <c r="V53" i="139"/>
  <c r="Y53" i="139" s="1"/>
  <c r="W52" i="139"/>
  <c r="Z52" i="139" s="1"/>
  <c r="V52" i="139"/>
  <c r="Y52" i="139" s="1"/>
  <c r="W51" i="139"/>
  <c r="Z51" i="139" s="1"/>
  <c r="V51" i="139"/>
  <c r="Y51" i="139" s="1"/>
  <c r="W50" i="139"/>
  <c r="Z50" i="139" s="1"/>
  <c r="V50" i="139"/>
  <c r="Y50" i="139" s="1"/>
  <c r="W49" i="139"/>
  <c r="Z49" i="139" s="1"/>
  <c r="V49" i="139"/>
  <c r="Y49" i="139" s="1"/>
  <c r="W48" i="139"/>
  <c r="Z48" i="139" s="1"/>
  <c r="V48" i="139"/>
  <c r="Y48" i="139" s="1"/>
  <c r="W47" i="139"/>
  <c r="Z47" i="139" s="1"/>
  <c r="V47" i="139"/>
  <c r="Y47" i="139" s="1"/>
  <c r="W46" i="139"/>
  <c r="Z46" i="139" s="1"/>
  <c r="V46" i="139"/>
  <c r="Y46" i="139" s="1"/>
  <c r="W45" i="139"/>
  <c r="Z45" i="139" s="1"/>
  <c r="V45" i="139"/>
  <c r="Y45" i="139" s="1"/>
  <c r="W44" i="139"/>
  <c r="Z44" i="139" s="1"/>
  <c r="V44" i="139"/>
  <c r="Y44" i="139" s="1"/>
  <c r="W43" i="139"/>
  <c r="V43" i="139"/>
  <c r="W41" i="139"/>
  <c r="Z41" i="139" s="1"/>
  <c r="V41" i="139"/>
  <c r="Y41" i="139" s="1"/>
  <c r="W40" i="139"/>
  <c r="Z40" i="139" s="1"/>
  <c r="V40" i="139"/>
  <c r="Y40" i="139" s="1"/>
  <c r="W39" i="139"/>
  <c r="Z39" i="139" s="1"/>
  <c r="V39" i="139"/>
  <c r="Y39" i="139" s="1"/>
  <c r="W38" i="139"/>
  <c r="Z38" i="139" s="1"/>
  <c r="V38" i="139"/>
  <c r="Y38" i="139" s="1"/>
  <c r="W37" i="139"/>
  <c r="Z37" i="139" s="1"/>
  <c r="V37" i="139"/>
  <c r="Y37" i="139" s="1"/>
  <c r="W36" i="139"/>
  <c r="Z36" i="139" s="1"/>
  <c r="V36" i="139"/>
  <c r="Y36" i="139" s="1"/>
  <c r="W35" i="139"/>
  <c r="Z35" i="139" s="1"/>
  <c r="V35" i="139"/>
  <c r="Y35" i="139" s="1"/>
  <c r="W34" i="139"/>
  <c r="Z34" i="139" s="1"/>
  <c r="V34" i="139"/>
  <c r="Y34" i="139" s="1"/>
  <c r="W33" i="139"/>
  <c r="Z33" i="139" s="1"/>
  <c r="V33" i="139"/>
  <c r="Y33" i="139" s="1"/>
  <c r="W32" i="139"/>
  <c r="Z32" i="139" s="1"/>
  <c r="V32" i="139"/>
  <c r="Y32" i="139" s="1"/>
  <c r="W31" i="139"/>
  <c r="Z31" i="139" s="1"/>
  <c r="V31" i="139"/>
  <c r="Y31" i="139" s="1"/>
  <c r="W30" i="139"/>
  <c r="Z30" i="139" s="1"/>
  <c r="V30" i="139"/>
  <c r="Y30" i="139" s="1"/>
  <c r="W29" i="139"/>
  <c r="Z29" i="139" s="1"/>
  <c r="V29" i="139"/>
  <c r="Y29" i="139" s="1"/>
  <c r="W28" i="139"/>
  <c r="Z28" i="139" s="1"/>
  <c r="V28" i="139"/>
  <c r="Y28" i="139" s="1"/>
  <c r="W27" i="139"/>
  <c r="Z27" i="139" s="1"/>
  <c r="V27" i="139"/>
  <c r="Y27" i="139" s="1"/>
  <c r="W26" i="139"/>
  <c r="Z26" i="139" s="1"/>
  <c r="V26" i="139"/>
  <c r="Y26" i="139" s="1"/>
  <c r="W25" i="139"/>
  <c r="Z25" i="139" s="1"/>
  <c r="V25" i="139"/>
  <c r="Y25" i="139" s="1"/>
  <c r="W24" i="139"/>
  <c r="Z24" i="139" s="1"/>
  <c r="V24" i="139"/>
  <c r="Y24" i="139" s="1"/>
  <c r="W23" i="139"/>
  <c r="Z23" i="139" s="1"/>
  <c r="V23" i="139"/>
  <c r="Y23" i="139" s="1"/>
  <c r="W22" i="139"/>
  <c r="Z22" i="139" s="1"/>
  <c r="V22" i="139"/>
  <c r="Y22" i="139" s="1"/>
  <c r="AB97" i="139"/>
  <c r="AB96" i="139"/>
  <c r="AB95" i="139"/>
  <c r="AB94" i="139"/>
  <c r="AB93" i="139"/>
  <c r="AB92" i="139"/>
  <c r="AB91" i="139"/>
  <c r="AB90" i="139"/>
  <c r="AB89" i="139"/>
  <c r="AB88" i="139"/>
  <c r="AB87" i="139"/>
  <c r="AB86" i="139"/>
  <c r="AB85" i="139"/>
  <c r="AB84" i="139"/>
  <c r="AB83" i="139"/>
  <c r="AB82" i="139"/>
  <c r="AB81" i="139"/>
  <c r="AB80" i="139"/>
  <c r="AB79" i="139"/>
  <c r="AB78" i="139"/>
  <c r="X74" i="139"/>
  <c r="X73" i="139"/>
  <c r="X72" i="139"/>
  <c r="X71" i="139"/>
  <c r="X70" i="139"/>
  <c r="X68" i="139"/>
  <c r="X67" i="139"/>
  <c r="X66" i="139"/>
  <c r="X65" i="139"/>
  <c r="X64" i="139"/>
  <c r="X62" i="139"/>
  <c r="X61" i="139"/>
  <c r="X60" i="139"/>
  <c r="X59" i="139"/>
  <c r="X58" i="139"/>
  <c r="X57" i="139"/>
  <c r="X56" i="139"/>
  <c r="X55" i="139"/>
  <c r="X54" i="139"/>
  <c r="X53" i="139"/>
  <c r="X52" i="139"/>
  <c r="X51" i="139"/>
  <c r="X50" i="139"/>
  <c r="X49" i="139"/>
  <c r="X48" i="139"/>
  <c r="X47" i="139"/>
  <c r="X46" i="139"/>
  <c r="X45" i="139"/>
  <c r="X44" i="139"/>
  <c r="X43" i="139"/>
  <c r="X41" i="139"/>
  <c r="X40" i="139"/>
  <c r="X39" i="139"/>
  <c r="X38" i="139"/>
  <c r="X37" i="139"/>
  <c r="X36" i="139"/>
  <c r="X35" i="139"/>
  <c r="X34" i="139"/>
  <c r="X33" i="139"/>
  <c r="X32" i="139"/>
  <c r="X31" i="139"/>
  <c r="X30" i="139"/>
  <c r="X29" i="139"/>
  <c r="X28" i="139"/>
  <c r="X27" i="139"/>
  <c r="X26" i="139"/>
  <c r="X25" i="139"/>
  <c r="X24" i="139"/>
  <c r="X23" i="139"/>
  <c r="X22" i="139"/>
  <c r="U12" i="139"/>
  <c r="V12" i="139"/>
  <c r="W12" i="139"/>
  <c r="X12" i="139"/>
  <c r="U13" i="139"/>
  <c r="V13" i="139"/>
  <c r="Y13" i="139" s="1"/>
  <c r="W13" i="139"/>
  <c r="Z13" i="139" s="1"/>
  <c r="X13" i="139"/>
  <c r="J14" i="139"/>
  <c r="U14" i="139"/>
  <c r="V14" i="139"/>
  <c r="Y14" i="139" s="1"/>
  <c r="W14" i="139"/>
  <c r="Z14" i="139" s="1"/>
  <c r="X14" i="139"/>
  <c r="U15" i="139"/>
  <c r="V15" i="139"/>
  <c r="Y15" i="139" s="1"/>
  <c r="W15" i="139"/>
  <c r="Z15" i="139" s="1"/>
  <c r="X15" i="139"/>
  <c r="U16" i="139"/>
  <c r="V16" i="139"/>
  <c r="Y16" i="139" s="1"/>
  <c r="W16" i="139"/>
  <c r="Z16" i="139" s="1"/>
  <c r="X16" i="139"/>
  <c r="U17" i="139"/>
  <c r="V17" i="139"/>
  <c r="Y17" i="139" s="1"/>
  <c r="W17" i="139"/>
  <c r="Z17" i="139" s="1"/>
  <c r="X17" i="139"/>
  <c r="U18" i="139"/>
  <c r="V18" i="139"/>
  <c r="Y18" i="139" s="1"/>
  <c r="W18" i="139"/>
  <c r="Z18" i="139" s="1"/>
  <c r="X18" i="139"/>
  <c r="U19" i="139"/>
  <c r="V19" i="139"/>
  <c r="Y19" i="139" s="1"/>
  <c r="W19" i="139"/>
  <c r="Z19" i="139" s="1"/>
  <c r="X19" i="139"/>
  <c r="U20" i="139"/>
  <c r="V20" i="139"/>
  <c r="Y20" i="139" s="1"/>
  <c r="W20" i="139"/>
  <c r="Z20" i="139" s="1"/>
  <c r="X20" i="139"/>
  <c r="U21" i="139"/>
  <c r="V21" i="139"/>
  <c r="Y21" i="139" s="1"/>
  <c r="W21" i="139"/>
  <c r="Z21" i="139" s="1"/>
  <c r="X21" i="139"/>
  <c r="J46" i="139"/>
  <c r="D46" i="139"/>
  <c r="J57" i="139"/>
  <c r="D57" i="139"/>
  <c r="F57" i="139" s="1"/>
  <c r="J52" i="139"/>
  <c r="F52" i="139"/>
  <c r="D52" i="139"/>
  <c r="J22" i="139"/>
  <c r="J30" i="139"/>
  <c r="J38" i="139"/>
  <c r="D47" i="139"/>
  <c r="F47" i="139" s="1"/>
  <c r="D48" i="139"/>
  <c r="F48" i="139" s="1"/>
  <c r="D49" i="139"/>
  <c r="F49" i="139" s="1"/>
  <c r="D53" i="139"/>
  <c r="F53" i="139"/>
  <c r="D54" i="139"/>
  <c r="F54" i="139"/>
  <c r="D55" i="139"/>
  <c r="F55" i="139"/>
  <c r="D56" i="139"/>
  <c r="F56" i="139"/>
  <c r="D58" i="139"/>
  <c r="F58" i="139" s="1"/>
  <c r="F60" i="139"/>
  <c r="G60" i="139" s="1"/>
  <c r="L60" i="139" s="1"/>
  <c r="T78" i="139"/>
  <c r="T98" i="139" s="1"/>
  <c r="G79" i="139" s="1"/>
  <c r="G86" i="139" s="1"/>
  <c r="H81" i="139" s="1"/>
  <c r="Y78" i="139"/>
  <c r="Y98" i="139" s="1"/>
  <c r="J20" i="138"/>
  <c r="AA97" i="138"/>
  <c r="AA96" i="138"/>
  <c r="AA95" i="138"/>
  <c r="AA94" i="138"/>
  <c r="AA93" i="138"/>
  <c r="AA92" i="138"/>
  <c r="AA91" i="138"/>
  <c r="AA90" i="138"/>
  <c r="AA89" i="138"/>
  <c r="AA88" i="138"/>
  <c r="AA87" i="138"/>
  <c r="AA86" i="138"/>
  <c r="AA85" i="138"/>
  <c r="AA84" i="138"/>
  <c r="AA83" i="138"/>
  <c r="AA82" i="138"/>
  <c r="AA81" i="138"/>
  <c r="AA80" i="138"/>
  <c r="AA79" i="138"/>
  <c r="AA78" i="138"/>
  <c r="U74" i="138"/>
  <c r="U73" i="138"/>
  <c r="U72" i="138"/>
  <c r="U71" i="138"/>
  <c r="U70" i="138"/>
  <c r="U68" i="138"/>
  <c r="U67" i="138"/>
  <c r="U66" i="138"/>
  <c r="U65" i="138"/>
  <c r="U64" i="138"/>
  <c r="U62" i="138"/>
  <c r="U61" i="138"/>
  <c r="U60" i="138"/>
  <c r="U59" i="138"/>
  <c r="U58" i="138"/>
  <c r="U57" i="138"/>
  <c r="U56" i="138"/>
  <c r="U55" i="138"/>
  <c r="U54" i="138"/>
  <c r="U53" i="138"/>
  <c r="U52" i="138"/>
  <c r="U51" i="138"/>
  <c r="U50" i="138"/>
  <c r="U49" i="138"/>
  <c r="U48" i="138"/>
  <c r="U47" i="138"/>
  <c r="U46" i="138"/>
  <c r="U45" i="138"/>
  <c r="U44" i="138"/>
  <c r="U43" i="138"/>
  <c r="U41" i="138"/>
  <c r="U40" i="138"/>
  <c r="U39" i="138"/>
  <c r="U38" i="138"/>
  <c r="U37" i="138"/>
  <c r="U36" i="138"/>
  <c r="U35" i="138"/>
  <c r="U34" i="138"/>
  <c r="U33" i="138"/>
  <c r="U32" i="138"/>
  <c r="U31" i="138"/>
  <c r="U30" i="138"/>
  <c r="U29" i="138"/>
  <c r="U28" i="138"/>
  <c r="U27" i="138"/>
  <c r="U26" i="138"/>
  <c r="U25" i="138"/>
  <c r="U24" i="138"/>
  <c r="U23" i="138"/>
  <c r="U22" i="138"/>
  <c r="W74" i="138"/>
  <c r="Z74" i="138" s="1"/>
  <c r="V74" i="138"/>
  <c r="Y74" i="138" s="1"/>
  <c r="W73" i="138"/>
  <c r="Z73" i="138" s="1"/>
  <c r="V73" i="138"/>
  <c r="Y73" i="138" s="1"/>
  <c r="W72" i="138"/>
  <c r="Z72" i="138" s="1"/>
  <c r="V72" i="138"/>
  <c r="Y72" i="138" s="1"/>
  <c r="W71" i="138"/>
  <c r="Z71" i="138" s="1"/>
  <c r="V71" i="138"/>
  <c r="Y71" i="138" s="1"/>
  <c r="W70" i="138"/>
  <c r="V70" i="138"/>
  <c r="W68" i="138"/>
  <c r="Z68" i="138" s="1"/>
  <c r="V68" i="138"/>
  <c r="Y68" i="138" s="1"/>
  <c r="W67" i="138"/>
  <c r="Z67" i="138" s="1"/>
  <c r="V67" i="138"/>
  <c r="Y67" i="138" s="1"/>
  <c r="W66" i="138"/>
  <c r="Z66" i="138" s="1"/>
  <c r="V66" i="138"/>
  <c r="Y66" i="138" s="1"/>
  <c r="W65" i="138"/>
  <c r="Z65" i="138" s="1"/>
  <c r="V65" i="138"/>
  <c r="Y65" i="138" s="1"/>
  <c r="W64" i="138"/>
  <c r="V64" i="138"/>
  <c r="W62" i="138"/>
  <c r="Z62" i="138" s="1"/>
  <c r="V62" i="138"/>
  <c r="Y62" i="138" s="1"/>
  <c r="W61" i="138"/>
  <c r="Z61" i="138" s="1"/>
  <c r="V61" i="138"/>
  <c r="Y61" i="138" s="1"/>
  <c r="W60" i="138"/>
  <c r="Z60" i="138" s="1"/>
  <c r="V60" i="138"/>
  <c r="Y60" i="138" s="1"/>
  <c r="W59" i="138"/>
  <c r="Z59" i="138" s="1"/>
  <c r="V59" i="138"/>
  <c r="Y59" i="138" s="1"/>
  <c r="W58" i="138"/>
  <c r="Z58" i="138" s="1"/>
  <c r="V58" i="138"/>
  <c r="Y58" i="138" s="1"/>
  <c r="W57" i="138"/>
  <c r="Z57" i="138" s="1"/>
  <c r="V57" i="138"/>
  <c r="Y57" i="138" s="1"/>
  <c r="W56" i="138"/>
  <c r="Z56" i="138" s="1"/>
  <c r="V56" i="138"/>
  <c r="Y56" i="138" s="1"/>
  <c r="W55" i="138"/>
  <c r="Z55" i="138" s="1"/>
  <c r="V55" i="138"/>
  <c r="Y55" i="138" s="1"/>
  <c r="W54" i="138"/>
  <c r="Z54" i="138" s="1"/>
  <c r="V54" i="138"/>
  <c r="Y54" i="138" s="1"/>
  <c r="W53" i="138"/>
  <c r="Z53" i="138" s="1"/>
  <c r="V53" i="138"/>
  <c r="Y53" i="138" s="1"/>
  <c r="W52" i="138"/>
  <c r="Z52" i="138" s="1"/>
  <c r="V52" i="138"/>
  <c r="Y52" i="138" s="1"/>
  <c r="W51" i="138"/>
  <c r="Z51" i="138" s="1"/>
  <c r="V51" i="138"/>
  <c r="Y51" i="138" s="1"/>
  <c r="W50" i="138"/>
  <c r="Z50" i="138" s="1"/>
  <c r="V50" i="138"/>
  <c r="Y50" i="138" s="1"/>
  <c r="W49" i="138"/>
  <c r="Z49" i="138" s="1"/>
  <c r="V49" i="138"/>
  <c r="Y49" i="138" s="1"/>
  <c r="W48" i="138"/>
  <c r="Z48" i="138" s="1"/>
  <c r="V48" i="138"/>
  <c r="Y48" i="138" s="1"/>
  <c r="W47" i="138"/>
  <c r="Z47" i="138" s="1"/>
  <c r="V47" i="138"/>
  <c r="Y47" i="138" s="1"/>
  <c r="W46" i="138"/>
  <c r="Z46" i="138" s="1"/>
  <c r="V46" i="138"/>
  <c r="Y46" i="138" s="1"/>
  <c r="W45" i="138"/>
  <c r="Z45" i="138" s="1"/>
  <c r="V45" i="138"/>
  <c r="Y45" i="138" s="1"/>
  <c r="W44" i="138"/>
  <c r="Z44" i="138" s="1"/>
  <c r="V44" i="138"/>
  <c r="Y44" i="138" s="1"/>
  <c r="W43" i="138"/>
  <c r="V43" i="138"/>
  <c r="W41" i="138"/>
  <c r="Z41" i="138" s="1"/>
  <c r="V41" i="138"/>
  <c r="Y41" i="138" s="1"/>
  <c r="W40" i="138"/>
  <c r="Z40" i="138" s="1"/>
  <c r="V40" i="138"/>
  <c r="Y40" i="138" s="1"/>
  <c r="W39" i="138"/>
  <c r="Z39" i="138" s="1"/>
  <c r="V39" i="138"/>
  <c r="Y39" i="138" s="1"/>
  <c r="W38" i="138"/>
  <c r="Z38" i="138" s="1"/>
  <c r="V38" i="138"/>
  <c r="Y38" i="138" s="1"/>
  <c r="W37" i="138"/>
  <c r="Z37" i="138" s="1"/>
  <c r="V37" i="138"/>
  <c r="Y37" i="138" s="1"/>
  <c r="W36" i="138"/>
  <c r="Z36" i="138" s="1"/>
  <c r="V36" i="138"/>
  <c r="Y36" i="138" s="1"/>
  <c r="W35" i="138"/>
  <c r="Z35" i="138" s="1"/>
  <c r="V35" i="138"/>
  <c r="Y35" i="138" s="1"/>
  <c r="W34" i="138"/>
  <c r="Z34" i="138" s="1"/>
  <c r="V34" i="138"/>
  <c r="Y34" i="138" s="1"/>
  <c r="W33" i="138"/>
  <c r="Z33" i="138" s="1"/>
  <c r="V33" i="138"/>
  <c r="Y33" i="138" s="1"/>
  <c r="W32" i="138"/>
  <c r="Z32" i="138" s="1"/>
  <c r="V32" i="138"/>
  <c r="Y32" i="138" s="1"/>
  <c r="W31" i="138"/>
  <c r="Z31" i="138" s="1"/>
  <c r="V31" i="138"/>
  <c r="Y31" i="138" s="1"/>
  <c r="W30" i="138"/>
  <c r="Z30" i="138" s="1"/>
  <c r="V30" i="138"/>
  <c r="Y30" i="138" s="1"/>
  <c r="W29" i="138"/>
  <c r="Z29" i="138" s="1"/>
  <c r="V29" i="138"/>
  <c r="Y29" i="138" s="1"/>
  <c r="W28" i="138"/>
  <c r="Z28" i="138" s="1"/>
  <c r="V28" i="138"/>
  <c r="Y28" i="138" s="1"/>
  <c r="W27" i="138"/>
  <c r="Z27" i="138" s="1"/>
  <c r="V27" i="138"/>
  <c r="Y27" i="138" s="1"/>
  <c r="W26" i="138"/>
  <c r="Z26" i="138" s="1"/>
  <c r="V26" i="138"/>
  <c r="Y26" i="138" s="1"/>
  <c r="W25" i="138"/>
  <c r="Z25" i="138" s="1"/>
  <c r="V25" i="138"/>
  <c r="Y25" i="138" s="1"/>
  <c r="W24" i="138"/>
  <c r="Z24" i="138" s="1"/>
  <c r="V24" i="138"/>
  <c r="Y24" i="138" s="1"/>
  <c r="W23" i="138"/>
  <c r="Z23" i="138" s="1"/>
  <c r="V23" i="138"/>
  <c r="Y23" i="138" s="1"/>
  <c r="W22" i="138"/>
  <c r="Z22" i="138" s="1"/>
  <c r="V22" i="138"/>
  <c r="Y22" i="138" s="1"/>
  <c r="AB97" i="138"/>
  <c r="AB96" i="138"/>
  <c r="AB95" i="138"/>
  <c r="AB94" i="138"/>
  <c r="AB93" i="138"/>
  <c r="AB92" i="138"/>
  <c r="AB91" i="138"/>
  <c r="AB90" i="138"/>
  <c r="AB89" i="138"/>
  <c r="AB88" i="138"/>
  <c r="AB87" i="138"/>
  <c r="AB86" i="138"/>
  <c r="AB85" i="138"/>
  <c r="AB84" i="138"/>
  <c r="AB83" i="138"/>
  <c r="AB82" i="138"/>
  <c r="AB81" i="138"/>
  <c r="AB80" i="138"/>
  <c r="AB79" i="138"/>
  <c r="AB78" i="138"/>
  <c r="X74" i="138"/>
  <c r="X73" i="138"/>
  <c r="X72" i="138"/>
  <c r="X71" i="138"/>
  <c r="X70" i="138"/>
  <c r="X68" i="138"/>
  <c r="X67" i="138"/>
  <c r="X66" i="138"/>
  <c r="X65" i="138"/>
  <c r="X64" i="138"/>
  <c r="X62" i="138"/>
  <c r="X61" i="138"/>
  <c r="X60" i="138"/>
  <c r="X59" i="138"/>
  <c r="X58" i="138"/>
  <c r="X57" i="138"/>
  <c r="X56" i="138"/>
  <c r="X55" i="138"/>
  <c r="X54" i="138"/>
  <c r="X53" i="138"/>
  <c r="X52" i="138"/>
  <c r="X51" i="138"/>
  <c r="X50" i="138"/>
  <c r="X49" i="138"/>
  <c r="X48" i="138"/>
  <c r="X47" i="138"/>
  <c r="X46" i="138"/>
  <c r="X45" i="138"/>
  <c r="X44" i="138"/>
  <c r="X43" i="138"/>
  <c r="X41" i="138"/>
  <c r="X40" i="138"/>
  <c r="X39" i="138"/>
  <c r="X38" i="138"/>
  <c r="X37" i="138"/>
  <c r="X36" i="138"/>
  <c r="X35" i="138"/>
  <c r="X34" i="138"/>
  <c r="X33" i="138"/>
  <c r="X32" i="138"/>
  <c r="X31" i="138"/>
  <c r="X30" i="138"/>
  <c r="X29" i="138"/>
  <c r="X28" i="138"/>
  <c r="X27" i="138"/>
  <c r="X26" i="138"/>
  <c r="X25" i="138"/>
  <c r="X24" i="138"/>
  <c r="X23" i="138"/>
  <c r="X22" i="138"/>
  <c r="U12" i="138"/>
  <c r="V12" i="138"/>
  <c r="W12" i="138"/>
  <c r="X12" i="138"/>
  <c r="U13" i="138"/>
  <c r="V13" i="138"/>
  <c r="Y13" i="138" s="1"/>
  <c r="W13" i="138"/>
  <c r="Z13" i="138" s="1"/>
  <c r="X13" i="138"/>
  <c r="J14" i="138"/>
  <c r="U14" i="138"/>
  <c r="V14" i="138"/>
  <c r="Y14" i="138" s="1"/>
  <c r="W14" i="138"/>
  <c r="Z14" i="138" s="1"/>
  <c r="X14" i="138"/>
  <c r="U15" i="138"/>
  <c r="V15" i="138"/>
  <c r="Y15" i="138" s="1"/>
  <c r="W15" i="138"/>
  <c r="Z15" i="138" s="1"/>
  <c r="X15" i="138"/>
  <c r="U16" i="138"/>
  <c r="V16" i="138"/>
  <c r="Y16" i="138" s="1"/>
  <c r="W16" i="138"/>
  <c r="Z16" i="138" s="1"/>
  <c r="X16" i="138"/>
  <c r="U17" i="138"/>
  <c r="V17" i="138"/>
  <c r="Y17" i="138" s="1"/>
  <c r="W17" i="138"/>
  <c r="Z17" i="138" s="1"/>
  <c r="X17" i="138"/>
  <c r="U18" i="138"/>
  <c r="V18" i="138"/>
  <c r="Y18" i="138" s="1"/>
  <c r="W18" i="138"/>
  <c r="Z18" i="138" s="1"/>
  <c r="X18" i="138"/>
  <c r="U19" i="138"/>
  <c r="V19" i="138"/>
  <c r="Y19" i="138" s="1"/>
  <c r="W19" i="138"/>
  <c r="Z19" i="138" s="1"/>
  <c r="X19" i="138"/>
  <c r="U20" i="138"/>
  <c r="V20" i="138"/>
  <c r="Y20" i="138" s="1"/>
  <c r="W20" i="138"/>
  <c r="Z20" i="138" s="1"/>
  <c r="X20" i="138"/>
  <c r="U21" i="138"/>
  <c r="V21" i="138"/>
  <c r="Y21" i="138" s="1"/>
  <c r="W21" i="138"/>
  <c r="Z21" i="138" s="1"/>
  <c r="X21" i="138"/>
  <c r="J46" i="138"/>
  <c r="D46" i="138"/>
  <c r="J57" i="138"/>
  <c r="D57" i="138"/>
  <c r="F57" i="138" s="1"/>
  <c r="J52" i="138"/>
  <c r="F52" i="138"/>
  <c r="D52" i="138"/>
  <c r="J22" i="138"/>
  <c r="J30" i="138"/>
  <c r="J38" i="138"/>
  <c r="D47" i="138"/>
  <c r="F47" i="138" s="1"/>
  <c r="D48" i="138"/>
  <c r="F48" i="138" s="1"/>
  <c r="D49" i="138"/>
  <c r="F49" i="138" s="1"/>
  <c r="D53" i="138"/>
  <c r="F53" i="138"/>
  <c r="D54" i="138"/>
  <c r="F54" i="138"/>
  <c r="D55" i="138"/>
  <c r="F55" i="138"/>
  <c r="D56" i="138"/>
  <c r="F56" i="138"/>
  <c r="D58" i="138"/>
  <c r="F58" i="138" s="1"/>
  <c r="F60" i="138"/>
  <c r="G60" i="138" s="1"/>
  <c r="L60" i="138" s="1"/>
  <c r="T78" i="138"/>
  <c r="T98" i="138" s="1"/>
  <c r="G86" i="138" s="1"/>
  <c r="H81" i="138" s="1"/>
  <c r="Y78" i="138"/>
  <c r="Y98" i="138" s="1"/>
  <c r="J20" i="137"/>
  <c r="AA97" i="137"/>
  <c r="AA96" i="137"/>
  <c r="AA95" i="137"/>
  <c r="AA94" i="137"/>
  <c r="AA93" i="137"/>
  <c r="AA92" i="137"/>
  <c r="AA91" i="137"/>
  <c r="AA90" i="137"/>
  <c r="AA89" i="137"/>
  <c r="AA88" i="137"/>
  <c r="AA87" i="137"/>
  <c r="AA86" i="137"/>
  <c r="AA85" i="137"/>
  <c r="AA84" i="137"/>
  <c r="AA83" i="137"/>
  <c r="AA82" i="137"/>
  <c r="AA81" i="137"/>
  <c r="AA80" i="137"/>
  <c r="AA79" i="137"/>
  <c r="AA78" i="137"/>
  <c r="U74" i="137"/>
  <c r="U73" i="137"/>
  <c r="U72" i="137"/>
  <c r="U71" i="137"/>
  <c r="U70" i="137"/>
  <c r="U68" i="137"/>
  <c r="U67" i="137"/>
  <c r="U66" i="137"/>
  <c r="U65" i="137"/>
  <c r="U64" i="137"/>
  <c r="U62" i="137"/>
  <c r="U61" i="137"/>
  <c r="U60" i="137"/>
  <c r="U59" i="137"/>
  <c r="U58" i="137"/>
  <c r="U57" i="137"/>
  <c r="U56" i="137"/>
  <c r="U55" i="137"/>
  <c r="U54" i="137"/>
  <c r="U53" i="137"/>
  <c r="U52" i="137"/>
  <c r="U51" i="137"/>
  <c r="U50" i="137"/>
  <c r="U49" i="137"/>
  <c r="U48" i="137"/>
  <c r="U47" i="137"/>
  <c r="U46" i="137"/>
  <c r="U45" i="137"/>
  <c r="U44" i="137"/>
  <c r="U43" i="137"/>
  <c r="U41" i="137"/>
  <c r="U40" i="137"/>
  <c r="U39" i="137"/>
  <c r="U38" i="137"/>
  <c r="U37" i="137"/>
  <c r="U36" i="137"/>
  <c r="U35" i="137"/>
  <c r="U34" i="137"/>
  <c r="U33" i="137"/>
  <c r="U32" i="137"/>
  <c r="U31" i="137"/>
  <c r="U30" i="137"/>
  <c r="U29" i="137"/>
  <c r="U28" i="137"/>
  <c r="U27" i="137"/>
  <c r="U26" i="137"/>
  <c r="U25" i="137"/>
  <c r="U24" i="137"/>
  <c r="U23" i="137"/>
  <c r="U22" i="137"/>
  <c r="W74" i="137"/>
  <c r="Z74" i="137" s="1"/>
  <c r="V74" i="137"/>
  <c r="Y74" i="137" s="1"/>
  <c r="W73" i="137"/>
  <c r="Z73" i="137" s="1"/>
  <c r="V73" i="137"/>
  <c r="Y73" i="137" s="1"/>
  <c r="W72" i="137"/>
  <c r="Z72" i="137" s="1"/>
  <c r="V72" i="137"/>
  <c r="Y72" i="137" s="1"/>
  <c r="W71" i="137"/>
  <c r="Z71" i="137" s="1"/>
  <c r="V71" i="137"/>
  <c r="Y71" i="137" s="1"/>
  <c r="W70" i="137"/>
  <c r="V70" i="137"/>
  <c r="W68" i="137"/>
  <c r="Z68" i="137" s="1"/>
  <c r="V68" i="137"/>
  <c r="Y68" i="137" s="1"/>
  <c r="W67" i="137"/>
  <c r="Z67" i="137" s="1"/>
  <c r="V67" i="137"/>
  <c r="Y67" i="137" s="1"/>
  <c r="W66" i="137"/>
  <c r="Z66" i="137" s="1"/>
  <c r="V66" i="137"/>
  <c r="Y66" i="137" s="1"/>
  <c r="W65" i="137"/>
  <c r="Z65" i="137" s="1"/>
  <c r="V65" i="137"/>
  <c r="Y65" i="137" s="1"/>
  <c r="W64" i="137"/>
  <c r="V64" i="137"/>
  <c r="W62" i="137"/>
  <c r="Z62" i="137" s="1"/>
  <c r="V62" i="137"/>
  <c r="Y62" i="137" s="1"/>
  <c r="W61" i="137"/>
  <c r="Z61" i="137" s="1"/>
  <c r="V61" i="137"/>
  <c r="Y61" i="137" s="1"/>
  <c r="W60" i="137"/>
  <c r="Z60" i="137" s="1"/>
  <c r="V60" i="137"/>
  <c r="Y60" i="137" s="1"/>
  <c r="W59" i="137"/>
  <c r="Z59" i="137" s="1"/>
  <c r="V59" i="137"/>
  <c r="Y59" i="137" s="1"/>
  <c r="W58" i="137"/>
  <c r="Z58" i="137" s="1"/>
  <c r="V58" i="137"/>
  <c r="Y58" i="137" s="1"/>
  <c r="W57" i="137"/>
  <c r="Z57" i="137" s="1"/>
  <c r="V57" i="137"/>
  <c r="Y57" i="137" s="1"/>
  <c r="W56" i="137"/>
  <c r="Z56" i="137" s="1"/>
  <c r="V56" i="137"/>
  <c r="Y56" i="137" s="1"/>
  <c r="W55" i="137"/>
  <c r="Z55" i="137" s="1"/>
  <c r="V55" i="137"/>
  <c r="Y55" i="137" s="1"/>
  <c r="W54" i="137"/>
  <c r="Z54" i="137" s="1"/>
  <c r="V54" i="137"/>
  <c r="Y54" i="137" s="1"/>
  <c r="W53" i="137"/>
  <c r="Z53" i="137" s="1"/>
  <c r="V53" i="137"/>
  <c r="Y53" i="137" s="1"/>
  <c r="W52" i="137"/>
  <c r="Z52" i="137" s="1"/>
  <c r="V52" i="137"/>
  <c r="Y52" i="137" s="1"/>
  <c r="W51" i="137"/>
  <c r="Z51" i="137" s="1"/>
  <c r="V51" i="137"/>
  <c r="Y51" i="137" s="1"/>
  <c r="W50" i="137"/>
  <c r="Z50" i="137" s="1"/>
  <c r="V50" i="137"/>
  <c r="Y50" i="137" s="1"/>
  <c r="W49" i="137"/>
  <c r="Z49" i="137" s="1"/>
  <c r="V49" i="137"/>
  <c r="Y49" i="137" s="1"/>
  <c r="W48" i="137"/>
  <c r="Z48" i="137" s="1"/>
  <c r="V48" i="137"/>
  <c r="Y48" i="137" s="1"/>
  <c r="W47" i="137"/>
  <c r="Z47" i="137" s="1"/>
  <c r="V47" i="137"/>
  <c r="Y47" i="137" s="1"/>
  <c r="W46" i="137"/>
  <c r="Z46" i="137" s="1"/>
  <c r="V46" i="137"/>
  <c r="Y46" i="137" s="1"/>
  <c r="W45" i="137"/>
  <c r="Z45" i="137" s="1"/>
  <c r="V45" i="137"/>
  <c r="Y45" i="137" s="1"/>
  <c r="W44" i="137"/>
  <c r="Z44" i="137" s="1"/>
  <c r="V44" i="137"/>
  <c r="Y44" i="137" s="1"/>
  <c r="W43" i="137"/>
  <c r="V43" i="137"/>
  <c r="W41" i="137"/>
  <c r="Z41" i="137" s="1"/>
  <c r="V41" i="137"/>
  <c r="Y41" i="137" s="1"/>
  <c r="W40" i="137"/>
  <c r="Z40" i="137" s="1"/>
  <c r="V40" i="137"/>
  <c r="Y40" i="137" s="1"/>
  <c r="W39" i="137"/>
  <c r="Z39" i="137" s="1"/>
  <c r="V39" i="137"/>
  <c r="Y39" i="137" s="1"/>
  <c r="W38" i="137"/>
  <c r="Z38" i="137" s="1"/>
  <c r="V38" i="137"/>
  <c r="Y38" i="137" s="1"/>
  <c r="W37" i="137"/>
  <c r="Z37" i="137" s="1"/>
  <c r="V37" i="137"/>
  <c r="Y37" i="137" s="1"/>
  <c r="W36" i="137"/>
  <c r="Z36" i="137" s="1"/>
  <c r="V36" i="137"/>
  <c r="Y36" i="137" s="1"/>
  <c r="W35" i="137"/>
  <c r="Z35" i="137" s="1"/>
  <c r="V35" i="137"/>
  <c r="Y35" i="137" s="1"/>
  <c r="W34" i="137"/>
  <c r="Z34" i="137" s="1"/>
  <c r="V34" i="137"/>
  <c r="Y34" i="137" s="1"/>
  <c r="W33" i="137"/>
  <c r="Z33" i="137" s="1"/>
  <c r="V33" i="137"/>
  <c r="Y33" i="137" s="1"/>
  <c r="W32" i="137"/>
  <c r="Z32" i="137" s="1"/>
  <c r="V32" i="137"/>
  <c r="Y32" i="137" s="1"/>
  <c r="W31" i="137"/>
  <c r="Z31" i="137" s="1"/>
  <c r="V31" i="137"/>
  <c r="Y31" i="137" s="1"/>
  <c r="W30" i="137"/>
  <c r="Z30" i="137" s="1"/>
  <c r="V30" i="137"/>
  <c r="Y30" i="137" s="1"/>
  <c r="W29" i="137"/>
  <c r="Z29" i="137" s="1"/>
  <c r="V29" i="137"/>
  <c r="Y29" i="137" s="1"/>
  <c r="W28" i="137"/>
  <c r="Z28" i="137" s="1"/>
  <c r="V28" i="137"/>
  <c r="Y28" i="137" s="1"/>
  <c r="W27" i="137"/>
  <c r="Z27" i="137" s="1"/>
  <c r="V27" i="137"/>
  <c r="Y27" i="137" s="1"/>
  <c r="W26" i="137"/>
  <c r="Z26" i="137" s="1"/>
  <c r="V26" i="137"/>
  <c r="Y26" i="137" s="1"/>
  <c r="W25" i="137"/>
  <c r="Z25" i="137" s="1"/>
  <c r="V25" i="137"/>
  <c r="Y25" i="137" s="1"/>
  <c r="W24" i="137"/>
  <c r="Z24" i="137" s="1"/>
  <c r="V24" i="137"/>
  <c r="Y24" i="137" s="1"/>
  <c r="W23" i="137"/>
  <c r="Z23" i="137" s="1"/>
  <c r="V23" i="137"/>
  <c r="Y23" i="137" s="1"/>
  <c r="W22" i="137"/>
  <c r="Z22" i="137" s="1"/>
  <c r="V22" i="137"/>
  <c r="Y22" i="137" s="1"/>
  <c r="AB97" i="137"/>
  <c r="AB96" i="137"/>
  <c r="AB95" i="137"/>
  <c r="AB94" i="137"/>
  <c r="AB93" i="137"/>
  <c r="AB92" i="137"/>
  <c r="AB91" i="137"/>
  <c r="AB90" i="137"/>
  <c r="AB89" i="137"/>
  <c r="AB88" i="137"/>
  <c r="AB87" i="137"/>
  <c r="AB86" i="137"/>
  <c r="AB85" i="137"/>
  <c r="AB84" i="137"/>
  <c r="AB83" i="137"/>
  <c r="AB82" i="137"/>
  <c r="AB81" i="137"/>
  <c r="AB80" i="137"/>
  <c r="AB79" i="137"/>
  <c r="AB78" i="137"/>
  <c r="X74" i="137"/>
  <c r="X73" i="137"/>
  <c r="X72" i="137"/>
  <c r="X71" i="137"/>
  <c r="X70" i="137"/>
  <c r="X68" i="137"/>
  <c r="X67" i="137"/>
  <c r="X66" i="137"/>
  <c r="X65" i="137"/>
  <c r="X64" i="137"/>
  <c r="X62" i="137"/>
  <c r="X61" i="137"/>
  <c r="X60" i="137"/>
  <c r="X59" i="137"/>
  <c r="X58" i="137"/>
  <c r="X57" i="137"/>
  <c r="X56" i="137"/>
  <c r="X55" i="137"/>
  <c r="X54" i="137"/>
  <c r="X53" i="137"/>
  <c r="X52" i="137"/>
  <c r="X51" i="137"/>
  <c r="X50" i="137"/>
  <c r="X49" i="137"/>
  <c r="X48" i="137"/>
  <c r="X47" i="137"/>
  <c r="X46" i="137"/>
  <c r="X45" i="137"/>
  <c r="X44" i="137"/>
  <c r="X43" i="137"/>
  <c r="X41" i="137"/>
  <c r="X40" i="137"/>
  <c r="X39" i="137"/>
  <c r="X38" i="137"/>
  <c r="X37" i="137"/>
  <c r="X36" i="137"/>
  <c r="X35" i="137"/>
  <c r="X34" i="137"/>
  <c r="X33" i="137"/>
  <c r="X32" i="137"/>
  <c r="X31" i="137"/>
  <c r="X30" i="137"/>
  <c r="X29" i="137"/>
  <c r="X28" i="137"/>
  <c r="X27" i="137"/>
  <c r="X26" i="137"/>
  <c r="X25" i="137"/>
  <c r="X24" i="137"/>
  <c r="X23" i="137"/>
  <c r="X22" i="137"/>
  <c r="U12" i="137"/>
  <c r="V12" i="137"/>
  <c r="W12" i="137"/>
  <c r="X12" i="137"/>
  <c r="U13" i="137"/>
  <c r="V13" i="137"/>
  <c r="Y13" i="137" s="1"/>
  <c r="W13" i="137"/>
  <c r="Z13" i="137" s="1"/>
  <c r="X13" i="137"/>
  <c r="J14" i="137"/>
  <c r="U14" i="137"/>
  <c r="V14" i="137"/>
  <c r="Y14" i="137" s="1"/>
  <c r="W14" i="137"/>
  <c r="Z14" i="137" s="1"/>
  <c r="X14" i="137"/>
  <c r="U15" i="137"/>
  <c r="V15" i="137"/>
  <c r="Y15" i="137" s="1"/>
  <c r="W15" i="137"/>
  <c r="Z15" i="137" s="1"/>
  <c r="X15" i="137"/>
  <c r="U16" i="137"/>
  <c r="V16" i="137"/>
  <c r="Y16" i="137" s="1"/>
  <c r="W16" i="137"/>
  <c r="Z16" i="137" s="1"/>
  <c r="X16" i="137"/>
  <c r="U17" i="137"/>
  <c r="V17" i="137"/>
  <c r="Y17" i="137" s="1"/>
  <c r="W17" i="137"/>
  <c r="Z17" i="137" s="1"/>
  <c r="X17" i="137"/>
  <c r="U18" i="137"/>
  <c r="V18" i="137"/>
  <c r="Y18" i="137" s="1"/>
  <c r="W18" i="137"/>
  <c r="Z18" i="137" s="1"/>
  <c r="X18" i="137"/>
  <c r="U19" i="137"/>
  <c r="V19" i="137"/>
  <c r="Y19" i="137" s="1"/>
  <c r="W19" i="137"/>
  <c r="Z19" i="137" s="1"/>
  <c r="X19" i="137"/>
  <c r="U20" i="137"/>
  <c r="V20" i="137"/>
  <c r="Y20" i="137" s="1"/>
  <c r="W20" i="137"/>
  <c r="Z20" i="137" s="1"/>
  <c r="X20" i="137"/>
  <c r="U21" i="137"/>
  <c r="V21" i="137"/>
  <c r="Y21" i="137" s="1"/>
  <c r="W21" i="137"/>
  <c r="Z21" i="137" s="1"/>
  <c r="X21" i="137"/>
  <c r="J46" i="137"/>
  <c r="D46" i="137"/>
  <c r="J57" i="137"/>
  <c r="D57" i="137"/>
  <c r="F57" i="137" s="1"/>
  <c r="J52" i="137"/>
  <c r="F52" i="137"/>
  <c r="D52" i="137"/>
  <c r="J22" i="137"/>
  <c r="J30" i="137"/>
  <c r="J38" i="137"/>
  <c r="D47" i="137"/>
  <c r="F47" i="137" s="1"/>
  <c r="D48" i="137"/>
  <c r="F48" i="137" s="1"/>
  <c r="D49" i="137"/>
  <c r="F49" i="137" s="1"/>
  <c r="D53" i="137"/>
  <c r="F53" i="137"/>
  <c r="D54" i="137"/>
  <c r="F54" i="137"/>
  <c r="D55" i="137"/>
  <c r="F55" i="137"/>
  <c r="D56" i="137"/>
  <c r="F56" i="137"/>
  <c r="D58" i="137"/>
  <c r="F58" i="137" s="1"/>
  <c r="F60" i="137"/>
  <c r="G60" i="137" s="1"/>
  <c r="L60" i="137" s="1"/>
  <c r="T78" i="137"/>
  <c r="T98" i="137" s="1"/>
  <c r="G86" i="137" s="1"/>
  <c r="H81" i="137" s="1"/>
  <c r="Y78" i="137"/>
  <c r="Y98" i="137" s="1"/>
  <c r="J20" i="136"/>
  <c r="AA97" i="136"/>
  <c r="AA96" i="136"/>
  <c r="AA95" i="136"/>
  <c r="AA94" i="136"/>
  <c r="AA93" i="136"/>
  <c r="AA92" i="136"/>
  <c r="AA91" i="136"/>
  <c r="AA90" i="136"/>
  <c r="AA89" i="136"/>
  <c r="AA88" i="136"/>
  <c r="AA87" i="136"/>
  <c r="AA86" i="136"/>
  <c r="AA85" i="136"/>
  <c r="AA84" i="136"/>
  <c r="AA83" i="136"/>
  <c r="AA82" i="136"/>
  <c r="AA81" i="136"/>
  <c r="AA80" i="136"/>
  <c r="AA79" i="136"/>
  <c r="AA78" i="136"/>
  <c r="U68" i="136"/>
  <c r="U67" i="136"/>
  <c r="U66" i="136"/>
  <c r="U65" i="136"/>
  <c r="U64" i="136"/>
  <c r="U62" i="136"/>
  <c r="U61" i="136"/>
  <c r="U60" i="136"/>
  <c r="U59" i="136"/>
  <c r="U58" i="136"/>
  <c r="U57" i="136"/>
  <c r="U56" i="136"/>
  <c r="U55" i="136"/>
  <c r="U54" i="136"/>
  <c r="U53" i="136"/>
  <c r="U52" i="136"/>
  <c r="U51" i="136"/>
  <c r="U50" i="136"/>
  <c r="U49" i="136"/>
  <c r="U48" i="136"/>
  <c r="U47" i="136"/>
  <c r="U46" i="136"/>
  <c r="U45" i="136"/>
  <c r="U44" i="136"/>
  <c r="U43" i="136"/>
  <c r="U41" i="136"/>
  <c r="U40" i="136"/>
  <c r="U39" i="136"/>
  <c r="U38" i="136"/>
  <c r="U37" i="136"/>
  <c r="U36" i="136"/>
  <c r="U35" i="136"/>
  <c r="U34" i="136"/>
  <c r="U33" i="136"/>
  <c r="U32" i="136"/>
  <c r="U31" i="136"/>
  <c r="U30" i="136"/>
  <c r="U29" i="136"/>
  <c r="U28" i="136"/>
  <c r="U27" i="136"/>
  <c r="U26" i="136"/>
  <c r="U25" i="136"/>
  <c r="U24" i="136"/>
  <c r="U23" i="136"/>
  <c r="U22" i="136"/>
  <c r="W74" i="136"/>
  <c r="Z74" i="136" s="1"/>
  <c r="V74" i="136"/>
  <c r="Y74" i="136" s="1"/>
  <c r="W73" i="136"/>
  <c r="Z73" i="136" s="1"/>
  <c r="V73" i="136"/>
  <c r="Y73" i="136" s="1"/>
  <c r="W72" i="136"/>
  <c r="Z72" i="136" s="1"/>
  <c r="V72" i="136"/>
  <c r="Y72" i="136" s="1"/>
  <c r="W71" i="136"/>
  <c r="Z71" i="136" s="1"/>
  <c r="V71" i="136"/>
  <c r="Y71" i="136" s="1"/>
  <c r="W70" i="136"/>
  <c r="V70" i="136"/>
  <c r="W68" i="136"/>
  <c r="Z68" i="136" s="1"/>
  <c r="V68" i="136"/>
  <c r="Y68" i="136" s="1"/>
  <c r="W67" i="136"/>
  <c r="Z67" i="136" s="1"/>
  <c r="V67" i="136"/>
  <c r="Y67" i="136" s="1"/>
  <c r="W66" i="136"/>
  <c r="Z66" i="136" s="1"/>
  <c r="V66" i="136"/>
  <c r="Y66" i="136" s="1"/>
  <c r="W65" i="136"/>
  <c r="Z65" i="136" s="1"/>
  <c r="V65" i="136"/>
  <c r="Y65" i="136" s="1"/>
  <c r="W64" i="136"/>
  <c r="V64" i="136"/>
  <c r="W62" i="136"/>
  <c r="Z62" i="136" s="1"/>
  <c r="V62" i="136"/>
  <c r="Y62" i="136" s="1"/>
  <c r="W61" i="136"/>
  <c r="Z61" i="136" s="1"/>
  <c r="V61" i="136"/>
  <c r="Y61" i="136" s="1"/>
  <c r="W60" i="136"/>
  <c r="Z60" i="136" s="1"/>
  <c r="V60" i="136"/>
  <c r="Y60" i="136" s="1"/>
  <c r="W59" i="136"/>
  <c r="Z59" i="136" s="1"/>
  <c r="V59" i="136"/>
  <c r="Y59" i="136" s="1"/>
  <c r="W58" i="136"/>
  <c r="Z58" i="136" s="1"/>
  <c r="V58" i="136"/>
  <c r="Y58" i="136" s="1"/>
  <c r="W57" i="136"/>
  <c r="Z57" i="136" s="1"/>
  <c r="V57" i="136"/>
  <c r="Y57" i="136" s="1"/>
  <c r="W56" i="136"/>
  <c r="Z56" i="136" s="1"/>
  <c r="V56" i="136"/>
  <c r="Y56" i="136" s="1"/>
  <c r="W55" i="136"/>
  <c r="Z55" i="136" s="1"/>
  <c r="V55" i="136"/>
  <c r="Y55" i="136" s="1"/>
  <c r="W54" i="136"/>
  <c r="Z54" i="136" s="1"/>
  <c r="V54" i="136"/>
  <c r="Y54" i="136" s="1"/>
  <c r="W53" i="136"/>
  <c r="Z53" i="136" s="1"/>
  <c r="V53" i="136"/>
  <c r="Y53" i="136" s="1"/>
  <c r="W52" i="136"/>
  <c r="Z52" i="136" s="1"/>
  <c r="V52" i="136"/>
  <c r="Y52" i="136" s="1"/>
  <c r="W51" i="136"/>
  <c r="Z51" i="136" s="1"/>
  <c r="V51" i="136"/>
  <c r="Y51" i="136" s="1"/>
  <c r="W50" i="136"/>
  <c r="Z50" i="136" s="1"/>
  <c r="V50" i="136"/>
  <c r="Y50" i="136" s="1"/>
  <c r="W49" i="136"/>
  <c r="Z49" i="136" s="1"/>
  <c r="V49" i="136"/>
  <c r="Y49" i="136" s="1"/>
  <c r="W48" i="136"/>
  <c r="Z48" i="136" s="1"/>
  <c r="V48" i="136"/>
  <c r="Y48" i="136" s="1"/>
  <c r="W47" i="136"/>
  <c r="Z47" i="136" s="1"/>
  <c r="V47" i="136"/>
  <c r="Y47" i="136" s="1"/>
  <c r="W46" i="136"/>
  <c r="Z46" i="136" s="1"/>
  <c r="V46" i="136"/>
  <c r="Y46" i="136" s="1"/>
  <c r="W45" i="136"/>
  <c r="Z45" i="136" s="1"/>
  <c r="V45" i="136"/>
  <c r="Y45" i="136" s="1"/>
  <c r="W44" i="136"/>
  <c r="Z44" i="136" s="1"/>
  <c r="V44" i="136"/>
  <c r="Y44" i="136" s="1"/>
  <c r="W43" i="136"/>
  <c r="V43" i="136"/>
  <c r="W41" i="136"/>
  <c r="Z41" i="136" s="1"/>
  <c r="V41" i="136"/>
  <c r="Y41" i="136" s="1"/>
  <c r="W40" i="136"/>
  <c r="Z40" i="136" s="1"/>
  <c r="V40" i="136"/>
  <c r="Y40" i="136" s="1"/>
  <c r="W39" i="136"/>
  <c r="Z39" i="136" s="1"/>
  <c r="V39" i="136"/>
  <c r="Y39" i="136" s="1"/>
  <c r="W38" i="136"/>
  <c r="Z38" i="136" s="1"/>
  <c r="V38" i="136"/>
  <c r="Y38" i="136" s="1"/>
  <c r="W37" i="136"/>
  <c r="Z37" i="136" s="1"/>
  <c r="V37" i="136"/>
  <c r="Y37" i="136" s="1"/>
  <c r="W36" i="136"/>
  <c r="Z36" i="136" s="1"/>
  <c r="V36" i="136"/>
  <c r="Y36" i="136" s="1"/>
  <c r="W35" i="136"/>
  <c r="Z35" i="136" s="1"/>
  <c r="V35" i="136"/>
  <c r="Y35" i="136" s="1"/>
  <c r="W34" i="136"/>
  <c r="Z34" i="136" s="1"/>
  <c r="V34" i="136"/>
  <c r="Y34" i="136" s="1"/>
  <c r="W33" i="136"/>
  <c r="Z33" i="136" s="1"/>
  <c r="V33" i="136"/>
  <c r="Y33" i="136" s="1"/>
  <c r="W32" i="136"/>
  <c r="Z32" i="136" s="1"/>
  <c r="V32" i="136"/>
  <c r="Y32" i="136" s="1"/>
  <c r="W31" i="136"/>
  <c r="Z31" i="136" s="1"/>
  <c r="V31" i="136"/>
  <c r="Y31" i="136" s="1"/>
  <c r="W30" i="136"/>
  <c r="Z30" i="136" s="1"/>
  <c r="V30" i="136"/>
  <c r="Y30" i="136" s="1"/>
  <c r="W29" i="136"/>
  <c r="Z29" i="136" s="1"/>
  <c r="V29" i="136"/>
  <c r="Y29" i="136" s="1"/>
  <c r="W28" i="136"/>
  <c r="Z28" i="136" s="1"/>
  <c r="V28" i="136"/>
  <c r="Y28" i="136" s="1"/>
  <c r="W27" i="136"/>
  <c r="Z27" i="136" s="1"/>
  <c r="V27" i="136"/>
  <c r="Y27" i="136" s="1"/>
  <c r="W26" i="136"/>
  <c r="Z26" i="136" s="1"/>
  <c r="V26" i="136"/>
  <c r="Y26" i="136" s="1"/>
  <c r="W25" i="136"/>
  <c r="Z25" i="136" s="1"/>
  <c r="V25" i="136"/>
  <c r="Y25" i="136" s="1"/>
  <c r="W24" i="136"/>
  <c r="Z24" i="136" s="1"/>
  <c r="V24" i="136"/>
  <c r="Y24" i="136" s="1"/>
  <c r="W23" i="136"/>
  <c r="Z23" i="136" s="1"/>
  <c r="V23" i="136"/>
  <c r="Y23" i="136" s="1"/>
  <c r="W22" i="136"/>
  <c r="Z22" i="136" s="1"/>
  <c r="V22" i="136"/>
  <c r="Y22" i="136" s="1"/>
  <c r="AB97" i="136"/>
  <c r="AB96" i="136"/>
  <c r="AB95" i="136"/>
  <c r="AB94" i="136"/>
  <c r="AB93" i="136"/>
  <c r="AB92" i="136"/>
  <c r="AB91" i="136"/>
  <c r="AB90" i="136"/>
  <c r="AB89" i="136"/>
  <c r="AB88" i="136"/>
  <c r="AB87" i="136"/>
  <c r="AB86" i="136"/>
  <c r="AB85" i="136"/>
  <c r="AB84" i="136"/>
  <c r="AB83" i="136"/>
  <c r="AB82" i="136"/>
  <c r="AB81" i="136"/>
  <c r="AB80" i="136"/>
  <c r="AB79" i="136"/>
  <c r="AB78" i="136"/>
  <c r="X74" i="136"/>
  <c r="X73" i="136"/>
  <c r="X72" i="136"/>
  <c r="X71" i="136"/>
  <c r="X70" i="136"/>
  <c r="X68" i="136"/>
  <c r="X67" i="136"/>
  <c r="X66" i="136"/>
  <c r="X65" i="136"/>
  <c r="X64" i="136"/>
  <c r="X62" i="136"/>
  <c r="X61" i="136"/>
  <c r="X60" i="136"/>
  <c r="X59" i="136"/>
  <c r="X58" i="136"/>
  <c r="X57" i="136"/>
  <c r="X56" i="136"/>
  <c r="X55" i="136"/>
  <c r="X54" i="136"/>
  <c r="X53" i="136"/>
  <c r="X52" i="136"/>
  <c r="X51" i="136"/>
  <c r="X50" i="136"/>
  <c r="X49" i="136"/>
  <c r="X48" i="136"/>
  <c r="X47" i="136"/>
  <c r="X46" i="136"/>
  <c r="X45" i="136"/>
  <c r="X44" i="136"/>
  <c r="X43" i="136"/>
  <c r="X41" i="136"/>
  <c r="X40" i="136"/>
  <c r="X39" i="136"/>
  <c r="X38" i="136"/>
  <c r="X37" i="136"/>
  <c r="X36" i="136"/>
  <c r="X35" i="136"/>
  <c r="X34" i="136"/>
  <c r="X33" i="136"/>
  <c r="X32" i="136"/>
  <c r="X31" i="136"/>
  <c r="X30" i="136"/>
  <c r="X29" i="136"/>
  <c r="X28" i="136"/>
  <c r="X27" i="136"/>
  <c r="X26" i="136"/>
  <c r="X25" i="136"/>
  <c r="X24" i="136"/>
  <c r="X23" i="136"/>
  <c r="X22" i="136"/>
  <c r="U12" i="136"/>
  <c r="V12" i="136"/>
  <c r="W12" i="136"/>
  <c r="X12" i="136"/>
  <c r="U13" i="136"/>
  <c r="V13" i="136"/>
  <c r="Y13" i="136" s="1"/>
  <c r="W13" i="136"/>
  <c r="Z13" i="136" s="1"/>
  <c r="X13" i="136"/>
  <c r="J14" i="136"/>
  <c r="U14" i="136"/>
  <c r="V14" i="136"/>
  <c r="Y14" i="136" s="1"/>
  <c r="W14" i="136"/>
  <c r="Z14" i="136" s="1"/>
  <c r="X14" i="136"/>
  <c r="U15" i="136"/>
  <c r="V15" i="136"/>
  <c r="Y15" i="136" s="1"/>
  <c r="W15" i="136"/>
  <c r="Z15" i="136" s="1"/>
  <c r="X15" i="136"/>
  <c r="U16" i="136"/>
  <c r="V16" i="136"/>
  <c r="Y16" i="136" s="1"/>
  <c r="W16" i="136"/>
  <c r="Z16" i="136" s="1"/>
  <c r="X16" i="136"/>
  <c r="U17" i="136"/>
  <c r="V17" i="136"/>
  <c r="Y17" i="136" s="1"/>
  <c r="W17" i="136"/>
  <c r="Z17" i="136" s="1"/>
  <c r="X17" i="136"/>
  <c r="U18" i="136"/>
  <c r="V18" i="136"/>
  <c r="Y18" i="136" s="1"/>
  <c r="W18" i="136"/>
  <c r="Z18" i="136" s="1"/>
  <c r="X18" i="136"/>
  <c r="U19" i="136"/>
  <c r="V19" i="136"/>
  <c r="Y19" i="136" s="1"/>
  <c r="W19" i="136"/>
  <c r="Z19" i="136" s="1"/>
  <c r="X19" i="136"/>
  <c r="U20" i="136"/>
  <c r="V20" i="136"/>
  <c r="Y20" i="136" s="1"/>
  <c r="W20" i="136"/>
  <c r="Z20" i="136" s="1"/>
  <c r="X20" i="136"/>
  <c r="U21" i="136"/>
  <c r="V21" i="136"/>
  <c r="Y21" i="136" s="1"/>
  <c r="W21" i="136"/>
  <c r="Z21" i="136" s="1"/>
  <c r="X21" i="136"/>
  <c r="J46" i="136"/>
  <c r="D46" i="136"/>
  <c r="J57" i="136"/>
  <c r="D57" i="136"/>
  <c r="F57" i="136" s="1"/>
  <c r="J52" i="136"/>
  <c r="F52" i="136"/>
  <c r="D52" i="136"/>
  <c r="J22" i="136"/>
  <c r="J30" i="136"/>
  <c r="J38" i="136"/>
  <c r="D47" i="136"/>
  <c r="F47" i="136" s="1"/>
  <c r="D48" i="136"/>
  <c r="F48" i="136" s="1"/>
  <c r="D49" i="136"/>
  <c r="F49" i="136" s="1"/>
  <c r="D50" i="136"/>
  <c r="F50" i="136" s="1"/>
  <c r="D53" i="136"/>
  <c r="F53" i="136"/>
  <c r="D54" i="136"/>
  <c r="F54" i="136"/>
  <c r="D55" i="136"/>
  <c r="F55" i="136"/>
  <c r="D56" i="136"/>
  <c r="F56" i="136"/>
  <c r="D58" i="136"/>
  <c r="F58" i="136" s="1"/>
  <c r="F60" i="136"/>
  <c r="G60" i="136" s="1"/>
  <c r="L60" i="136" s="1"/>
  <c r="T78" i="136"/>
  <c r="T98" i="136" s="1"/>
  <c r="G86" i="136" s="1"/>
  <c r="H81" i="136" s="1"/>
  <c r="Y78" i="136"/>
  <c r="Y98" i="136" s="1"/>
  <c r="J20" i="135"/>
  <c r="AA97" i="135"/>
  <c r="AA96" i="135"/>
  <c r="AA95" i="135"/>
  <c r="AA94" i="135"/>
  <c r="AA93" i="135"/>
  <c r="AA92" i="135"/>
  <c r="AA91" i="135"/>
  <c r="AA90" i="135"/>
  <c r="AA89" i="135"/>
  <c r="AA88" i="135"/>
  <c r="AA87" i="135"/>
  <c r="AA86" i="135"/>
  <c r="AA85" i="135"/>
  <c r="AA84" i="135"/>
  <c r="AA83" i="135"/>
  <c r="AA82" i="135"/>
  <c r="AA81" i="135"/>
  <c r="AA80" i="135"/>
  <c r="AA79" i="135"/>
  <c r="AA78" i="135"/>
  <c r="U74" i="135"/>
  <c r="U73" i="135"/>
  <c r="U72" i="135"/>
  <c r="U71" i="135"/>
  <c r="U70" i="135"/>
  <c r="U68" i="135"/>
  <c r="U67" i="135"/>
  <c r="U66" i="135"/>
  <c r="U65" i="135"/>
  <c r="U64" i="135"/>
  <c r="U62" i="135"/>
  <c r="U61" i="135"/>
  <c r="U60" i="135"/>
  <c r="U59" i="135"/>
  <c r="U58" i="135"/>
  <c r="U57" i="135"/>
  <c r="U56" i="135"/>
  <c r="U55" i="135"/>
  <c r="U54" i="135"/>
  <c r="U53" i="135"/>
  <c r="U52" i="135"/>
  <c r="U51" i="135"/>
  <c r="U50" i="135"/>
  <c r="U49" i="135"/>
  <c r="U48" i="135"/>
  <c r="U47" i="135"/>
  <c r="U46" i="135"/>
  <c r="U45" i="135"/>
  <c r="U44" i="135"/>
  <c r="U43" i="135"/>
  <c r="U41" i="135"/>
  <c r="U40" i="135"/>
  <c r="U39" i="135"/>
  <c r="U38" i="135"/>
  <c r="U37" i="135"/>
  <c r="U36" i="135"/>
  <c r="U35" i="135"/>
  <c r="U34" i="135"/>
  <c r="U33" i="135"/>
  <c r="U32" i="135"/>
  <c r="U31" i="135"/>
  <c r="U30" i="135"/>
  <c r="U29" i="135"/>
  <c r="U28" i="135"/>
  <c r="U27" i="135"/>
  <c r="U26" i="135"/>
  <c r="U25" i="135"/>
  <c r="U24" i="135"/>
  <c r="U23" i="135"/>
  <c r="U22" i="135"/>
  <c r="W74" i="135"/>
  <c r="Z74" i="135" s="1"/>
  <c r="V74" i="135"/>
  <c r="Y74" i="135" s="1"/>
  <c r="W73" i="135"/>
  <c r="Z73" i="135" s="1"/>
  <c r="V73" i="135"/>
  <c r="Y73" i="135" s="1"/>
  <c r="W72" i="135"/>
  <c r="Z72" i="135" s="1"/>
  <c r="V72" i="135"/>
  <c r="Y72" i="135" s="1"/>
  <c r="W71" i="135"/>
  <c r="Z71" i="135" s="1"/>
  <c r="V71" i="135"/>
  <c r="Y71" i="135" s="1"/>
  <c r="W70" i="135"/>
  <c r="V70" i="135"/>
  <c r="W68" i="135"/>
  <c r="Z68" i="135" s="1"/>
  <c r="V68" i="135"/>
  <c r="Y68" i="135" s="1"/>
  <c r="W67" i="135"/>
  <c r="Z67" i="135" s="1"/>
  <c r="V67" i="135"/>
  <c r="Y67" i="135" s="1"/>
  <c r="W66" i="135"/>
  <c r="Z66" i="135" s="1"/>
  <c r="V66" i="135"/>
  <c r="Y66" i="135" s="1"/>
  <c r="W65" i="135"/>
  <c r="Z65" i="135" s="1"/>
  <c r="V65" i="135"/>
  <c r="Y65" i="135" s="1"/>
  <c r="W64" i="135"/>
  <c r="V64" i="135"/>
  <c r="W62" i="135"/>
  <c r="Z62" i="135" s="1"/>
  <c r="V62" i="135"/>
  <c r="Y62" i="135" s="1"/>
  <c r="W61" i="135"/>
  <c r="Z61" i="135" s="1"/>
  <c r="V61" i="135"/>
  <c r="Y61" i="135" s="1"/>
  <c r="W60" i="135"/>
  <c r="Z60" i="135" s="1"/>
  <c r="V60" i="135"/>
  <c r="Y60" i="135" s="1"/>
  <c r="W59" i="135"/>
  <c r="Z59" i="135" s="1"/>
  <c r="V59" i="135"/>
  <c r="Y59" i="135" s="1"/>
  <c r="W58" i="135"/>
  <c r="Z58" i="135" s="1"/>
  <c r="V58" i="135"/>
  <c r="Y58" i="135" s="1"/>
  <c r="W57" i="135"/>
  <c r="Z57" i="135" s="1"/>
  <c r="V57" i="135"/>
  <c r="Y57" i="135" s="1"/>
  <c r="W56" i="135"/>
  <c r="Z56" i="135" s="1"/>
  <c r="V56" i="135"/>
  <c r="Y56" i="135" s="1"/>
  <c r="W55" i="135"/>
  <c r="Z55" i="135" s="1"/>
  <c r="V55" i="135"/>
  <c r="Y55" i="135" s="1"/>
  <c r="W54" i="135"/>
  <c r="Z54" i="135" s="1"/>
  <c r="V54" i="135"/>
  <c r="Y54" i="135" s="1"/>
  <c r="W53" i="135"/>
  <c r="Z53" i="135" s="1"/>
  <c r="V53" i="135"/>
  <c r="Y53" i="135" s="1"/>
  <c r="W52" i="135"/>
  <c r="Z52" i="135" s="1"/>
  <c r="V52" i="135"/>
  <c r="Y52" i="135" s="1"/>
  <c r="W51" i="135"/>
  <c r="Z51" i="135" s="1"/>
  <c r="V51" i="135"/>
  <c r="Y51" i="135" s="1"/>
  <c r="W50" i="135"/>
  <c r="Z50" i="135" s="1"/>
  <c r="V50" i="135"/>
  <c r="Y50" i="135" s="1"/>
  <c r="W49" i="135"/>
  <c r="Z49" i="135" s="1"/>
  <c r="V49" i="135"/>
  <c r="Y49" i="135" s="1"/>
  <c r="W48" i="135"/>
  <c r="Z48" i="135" s="1"/>
  <c r="V48" i="135"/>
  <c r="Y48" i="135" s="1"/>
  <c r="W47" i="135"/>
  <c r="Z47" i="135" s="1"/>
  <c r="V47" i="135"/>
  <c r="Y47" i="135" s="1"/>
  <c r="W46" i="135"/>
  <c r="Z46" i="135" s="1"/>
  <c r="V46" i="135"/>
  <c r="Y46" i="135" s="1"/>
  <c r="W45" i="135"/>
  <c r="Z45" i="135" s="1"/>
  <c r="V45" i="135"/>
  <c r="Y45" i="135" s="1"/>
  <c r="W44" i="135"/>
  <c r="Z44" i="135" s="1"/>
  <c r="V44" i="135"/>
  <c r="Y44" i="135" s="1"/>
  <c r="W43" i="135"/>
  <c r="V43" i="135"/>
  <c r="W41" i="135"/>
  <c r="Z41" i="135" s="1"/>
  <c r="V41" i="135"/>
  <c r="Y41" i="135" s="1"/>
  <c r="W40" i="135"/>
  <c r="Z40" i="135" s="1"/>
  <c r="V40" i="135"/>
  <c r="Y40" i="135" s="1"/>
  <c r="W39" i="135"/>
  <c r="Z39" i="135" s="1"/>
  <c r="V39" i="135"/>
  <c r="Y39" i="135" s="1"/>
  <c r="W38" i="135"/>
  <c r="Z38" i="135" s="1"/>
  <c r="V38" i="135"/>
  <c r="Y38" i="135" s="1"/>
  <c r="W37" i="135"/>
  <c r="Z37" i="135" s="1"/>
  <c r="V37" i="135"/>
  <c r="Y37" i="135" s="1"/>
  <c r="W36" i="135"/>
  <c r="Z36" i="135" s="1"/>
  <c r="V36" i="135"/>
  <c r="Y36" i="135" s="1"/>
  <c r="W35" i="135"/>
  <c r="Z35" i="135" s="1"/>
  <c r="V35" i="135"/>
  <c r="Y35" i="135" s="1"/>
  <c r="W34" i="135"/>
  <c r="Z34" i="135" s="1"/>
  <c r="V34" i="135"/>
  <c r="Y34" i="135" s="1"/>
  <c r="W33" i="135"/>
  <c r="Z33" i="135" s="1"/>
  <c r="V33" i="135"/>
  <c r="Y33" i="135" s="1"/>
  <c r="W32" i="135"/>
  <c r="Z32" i="135" s="1"/>
  <c r="V32" i="135"/>
  <c r="Y32" i="135" s="1"/>
  <c r="W31" i="135"/>
  <c r="Z31" i="135" s="1"/>
  <c r="V31" i="135"/>
  <c r="Y31" i="135" s="1"/>
  <c r="W30" i="135"/>
  <c r="Z30" i="135" s="1"/>
  <c r="V30" i="135"/>
  <c r="Y30" i="135" s="1"/>
  <c r="W29" i="135"/>
  <c r="Z29" i="135" s="1"/>
  <c r="V29" i="135"/>
  <c r="Y29" i="135" s="1"/>
  <c r="W28" i="135"/>
  <c r="Z28" i="135" s="1"/>
  <c r="V28" i="135"/>
  <c r="Y28" i="135" s="1"/>
  <c r="W27" i="135"/>
  <c r="Z27" i="135" s="1"/>
  <c r="V27" i="135"/>
  <c r="Y27" i="135" s="1"/>
  <c r="W26" i="135"/>
  <c r="Z26" i="135" s="1"/>
  <c r="V26" i="135"/>
  <c r="Y26" i="135" s="1"/>
  <c r="W25" i="135"/>
  <c r="Z25" i="135" s="1"/>
  <c r="V25" i="135"/>
  <c r="Y25" i="135" s="1"/>
  <c r="W24" i="135"/>
  <c r="Z24" i="135" s="1"/>
  <c r="V24" i="135"/>
  <c r="Y24" i="135" s="1"/>
  <c r="W23" i="135"/>
  <c r="Z23" i="135" s="1"/>
  <c r="V23" i="135"/>
  <c r="Y23" i="135" s="1"/>
  <c r="W22" i="135"/>
  <c r="Z22" i="135" s="1"/>
  <c r="V22" i="135"/>
  <c r="Y22" i="135" s="1"/>
  <c r="AB97" i="135"/>
  <c r="AB96" i="135"/>
  <c r="AB95" i="135"/>
  <c r="AB94" i="135"/>
  <c r="AB93" i="135"/>
  <c r="AB92" i="135"/>
  <c r="AB91" i="135"/>
  <c r="AB90" i="135"/>
  <c r="AB89" i="135"/>
  <c r="AB88" i="135"/>
  <c r="AB87" i="135"/>
  <c r="AB86" i="135"/>
  <c r="AB85" i="135"/>
  <c r="AB84" i="135"/>
  <c r="AB83" i="135"/>
  <c r="AB82" i="135"/>
  <c r="AB81" i="135"/>
  <c r="AB80" i="135"/>
  <c r="AB79" i="135"/>
  <c r="AB78" i="135"/>
  <c r="X74" i="135"/>
  <c r="X73" i="135"/>
  <c r="X72" i="135"/>
  <c r="X71" i="135"/>
  <c r="X70" i="135"/>
  <c r="X68" i="135"/>
  <c r="X67" i="135"/>
  <c r="X66" i="135"/>
  <c r="X65" i="135"/>
  <c r="X64" i="135"/>
  <c r="X62" i="135"/>
  <c r="X61" i="135"/>
  <c r="X60" i="135"/>
  <c r="X59" i="135"/>
  <c r="X58" i="135"/>
  <c r="X57" i="135"/>
  <c r="X56" i="135"/>
  <c r="X55" i="135"/>
  <c r="X54" i="135"/>
  <c r="X53" i="135"/>
  <c r="X52" i="135"/>
  <c r="X51" i="135"/>
  <c r="X50" i="135"/>
  <c r="X49" i="135"/>
  <c r="X48" i="135"/>
  <c r="X47" i="135"/>
  <c r="X46" i="135"/>
  <c r="X45" i="135"/>
  <c r="X44" i="135"/>
  <c r="X43" i="135"/>
  <c r="X41" i="135"/>
  <c r="X40" i="135"/>
  <c r="X39" i="135"/>
  <c r="X38" i="135"/>
  <c r="X37" i="135"/>
  <c r="X36" i="135"/>
  <c r="X35" i="135"/>
  <c r="X34" i="135"/>
  <c r="X33" i="135"/>
  <c r="X32" i="135"/>
  <c r="X31" i="135"/>
  <c r="X30" i="135"/>
  <c r="X29" i="135"/>
  <c r="X28" i="135"/>
  <c r="X27" i="135"/>
  <c r="X26" i="135"/>
  <c r="X25" i="135"/>
  <c r="X24" i="135"/>
  <c r="X23" i="135"/>
  <c r="X22" i="135"/>
  <c r="U12" i="135"/>
  <c r="V12" i="135"/>
  <c r="W12" i="135"/>
  <c r="X12" i="135"/>
  <c r="U13" i="135"/>
  <c r="V13" i="135"/>
  <c r="Y13" i="135" s="1"/>
  <c r="W13" i="135"/>
  <c r="Z13" i="135" s="1"/>
  <c r="X13" i="135"/>
  <c r="J14" i="135"/>
  <c r="U14" i="135"/>
  <c r="V14" i="135"/>
  <c r="Y14" i="135" s="1"/>
  <c r="W14" i="135"/>
  <c r="Z14" i="135" s="1"/>
  <c r="X14" i="135"/>
  <c r="U15" i="135"/>
  <c r="V15" i="135"/>
  <c r="Y15" i="135" s="1"/>
  <c r="W15" i="135"/>
  <c r="Z15" i="135" s="1"/>
  <c r="X15" i="135"/>
  <c r="U16" i="135"/>
  <c r="V16" i="135"/>
  <c r="Y16" i="135" s="1"/>
  <c r="W16" i="135"/>
  <c r="Z16" i="135" s="1"/>
  <c r="X16" i="135"/>
  <c r="U17" i="135"/>
  <c r="V17" i="135"/>
  <c r="Y17" i="135" s="1"/>
  <c r="W17" i="135"/>
  <c r="Z17" i="135" s="1"/>
  <c r="X17" i="135"/>
  <c r="U18" i="135"/>
  <c r="V18" i="135"/>
  <c r="Y18" i="135" s="1"/>
  <c r="W18" i="135"/>
  <c r="Z18" i="135" s="1"/>
  <c r="X18" i="135"/>
  <c r="U19" i="135"/>
  <c r="V19" i="135"/>
  <c r="Y19" i="135" s="1"/>
  <c r="W19" i="135"/>
  <c r="Z19" i="135" s="1"/>
  <c r="X19" i="135"/>
  <c r="U20" i="135"/>
  <c r="V20" i="135"/>
  <c r="Y20" i="135" s="1"/>
  <c r="W20" i="135"/>
  <c r="Z20" i="135" s="1"/>
  <c r="X20" i="135"/>
  <c r="U21" i="135"/>
  <c r="V21" i="135"/>
  <c r="Y21" i="135" s="1"/>
  <c r="W21" i="135"/>
  <c r="Z21" i="135" s="1"/>
  <c r="X21" i="135"/>
  <c r="J46" i="135"/>
  <c r="D46" i="135"/>
  <c r="J57" i="135"/>
  <c r="D57" i="135"/>
  <c r="F57" i="135" s="1"/>
  <c r="J52" i="135"/>
  <c r="F52" i="135"/>
  <c r="D52" i="135"/>
  <c r="J22" i="135"/>
  <c r="J30" i="135"/>
  <c r="J38" i="135"/>
  <c r="D47" i="135"/>
  <c r="F47" i="135" s="1"/>
  <c r="D48" i="135"/>
  <c r="F48" i="135" s="1"/>
  <c r="D49" i="135"/>
  <c r="F49" i="135" s="1"/>
  <c r="D53" i="135"/>
  <c r="F53" i="135"/>
  <c r="D54" i="135"/>
  <c r="F54" i="135"/>
  <c r="D55" i="135"/>
  <c r="F55" i="135"/>
  <c r="D56" i="135"/>
  <c r="F56" i="135"/>
  <c r="D58" i="135"/>
  <c r="F58" i="135" s="1"/>
  <c r="F60" i="135"/>
  <c r="G60" i="135" s="1"/>
  <c r="L60" i="135" s="1"/>
  <c r="T78" i="135"/>
  <c r="T98" i="135" s="1"/>
  <c r="G86" i="135" s="1"/>
  <c r="H81" i="135" s="1"/>
  <c r="Y78" i="135"/>
  <c r="Y98" i="135" s="1"/>
  <c r="J20" i="134"/>
  <c r="AA97" i="134"/>
  <c r="AA96" i="134"/>
  <c r="AA95" i="134"/>
  <c r="AA94" i="134"/>
  <c r="AA93" i="134"/>
  <c r="AA92" i="134"/>
  <c r="AA91" i="134"/>
  <c r="AA90" i="134"/>
  <c r="AA89" i="134"/>
  <c r="AA88" i="134"/>
  <c r="AA87" i="134"/>
  <c r="AA86" i="134"/>
  <c r="AA85" i="134"/>
  <c r="AA84" i="134"/>
  <c r="AA83" i="134"/>
  <c r="AA82" i="134"/>
  <c r="AA81" i="134"/>
  <c r="AA80" i="134"/>
  <c r="AA79" i="134"/>
  <c r="AA78" i="134"/>
  <c r="U74" i="134"/>
  <c r="U73" i="134"/>
  <c r="U72" i="134"/>
  <c r="U71" i="134"/>
  <c r="U70" i="134"/>
  <c r="U68" i="134"/>
  <c r="U67" i="134"/>
  <c r="U66" i="134"/>
  <c r="U65" i="134"/>
  <c r="U64" i="134"/>
  <c r="U62" i="134"/>
  <c r="U61" i="134"/>
  <c r="U60" i="134"/>
  <c r="U59" i="134"/>
  <c r="U58" i="134"/>
  <c r="U57" i="134"/>
  <c r="U56" i="134"/>
  <c r="U55" i="134"/>
  <c r="U54" i="134"/>
  <c r="U53" i="134"/>
  <c r="U52" i="134"/>
  <c r="U51" i="134"/>
  <c r="U50" i="134"/>
  <c r="U49" i="134"/>
  <c r="U48" i="134"/>
  <c r="U47" i="134"/>
  <c r="U46" i="134"/>
  <c r="U45" i="134"/>
  <c r="U44" i="134"/>
  <c r="U43" i="134"/>
  <c r="U41" i="134"/>
  <c r="U40" i="134"/>
  <c r="U39" i="134"/>
  <c r="U38" i="134"/>
  <c r="U37" i="134"/>
  <c r="U36" i="134"/>
  <c r="U35" i="134"/>
  <c r="U34" i="134"/>
  <c r="U33" i="134"/>
  <c r="U32" i="134"/>
  <c r="U31" i="134"/>
  <c r="U30" i="134"/>
  <c r="U29" i="134"/>
  <c r="U28" i="134"/>
  <c r="U27" i="134"/>
  <c r="U26" i="134"/>
  <c r="U25" i="134"/>
  <c r="U24" i="134"/>
  <c r="U23" i="134"/>
  <c r="U22" i="134"/>
  <c r="W74" i="134"/>
  <c r="Z74" i="134" s="1"/>
  <c r="V74" i="134"/>
  <c r="Y74" i="134" s="1"/>
  <c r="W73" i="134"/>
  <c r="Z73" i="134" s="1"/>
  <c r="V73" i="134"/>
  <c r="Y73" i="134" s="1"/>
  <c r="W72" i="134"/>
  <c r="Z72" i="134" s="1"/>
  <c r="V72" i="134"/>
  <c r="Y72" i="134" s="1"/>
  <c r="W71" i="134"/>
  <c r="Z71" i="134" s="1"/>
  <c r="V71" i="134"/>
  <c r="Y71" i="134" s="1"/>
  <c r="W70" i="134"/>
  <c r="V70" i="134"/>
  <c r="W68" i="134"/>
  <c r="Z68" i="134" s="1"/>
  <c r="V68" i="134"/>
  <c r="Y68" i="134" s="1"/>
  <c r="W67" i="134"/>
  <c r="Z67" i="134" s="1"/>
  <c r="V67" i="134"/>
  <c r="Y67" i="134" s="1"/>
  <c r="W66" i="134"/>
  <c r="Z66" i="134" s="1"/>
  <c r="V66" i="134"/>
  <c r="Y66" i="134" s="1"/>
  <c r="W65" i="134"/>
  <c r="Z65" i="134" s="1"/>
  <c r="V65" i="134"/>
  <c r="Y65" i="134" s="1"/>
  <c r="W64" i="134"/>
  <c r="V64" i="134"/>
  <c r="W62" i="134"/>
  <c r="Z62" i="134" s="1"/>
  <c r="V62" i="134"/>
  <c r="Y62" i="134" s="1"/>
  <c r="W61" i="134"/>
  <c r="Z61" i="134" s="1"/>
  <c r="V61" i="134"/>
  <c r="Y61" i="134" s="1"/>
  <c r="W60" i="134"/>
  <c r="Z60" i="134" s="1"/>
  <c r="V60" i="134"/>
  <c r="Y60" i="134" s="1"/>
  <c r="W59" i="134"/>
  <c r="Z59" i="134" s="1"/>
  <c r="V59" i="134"/>
  <c r="Y59" i="134" s="1"/>
  <c r="W58" i="134"/>
  <c r="Z58" i="134" s="1"/>
  <c r="V58" i="134"/>
  <c r="Y58" i="134" s="1"/>
  <c r="W57" i="134"/>
  <c r="Z57" i="134" s="1"/>
  <c r="V57" i="134"/>
  <c r="Y57" i="134" s="1"/>
  <c r="W56" i="134"/>
  <c r="Z56" i="134" s="1"/>
  <c r="V56" i="134"/>
  <c r="Y56" i="134" s="1"/>
  <c r="W55" i="134"/>
  <c r="Z55" i="134" s="1"/>
  <c r="V55" i="134"/>
  <c r="Y55" i="134" s="1"/>
  <c r="W54" i="134"/>
  <c r="Z54" i="134" s="1"/>
  <c r="V54" i="134"/>
  <c r="Y54" i="134" s="1"/>
  <c r="W53" i="134"/>
  <c r="Z53" i="134" s="1"/>
  <c r="V53" i="134"/>
  <c r="Y53" i="134" s="1"/>
  <c r="W52" i="134"/>
  <c r="Z52" i="134" s="1"/>
  <c r="V52" i="134"/>
  <c r="Y52" i="134" s="1"/>
  <c r="W51" i="134"/>
  <c r="Z51" i="134" s="1"/>
  <c r="V51" i="134"/>
  <c r="Y51" i="134" s="1"/>
  <c r="W50" i="134"/>
  <c r="Z50" i="134" s="1"/>
  <c r="V50" i="134"/>
  <c r="Y50" i="134" s="1"/>
  <c r="W49" i="134"/>
  <c r="Z49" i="134" s="1"/>
  <c r="V49" i="134"/>
  <c r="Y49" i="134" s="1"/>
  <c r="W48" i="134"/>
  <c r="Z48" i="134" s="1"/>
  <c r="V48" i="134"/>
  <c r="Y48" i="134" s="1"/>
  <c r="W47" i="134"/>
  <c r="Z47" i="134" s="1"/>
  <c r="V47" i="134"/>
  <c r="Y47" i="134" s="1"/>
  <c r="W46" i="134"/>
  <c r="Z46" i="134" s="1"/>
  <c r="V46" i="134"/>
  <c r="Y46" i="134" s="1"/>
  <c r="W45" i="134"/>
  <c r="Z45" i="134" s="1"/>
  <c r="V45" i="134"/>
  <c r="Y45" i="134" s="1"/>
  <c r="W44" i="134"/>
  <c r="Z44" i="134" s="1"/>
  <c r="V44" i="134"/>
  <c r="Y44" i="134" s="1"/>
  <c r="W43" i="134"/>
  <c r="V43" i="134"/>
  <c r="W41" i="134"/>
  <c r="Z41" i="134" s="1"/>
  <c r="V41" i="134"/>
  <c r="Y41" i="134" s="1"/>
  <c r="W40" i="134"/>
  <c r="Z40" i="134" s="1"/>
  <c r="V40" i="134"/>
  <c r="Y40" i="134" s="1"/>
  <c r="W39" i="134"/>
  <c r="Z39" i="134" s="1"/>
  <c r="V39" i="134"/>
  <c r="Y39" i="134" s="1"/>
  <c r="W38" i="134"/>
  <c r="Z38" i="134" s="1"/>
  <c r="V38" i="134"/>
  <c r="Y38" i="134" s="1"/>
  <c r="W37" i="134"/>
  <c r="Z37" i="134" s="1"/>
  <c r="V37" i="134"/>
  <c r="Y37" i="134" s="1"/>
  <c r="W36" i="134"/>
  <c r="Z36" i="134" s="1"/>
  <c r="V36" i="134"/>
  <c r="Y36" i="134" s="1"/>
  <c r="W35" i="134"/>
  <c r="Z35" i="134" s="1"/>
  <c r="V35" i="134"/>
  <c r="Y35" i="134" s="1"/>
  <c r="W34" i="134"/>
  <c r="Z34" i="134" s="1"/>
  <c r="V34" i="134"/>
  <c r="Y34" i="134" s="1"/>
  <c r="W33" i="134"/>
  <c r="Z33" i="134" s="1"/>
  <c r="V33" i="134"/>
  <c r="Y33" i="134" s="1"/>
  <c r="W32" i="134"/>
  <c r="Z32" i="134" s="1"/>
  <c r="V32" i="134"/>
  <c r="Y32" i="134" s="1"/>
  <c r="W31" i="134"/>
  <c r="Z31" i="134" s="1"/>
  <c r="V31" i="134"/>
  <c r="Y31" i="134" s="1"/>
  <c r="W30" i="134"/>
  <c r="Z30" i="134" s="1"/>
  <c r="V30" i="134"/>
  <c r="Y30" i="134" s="1"/>
  <c r="W29" i="134"/>
  <c r="Z29" i="134" s="1"/>
  <c r="V29" i="134"/>
  <c r="Y29" i="134" s="1"/>
  <c r="W28" i="134"/>
  <c r="Z28" i="134" s="1"/>
  <c r="V28" i="134"/>
  <c r="Y28" i="134" s="1"/>
  <c r="W27" i="134"/>
  <c r="Z27" i="134" s="1"/>
  <c r="V27" i="134"/>
  <c r="Y27" i="134" s="1"/>
  <c r="W26" i="134"/>
  <c r="Z26" i="134" s="1"/>
  <c r="V26" i="134"/>
  <c r="Y26" i="134" s="1"/>
  <c r="W25" i="134"/>
  <c r="Z25" i="134" s="1"/>
  <c r="V25" i="134"/>
  <c r="Y25" i="134" s="1"/>
  <c r="W24" i="134"/>
  <c r="Z24" i="134" s="1"/>
  <c r="V24" i="134"/>
  <c r="Y24" i="134" s="1"/>
  <c r="W23" i="134"/>
  <c r="Z23" i="134" s="1"/>
  <c r="V23" i="134"/>
  <c r="Y23" i="134" s="1"/>
  <c r="W22" i="134"/>
  <c r="Z22" i="134" s="1"/>
  <c r="V22" i="134"/>
  <c r="Y22" i="134" s="1"/>
  <c r="AB97" i="134"/>
  <c r="AB96" i="134"/>
  <c r="AB95" i="134"/>
  <c r="AB94" i="134"/>
  <c r="AB93" i="134"/>
  <c r="AB92" i="134"/>
  <c r="AB91" i="134"/>
  <c r="AB90" i="134"/>
  <c r="AB89" i="134"/>
  <c r="AB88" i="134"/>
  <c r="AB87" i="134"/>
  <c r="AB86" i="134"/>
  <c r="AB85" i="134"/>
  <c r="AB84" i="134"/>
  <c r="AB83" i="134"/>
  <c r="AB82" i="134"/>
  <c r="AB81" i="134"/>
  <c r="AB80" i="134"/>
  <c r="AB79" i="134"/>
  <c r="AB78" i="134"/>
  <c r="X74" i="134"/>
  <c r="X73" i="134"/>
  <c r="X72" i="134"/>
  <c r="X71" i="134"/>
  <c r="X70" i="134"/>
  <c r="X68" i="134"/>
  <c r="X67" i="134"/>
  <c r="X66" i="134"/>
  <c r="X65" i="134"/>
  <c r="X64" i="134"/>
  <c r="X62" i="134"/>
  <c r="X61" i="134"/>
  <c r="X60" i="134"/>
  <c r="X59" i="134"/>
  <c r="X58" i="134"/>
  <c r="X57" i="134"/>
  <c r="X56" i="134"/>
  <c r="X55" i="134"/>
  <c r="X54" i="134"/>
  <c r="X53" i="134"/>
  <c r="X52" i="134"/>
  <c r="X51" i="134"/>
  <c r="X50" i="134"/>
  <c r="X49" i="134"/>
  <c r="X48" i="134"/>
  <c r="X47" i="134"/>
  <c r="X46" i="134"/>
  <c r="X45" i="134"/>
  <c r="X44" i="134"/>
  <c r="X43" i="134"/>
  <c r="X41" i="134"/>
  <c r="X40" i="134"/>
  <c r="X39" i="134"/>
  <c r="X38" i="134"/>
  <c r="X37" i="134"/>
  <c r="X36" i="134"/>
  <c r="X35" i="134"/>
  <c r="X34" i="134"/>
  <c r="X33" i="134"/>
  <c r="X32" i="134"/>
  <c r="X31" i="134"/>
  <c r="X30" i="134"/>
  <c r="X29" i="134"/>
  <c r="X28" i="134"/>
  <c r="X27" i="134"/>
  <c r="X26" i="134"/>
  <c r="X25" i="134"/>
  <c r="X24" i="134"/>
  <c r="X23" i="134"/>
  <c r="X22" i="134"/>
  <c r="U12" i="134"/>
  <c r="V12" i="134"/>
  <c r="W12" i="134"/>
  <c r="X12" i="134"/>
  <c r="U13" i="134"/>
  <c r="V13" i="134"/>
  <c r="Y13" i="134" s="1"/>
  <c r="W13" i="134"/>
  <c r="Z13" i="134" s="1"/>
  <c r="X13" i="134"/>
  <c r="J14" i="134"/>
  <c r="U14" i="134"/>
  <c r="V14" i="134"/>
  <c r="Y14" i="134" s="1"/>
  <c r="W14" i="134"/>
  <c r="Z14" i="134" s="1"/>
  <c r="X14" i="134"/>
  <c r="U15" i="134"/>
  <c r="V15" i="134"/>
  <c r="Y15" i="134" s="1"/>
  <c r="W15" i="134"/>
  <c r="Z15" i="134" s="1"/>
  <c r="X15" i="134"/>
  <c r="U16" i="134"/>
  <c r="V16" i="134"/>
  <c r="Y16" i="134" s="1"/>
  <c r="W16" i="134"/>
  <c r="Z16" i="134" s="1"/>
  <c r="X16" i="134"/>
  <c r="U17" i="134"/>
  <c r="V17" i="134"/>
  <c r="Y17" i="134" s="1"/>
  <c r="W17" i="134"/>
  <c r="Z17" i="134" s="1"/>
  <c r="X17" i="134"/>
  <c r="U18" i="134"/>
  <c r="V18" i="134"/>
  <c r="Y18" i="134" s="1"/>
  <c r="W18" i="134"/>
  <c r="Z18" i="134" s="1"/>
  <c r="X18" i="134"/>
  <c r="U19" i="134"/>
  <c r="V19" i="134"/>
  <c r="Y19" i="134" s="1"/>
  <c r="W19" i="134"/>
  <c r="Z19" i="134" s="1"/>
  <c r="X19" i="134"/>
  <c r="U20" i="134"/>
  <c r="V20" i="134"/>
  <c r="Y20" i="134" s="1"/>
  <c r="W20" i="134"/>
  <c r="Z20" i="134" s="1"/>
  <c r="X20" i="134"/>
  <c r="U21" i="134"/>
  <c r="V21" i="134"/>
  <c r="Y21" i="134" s="1"/>
  <c r="W21" i="134"/>
  <c r="Z21" i="134" s="1"/>
  <c r="X21" i="134"/>
  <c r="J46" i="134"/>
  <c r="D46" i="134"/>
  <c r="J57" i="134"/>
  <c r="D57" i="134"/>
  <c r="F57" i="134" s="1"/>
  <c r="J52" i="134"/>
  <c r="F52" i="134"/>
  <c r="D52" i="134"/>
  <c r="J22" i="134"/>
  <c r="J30" i="134"/>
  <c r="J38" i="134"/>
  <c r="D47" i="134"/>
  <c r="F47" i="134" s="1"/>
  <c r="D48" i="134"/>
  <c r="F48" i="134" s="1"/>
  <c r="D49" i="134"/>
  <c r="F49" i="134" s="1"/>
  <c r="D50" i="134"/>
  <c r="F50" i="134" s="1"/>
  <c r="D53" i="134"/>
  <c r="F53" i="134"/>
  <c r="D54" i="134"/>
  <c r="F54" i="134"/>
  <c r="D55" i="134"/>
  <c r="F55" i="134"/>
  <c r="D56" i="134"/>
  <c r="F56" i="134"/>
  <c r="D58" i="134"/>
  <c r="F58" i="134" s="1"/>
  <c r="F60" i="134"/>
  <c r="G60" i="134" s="1"/>
  <c r="L60" i="134" s="1"/>
  <c r="T98" i="134"/>
  <c r="G86" i="134" s="1"/>
  <c r="H81" i="134" s="1"/>
  <c r="Y78" i="134"/>
  <c r="Y98" i="134" s="1"/>
  <c r="AA97" i="133"/>
  <c r="AA96" i="133"/>
  <c r="AA95" i="133"/>
  <c r="AA94" i="133"/>
  <c r="AA93" i="133"/>
  <c r="AA92" i="133"/>
  <c r="AA91" i="133"/>
  <c r="AA90" i="133"/>
  <c r="AA89" i="133"/>
  <c r="AA88" i="133"/>
  <c r="AA87" i="133"/>
  <c r="AA86" i="133"/>
  <c r="AA85" i="133"/>
  <c r="AA84" i="133"/>
  <c r="AA83" i="133"/>
  <c r="AA82" i="133"/>
  <c r="AA81" i="133"/>
  <c r="AA80" i="133"/>
  <c r="AA79" i="133"/>
  <c r="AA78" i="133"/>
  <c r="U74" i="133"/>
  <c r="U73" i="133"/>
  <c r="U72" i="133"/>
  <c r="U71" i="133"/>
  <c r="U70" i="133"/>
  <c r="U68" i="133"/>
  <c r="U67" i="133"/>
  <c r="U66" i="133"/>
  <c r="U65" i="133"/>
  <c r="U64" i="133"/>
  <c r="U62" i="133"/>
  <c r="U61" i="133"/>
  <c r="U60" i="133"/>
  <c r="U59" i="133"/>
  <c r="U58" i="133"/>
  <c r="U57" i="133"/>
  <c r="U56" i="133"/>
  <c r="U55" i="133"/>
  <c r="U54" i="133"/>
  <c r="U53" i="133"/>
  <c r="U52" i="133"/>
  <c r="U51" i="133"/>
  <c r="U50" i="133"/>
  <c r="U49" i="133"/>
  <c r="U48" i="133"/>
  <c r="U47" i="133"/>
  <c r="U46" i="133"/>
  <c r="U45" i="133"/>
  <c r="U44" i="133"/>
  <c r="U43" i="133"/>
  <c r="U41" i="133"/>
  <c r="U40" i="133"/>
  <c r="U39" i="133"/>
  <c r="U38" i="133"/>
  <c r="U37" i="133"/>
  <c r="U36" i="133"/>
  <c r="U35" i="133"/>
  <c r="U34" i="133"/>
  <c r="U33" i="133"/>
  <c r="U32" i="133"/>
  <c r="U31" i="133"/>
  <c r="U30" i="133"/>
  <c r="U29" i="133"/>
  <c r="U28" i="133"/>
  <c r="U27" i="133"/>
  <c r="U26" i="133"/>
  <c r="U25" i="133"/>
  <c r="U24" i="133"/>
  <c r="U23" i="133"/>
  <c r="U22" i="133"/>
  <c r="W74" i="133"/>
  <c r="Z74" i="133" s="1"/>
  <c r="V74" i="133"/>
  <c r="Y74" i="133" s="1"/>
  <c r="W73" i="133"/>
  <c r="Z73" i="133" s="1"/>
  <c r="V73" i="133"/>
  <c r="Y73" i="133" s="1"/>
  <c r="W72" i="133"/>
  <c r="Z72" i="133" s="1"/>
  <c r="V72" i="133"/>
  <c r="Y72" i="133" s="1"/>
  <c r="W71" i="133"/>
  <c r="Z71" i="133" s="1"/>
  <c r="V71" i="133"/>
  <c r="Y71" i="133" s="1"/>
  <c r="W70" i="133"/>
  <c r="V70" i="133"/>
  <c r="W68" i="133"/>
  <c r="Z68" i="133" s="1"/>
  <c r="V68" i="133"/>
  <c r="Y68" i="133" s="1"/>
  <c r="W67" i="133"/>
  <c r="Z67" i="133" s="1"/>
  <c r="V67" i="133"/>
  <c r="Y67" i="133" s="1"/>
  <c r="W66" i="133"/>
  <c r="Z66" i="133" s="1"/>
  <c r="V66" i="133"/>
  <c r="Y66" i="133" s="1"/>
  <c r="W65" i="133"/>
  <c r="Z65" i="133" s="1"/>
  <c r="V65" i="133"/>
  <c r="Y65" i="133" s="1"/>
  <c r="W64" i="133"/>
  <c r="V64" i="133"/>
  <c r="W62" i="133"/>
  <c r="Z62" i="133" s="1"/>
  <c r="V62" i="133"/>
  <c r="Y62" i="133" s="1"/>
  <c r="W61" i="133"/>
  <c r="Z61" i="133" s="1"/>
  <c r="V61" i="133"/>
  <c r="Y61" i="133" s="1"/>
  <c r="W60" i="133"/>
  <c r="Z60" i="133" s="1"/>
  <c r="V60" i="133"/>
  <c r="Y60" i="133" s="1"/>
  <c r="W59" i="133"/>
  <c r="Z59" i="133" s="1"/>
  <c r="V59" i="133"/>
  <c r="Y59" i="133" s="1"/>
  <c r="W58" i="133"/>
  <c r="Z58" i="133" s="1"/>
  <c r="V58" i="133"/>
  <c r="Y58" i="133" s="1"/>
  <c r="W57" i="133"/>
  <c r="Z57" i="133" s="1"/>
  <c r="V57" i="133"/>
  <c r="Y57" i="133" s="1"/>
  <c r="W56" i="133"/>
  <c r="Z56" i="133" s="1"/>
  <c r="V56" i="133"/>
  <c r="Y56" i="133" s="1"/>
  <c r="W55" i="133"/>
  <c r="Z55" i="133" s="1"/>
  <c r="V55" i="133"/>
  <c r="Y55" i="133" s="1"/>
  <c r="W54" i="133"/>
  <c r="Z54" i="133" s="1"/>
  <c r="V54" i="133"/>
  <c r="Y54" i="133" s="1"/>
  <c r="W53" i="133"/>
  <c r="Z53" i="133" s="1"/>
  <c r="V53" i="133"/>
  <c r="Y53" i="133" s="1"/>
  <c r="W52" i="133"/>
  <c r="Z52" i="133" s="1"/>
  <c r="V52" i="133"/>
  <c r="Y52" i="133" s="1"/>
  <c r="W51" i="133"/>
  <c r="Z51" i="133" s="1"/>
  <c r="V51" i="133"/>
  <c r="Y51" i="133" s="1"/>
  <c r="W50" i="133"/>
  <c r="Z50" i="133" s="1"/>
  <c r="V50" i="133"/>
  <c r="Y50" i="133" s="1"/>
  <c r="W49" i="133"/>
  <c r="Z49" i="133" s="1"/>
  <c r="V49" i="133"/>
  <c r="Y49" i="133" s="1"/>
  <c r="W48" i="133"/>
  <c r="Z48" i="133" s="1"/>
  <c r="V48" i="133"/>
  <c r="Y48" i="133" s="1"/>
  <c r="W47" i="133"/>
  <c r="Z47" i="133" s="1"/>
  <c r="V47" i="133"/>
  <c r="Y47" i="133" s="1"/>
  <c r="W46" i="133"/>
  <c r="Z46" i="133" s="1"/>
  <c r="V46" i="133"/>
  <c r="Y46" i="133" s="1"/>
  <c r="W45" i="133"/>
  <c r="Z45" i="133" s="1"/>
  <c r="V45" i="133"/>
  <c r="Y45" i="133" s="1"/>
  <c r="W44" i="133"/>
  <c r="Z44" i="133" s="1"/>
  <c r="V44" i="133"/>
  <c r="Y44" i="133" s="1"/>
  <c r="W43" i="133"/>
  <c r="V43" i="133"/>
  <c r="W41" i="133"/>
  <c r="Z41" i="133" s="1"/>
  <c r="V41" i="133"/>
  <c r="Y41" i="133" s="1"/>
  <c r="W40" i="133"/>
  <c r="Z40" i="133" s="1"/>
  <c r="V40" i="133"/>
  <c r="Y40" i="133" s="1"/>
  <c r="W39" i="133"/>
  <c r="Z39" i="133" s="1"/>
  <c r="V39" i="133"/>
  <c r="Y39" i="133" s="1"/>
  <c r="W38" i="133"/>
  <c r="Z38" i="133" s="1"/>
  <c r="V38" i="133"/>
  <c r="Y38" i="133" s="1"/>
  <c r="W37" i="133"/>
  <c r="Z37" i="133" s="1"/>
  <c r="V37" i="133"/>
  <c r="Y37" i="133" s="1"/>
  <c r="W36" i="133"/>
  <c r="Z36" i="133" s="1"/>
  <c r="V36" i="133"/>
  <c r="Y36" i="133" s="1"/>
  <c r="W35" i="133"/>
  <c r="Z35" i="133" s="1"/>
  <c r="V35" i="133"/>
  <c r="Y35" i="133" s="1"/>
  <c r="W34" i="133"/>
  <c r="Z34" i="133" s="1"/>
  <c r="V34" i="133"/>
  <c r="Y34" i="133" s="1"/>
  <c r="W33" i="133"/>
  <c r="Z33" i="133" s="1"/>
  <c r="V33" i="133"/>
  <c r="Y33" i="133" s="1"/>
  <c r="W32" i="133"/>
  <c r="Z32" i="133" s="1"/>
  <c r="V32" i="133"/>
  <c r="Y32" i="133" s="1"/>
  <c r="W31" i="133"/>
  <c r="Z31" i="133" s="1"/>
  <c r="V31" i="133"/>
  <c r="Y31" i="133" s="1"/>
  <c r="W30" i="133"/>
  <c r="Z30" i="133" s="1"/>
  <c r="V30" i="133"/>
  <c r="Y30" i="133" s="1"/>
  <c r="W29" i="133"/>
  <c r="Z29" i="133" s="1"/>
  <c r="V29" i="133"/>
  <c r="Y29" i="133" s="1"/>
  <c r="W28" i="133"/>
  <c r="Z28" i="133" s="1"/>
  <c r="V28" i="133"/>
  <c r="Y28" i="133" s="1"/>
  <c r="W27" i="133"/>
  <c r="Z27" i="133" s="1"/>
  <c r="V27" i="133"/>
  <c r="Y27" i="133" s="1"/>
  <c r="W26" i="133"/>
  <c r="Z26" i="133" s="1"/>
  <c r="V26" i="133"/>
  <c r="Y26" i="133" s="1"/>
  <c r="W25" i="133"/>
  <c r="Z25" i="133" s="1"/>
  <c r="V25" i="133"/>
  <c r="Y25" i="133" s="1"/>
  <c r="W24" i="133"/>
  <c r="Z24" i="133" s="1"/>
  <c r="V24" i="133"/>
  <c r="Y24" i="133" s="1"/>
  <c r="W23" i="133"/>
  <c r="Z23" i="133" s="1"/>
  <c r="V23" i="133"/>
  <c r="Y23" i="133" s="1"/>
  <c r="W22" i="133"/>
  <c r="Z22" i="133" s="1"/>
  <c r="V22" i="133"/>
  <c r="Y22" i="133" s="1"/>
  <c r="AB97" i="133"/>
  <c r="AB96" i="133"/>
  <c r="AB95" i="133"/>
  <c r="AB94" i="133"/>
  <c r="AB93" i="133"/>
  <c r="AB92" i="133"/>
  <c r="AB91" i="133"/>
  <c r="AB90" i="133"/>
  <c r="AB89" i="133"/>
  <c r="AB88" i="133"/>
  <c r="AB87" i="133"/>
  <c r="AB86" i="133"/>
  <c r="AB85" i="133"/>
  <c r="AB84" i="133"/>
  <c r="AB83" i="133"/>
  <c r="AB82" i="133"/>
  <c r="AB81" i="133"/>
  <c r="AB80" i="133"/>
  <c r="AB79" i="133"/>
  <c r="AB78" i="133"/>
  <c r="X74" i="133"/>
  <c r="X73" i="133"/>
  <c r="X72" i="133"/>
  <c r="X71" i="133"/>
  <c r="X70" i="133"/>
  <c r="X68" i="133"/>
  <c r="X67" i="133"/>
  <c r="X66" i="133"/>
  <c r="X65" i="133"/>
  <c r="X64" i="133"/>
  <c r="X62" i="133"/>
  <c r="X61" i="133"/>
  <c r="X60" i="133"/>
  <c r="X59" i="133"/>
  <c r="X58" i="133"/>
  <c r="X57" i="133"/>
  <c r="X56" i="133"/>
  <c r="X55" i="133"/>
  <c r="X54" i="133"/>
  <c r="X53" i="133"/>
  <c r="X52" i="133"/>
  <c r="X51" i="133"/>
  <c r="X50" i="133"/>
  <c r="X49" i="133"/>
  <c r="X48" i="133"/>
  <c r="X47" i="133"/>
  <c r="X46" i="133"/>
  <c r="X45" i="133"/>
  <c r="X44" i="133"/>
  <c r="X43" i="133"/>
  <c r="X41" i="133"/>
  <c r="X40" i="133"/>
  <c r="X39" i="133"/>
  <c r="X38" i="133"/>
  <c r="X37" i="133"/>
  <c r="X36" i="133"/>
  <c r="X35" i="133"/>
  <c r="X34" i="133"/>
  <c r="X33" i="133"/>
  <c r="X32" i="133"/>
  <c r="X31" i="133"/>
  <c r="X30" i="133"/>
  <c r="X29" i="133"/>
  <c r="X28" i="133"/>
  <c r="X27" i="133"/>
  <c r="X26" i="133"/>
  <c r="X25" i="133"/>
  <c r="X24" i="133"/>
  <c r="X23" i="133"/>
  <c r="X22" i="133"/>
  <c r="U12" i="133"/>
  <c r="V12" i="133"/>
  <c r="W12" i="133"/>
  <c r="X12" i="133"/>
  <c r="U13" i="133"/>
  <c r="V13" i="133"/>
  <c r="Y13" i="133" s="1"/>
  <c r="W13" i="133"/>
  <c r="Z13" i="133" s="1"/>
  <c r="X13" i="133"/>
  <c r="J14" i="133"/>
  <c r="U14" i="133"/>
  <c r="V14" i="133"/>
  <c r="Y14" i="133" s="1"/>
  <c r="W14" i="133"/>
  <c r="Z14" i="133" s="1"/>
  <c r="X14" i="133"/>
  <c r="U15" i="133"/>
  <c r="V15" i="133"/>
  <c r="Y15" i="133" s="1"/>
  <c r="W15" i="133"/>
  <c r="Z15" i="133" s="1"/>
  <c r="X15" i="133"/>
  <c r="U16" i="133"/>
  <c r="V16" i="133"/>
  <c r="Y16" i="133" s="1"/>
  <c r="W16" i="133"/>
  <c r="Z16" i="133" s="1"/>
  <c r="X16" i="133"/>
  <c r="U17" i="133"/>
  <c r="V17" i="133"/>
  <c r="Y17" i="133" s="1"/>
  <c r="W17" i="133"/>
  <c r="Z17" i="133" s="1"/>
  <c r="X17" i="133"/>
  <c r="U18" i="133"/>
  <c r="V18" i="133"/>
  <c r="Y18" i="133" s="1"/>
  <c r="W18" i="133"/>
  <c r="Z18" i="133" s="1"/>
  <c r="X18" i="133"/>
  <c r="U19" i="133"/>
  <c r="V19" i="133"/>
  <c r="Y19" i="133" s="1"/>
  <c r="W19" i="133"/>
  <c r="Z19" i="133" s="1"/>
  <c r="X19" i="133"/>
  <c r="U20" i="133"/>
  <c r="V20" i="133"/>
  <c r="Y20" i="133" s="1"/>
  <c r="W20" i="133"/>
  <c r="Z20" i="133" s="1"/>
  <c r="X20" i="133"/>
  <c r="U21" i="133"/>
  <c r="V21" i="133"/>
  <c r="Y21" i="133" s="1"/>
  <c r="W21" i="133"/>
  <c r="Z21" i="133" s="1"/>
  <c r="X21" i="133"/>
  <c r="J46" i="133"/>
  <c r="D46" i="133"/>
  <c r="J57" i="133"/>
  <c r="D57" i="133"/>
  <c r="F57" i="133" s="1"/>
  <c r="J52" i="133"/>
  <c r="F52" i="133"/>
  <c r="D52" i="133"/>
  <c r="J22" i="133"/>
  <c r="J30" i="133"/>
  <c r="J38" i="133"/>
  <c r="D47" i="133"/>
  <c r="F47" i="133" s="1"/>
  <c r="D48" i="133"/>
  <c r="F48" i="133" s="1"/>
  <c r="D49" i="133"/>
  <c r="F49" i="133" s="1"/>
  <c r="D53" i="133"/>
  <c r="F53" i="133"/>
  <c r="D54" i="133"/>
  <c r="F54" i="133"/>
  <c r="D55" i="133"/>
  <c r="F55" i="133"/>
  <c r="D56" i="133"/>
  <c r="F56" i="133"/>
  <c r="D58" i="133"/>
  <c r="F58" i="133" s="1"/>
  <c r="F60" i="133"/>
  <c r="G60" i="133" s="1"/>
  <c r="L60" i="133" s="1"/>
  <c r="T78" i="133"/>
  <c r="T98" i="133" s="1"/>
  <c r="Y78" i="133"/>
  <c r="Y98" i="133" s="1"/>
  <c r="J20" i="132"/>
  <c r="AA97" i="132"/>
  <c r="AA96" i="132"/>
  <c r="AA95" i="132"/>
  <c r="AA94" i="132"/>
  <c r="AA93" i="132"/>
  <c r="AA92" i="132"/>
  <c r="AA91" i="132"/>
  <c r="AA90" i="132"/>
  <c r="AA89" i="132"/>
  <c r="AA88" i="132"/>
  <c r="AA87" i="132"/>
  <c r="AA86" i="132"/>
  <c r="AA85" i="132"/>
  <c r="AA83" i="132"/>
  <c r="AA82" i="132"/>
  <c r="AA81" i="132"/>
  <c r="AA80" i="132"/>
  <c r="AA79" i="132"/>
  <c r="AA78" i="132"/>
  <c r="U74" i="132"/>
  <c r="U73" i="132"/>
  <c r="U72" i="132"/>
  <c r="U71" i="132"/>
  <c r="U70" i="132"/>
  <c r="U68" i="132"/>
  <c r="U67" i="132"/>
  <c r="U66" i="132"/>
  <c r="U65" i="132"/>
  <c r="U64" i="132"/>
  <c r="U62" i="132"/>
  <c r="U61" i="132"/>
  <c r="U60" i="132"/>
  <c r="U59" i="132"/>
  <c r="U58" i="132"/>
  <c r="U57" i="132"/>
  <c r="U56" i="132"/>
  <c r="U55" i="132"/>
  <c r="U54" i="132"/>
  <c r="U53" i="132"/>
  <c r="U52" i="132"/>
  <c r="U51" i="132"/>
  <c r="U50" i="132"/>
  <c r="U49" i="132"/>
  <c r="U48" i="132"/>
  <c r="U47" i="132"/>
  <c r="U46" i="132"/>
  <c r="U45" i="132"/>
  <c r="U44" i="132"/>
  <c r="U43" i="132"/>
  <c r="U41" i="132"/>
  <c r="U40" i="132"/>
  <c r="U39" i="132"/>
  <c r="U38" i="132"/>
  <c r="U37" i="132"/>
  <c r="U36" i="132"/>
  <c r="U35" i="132"/>
  <c r="U34" i="132"/>
  <c r="U33" i="132"/>
  <c r="U32" i="132"/>
  <c r="U31" i="132"/>
  <c r="U30" i="132"/>
  <c r="U29" i="132"/>
  <c r="U28" i="132"/>
  <c r="U27" i="132"/>
  <c r="U26" i="132"/>
  <c r="U25" i="132"/>
  <c r="U24" i="132"/>
  <c r="U23" i="132"/>
  <c r="U22" i="132"/>
  <c r="W74" i="132"/>
  <c r="Z74" i="132" s="1"/>
  <c r="V74" i="132"/>
  <c r="Y74" i="132" s="1"/>
  <c r="W73" i="132"/>
  <c r="Z73" i="132" s="1"/>
  <c r="V73" i="132"/>
  <c r="Y73" i="132" s="1"/>
  <c r="W72" i="132"/>
  <c r="Z72" i="132" s="1"/>
  <c r="V72" i="132"/>
  <c r="Y72" i="132" s="1"/>
  <c r="W71" i="132"/>
  <c r="Z71" i="132" s="1"/>
  <c r="V71" i="132"/>
  <c r="Y71" i="132" s="1"/>
  <c r="W70" i="132"/>
  <c r="V70" i="132"/>
  <c r="W68" i="132"/>
  <c r="Z68" i="132" s="1"/>
  <c r="V68" i="132"/>
  <c r="Y68" i="132" s="1"/>
  <c r="W67" i="132"/>
  <c r="Z67" i="132" s="1"/>
  <c r="V67" i="132"/>
  <c r="Y67" i="132" s="1"/>
  <c r="W66" i="132"/>
  <c r="Z66" i="132" s="1"/>
  <c r="V66" i="132"/>
  <c r="Y66" i="132" s="1"/>
  <c r="W65" i="132"/>
  <c r="Z65" i="132" s="1"/>
  <c r="V65" i="132"/>
  <c r="Y65" i="132" s="1"/>
  <c r="W64" i="132"/>
  <c r="V64" i="132"/>
  <c r="W62" i="132"/>
  <c r="Z62" i="132" s="1"/>
  <c r="V62" i="132"/>
  <c r="Y62" i="132" s="1"/>
  <c r="W61" i="132"/>
  <c r="Z61" i="132" s="1"/>
  <c r="V61" i="132"/>
  <c r="Y61" i="132" s="1"/>
  <c r="W60" i="132"/>
  <c r="Z60" i="132" s="1"/>
  <c r="V60" i="132"/>
  <c r="Y60" i="132" s="1"/>
  <c r="W59" i="132"/>
  <c r="Z59" i="132" s="1"/>
  <c r="V59" i="132"/>
  <c r="Y59" i="132" s="1"/>
  <c r="W58" i="132"/>
  <c r="Z58" i="132" s="1"/>
  <c r="V58" i="132"/>
  <c r="Y58" i="132" s="1"/>
  <c r="W57" i="132"/>
  <c r="Z57" i="132" s="1"/>
  <c r="V57" i="132"/>
  <c r="Y57" i="132" s="1"/>
  <c r="W56" i="132"/>
  <c r="Z56" i="132" s="1"/>
  <c r="V56" i="132"/>
  <c r="Y56" i="132" s="1"/>
  <c r="W55" i="132"/>
  <c r="Z55" i="132" s="1"/>
  <c r="V55" i="132"/>
  <c r="Y55" i="132" s="1"/>
  <c r="W54" i="132"/>
  <c r="Z54" i="132" s="1"/>
  <c r="V54" i="132"/>
  <c r="Y54" i="132" s="1"/>
  <c r="W53" i="132"/>
  <c r="Z53" i="132" s="1"/>
  <c r="V53" i="132"/>
  <c r="Y53" i="132" s="1"/>
  <c r="W52" i="132"/>
  <c r="Z52" i="132" s="1"/>
  <c r="V52" i="132"/>
  <c r="Y52" i="132" s="1"/>
  <c r="W51" i="132"/>
  <c r="Z51" i="132" s="1"/>
  <c r="V51" i="132"/>
  <c r="Y51" i="132" s="1"/>
  <c r="W50" i="132"/>
  <c r="Z50" i="132" s="1"/>
  <c r="V50" i="132"/>
  <c r="Y50" i="132" s="1"/>
  <c r="W49" i="132"/>
  <c r="Z49" i="132" s="1"/>
  <c r="V49" i="132"/>
  <c r="Y49" i="132" s="1"/>
  <c r="W48" i="132"/>
  <c r="Z48" i="132" s="1"/>
  <c r="V48" i="132"/>
  <c r="Y48" i="132" s="1"/>
  <c r="W47" i="132"/>
  <c r="Z47" i="132" s="1"/>
  <c r="V47" i="132"/>
  <c r="Y47" i="132" s="1"/>
  <c r="W46" i="132"/>
  <c r="Z46" i="132" s="1"/>
  <c r="V46" i="132"/>
  <c r="Y46" i="132" s="1"/>
  <c r="W45" i="132"/>
  <c r="Z45" i="132" s="1"/>
  <c r="V45" i="132"/>
  <c r="Y45" i="132" s="1"/>
  <c r="W44" i="132"/>
  <c r="Z44" i="132" s="1"/>
  <c r="V44" i="132"/>
  <c r="Y44" i="132" s="1"/>
  <c r="W43" i="132"/>
  <c r="V43" i="132"/>
  <c r="W41" i="132"/>
  <c r="Z41" i="132" s="1"/>
  <c r="V41" i="132"/>
  <c r="Y41" i="132" s="1"/>
  <c r="W40" i="132"/>
  <c r="Z40" i="132" s="1"/>
  <c r="V40" i="132"/>
  <c r="Y40" i="132" s="1"/>
  <c r="W39" i="132"/>
  <c r="Z39" i="132" s="1"/>
  <c r="V39" i="132"/>
  <c r="Y39" i="132" s="1"/>
  <c r="W38" i="132"/>
  <c r="Z38" i="132" s="1"/>
  <c r="V38" i="132"/>
  <c r="Y38" i="132" s="1"/>
  <c r="W37" i="132"/>
  <c r="Z37" i="132" s="1"/>
  <c r="V37" i="132"/>
  <c r="Y37" i="132" s="1"/>
  <c r="W36" i="132"/>
  <c r="Z36" i="132" s="1"/>
  <c r="V36" i="132"/>
  <c r="Y36" i="132" s="1"/>
  <c r="W35" i="132"/>
  <c r="Z35" i="132" s="1"/>
  <c r="V35" i="132"/>
  <c r="Y35" i="132" s="1"/>
  <c r="W34" i="132"/>
  <c r="Z34" i="132" s="1"/>
  <c r="V34" i="132"/>
  <c r="Y34" i="132" s="1"/>
  <c r="W33" i="132"/>
  <c r="Z33" i="132" s="1"/>
  <c r="V33" i="132"/>
  <c r="Y33" i="132" s="1"/>
  <c r="W32" i="132"/>
  <c r="Z32" i="132" s="1"/>
  <c r="V32" i="132"/>
  <c r="Y32" i="132" s="1"/>
  <c r="W31" i="132"/>
  <c r="Z31" i="132" s="1"/>
  <c r="V31" i="132"/>
  <c r="Y31" i="132" s="1"/>
  <c r="W30" i="132"/>
  <c r="Z30" i="132" s="1"/>
  <c r="V30" i="132"/>
  <c r="Y30" i="132" s="1"/>
  <c r="W29" i="132"/>
  <c r="Z29" i="132" s="1"/>
  <c r="V29" i="132"/>
  <c r="Y29" i="132" s="1"/>
  <c r="W28" i="132"/>
  <c r="Z28" i="132" s="1"/>
  <c r="V28" i="132"/>
  <c r="Y28" i="132" s="1"/>
  <c r="W27" i="132"/>
  <c r="Z27" i="132" s="1"/>
  <c r="V27" i="132"/>
  <c r="Y27" i="132" s="1"/>
  <c r="W26" i="132"/>
  <c r="Z26" i="132" s="1"/>
  <c r="V26" i="132"/>
  <c r="Y26" i="132" s="1"/>
  <c r="W25" i="132"/>
  <c r="Z25" i="132" s="1"/>
  <c r="V25" i="132"/>
  <c r="Y25" i="132" s="1"/>
  <c r="W24" i="132"/>
  <c r="Z24" i="132" s="1"/>
  <c r="V24" i="132"/>
  <c r="Y24" i="132" s="1"/>
  <c r="W23" i="132"/>
  <c r="Z23" i="132" s="1"/>
  <c r="V23" i="132"/>
  <c r="Y23" i="132" s="1"/>
  <c r="W22" i="132"/>
  <c r="Z22" i="132" s="1"/>
  <c r="V22" i="132"/>
  <c r="Y22" i="132" s="1"/>
  <c r="AB97" i="132"/>
  <c r="AB96" i="132"/>
  <c r="AB95" i="132"/>
  <c r="AB94" i="132"/>
  <c r="AB93" i="132"/>
  <c r="AB92" i="132"/>
  <c r="AB91" i="132"/>
  <c r="AB90" i="132"/>
  <c r="AB89" i="132"/>
  <c r="AB88" i="132"/>
  <c r="AB87" i="132"/>
  <c r="AB86" i="132"/>
  <c r="AB85" i="132"/>
  <c r="AB84" i="132"/>
  <c r="AB83" i="132"/>
  <c r="AB82" i="132"/>
  <c r="AB81" i="132"/>
  <c r="AB80" i="132"/>
  <c r="AB79" i="132"/>
  <c r="AB78" i="132"/>
  <c r="X74" i="132"/>
  <c r="X73" i="132"/>
  <c r="X72" i="132"/>
  <c r="X71" i="132"/>
  <c r="X70" i="132"/>
  <c r="X68" i="132"/>
  <c r="X67" i="132"/>
  <c r="X66" i="132"/>
  <c r="X65" i="132"/>
  <c r="X64" i="132"/>
  <c r="X62" i="132"/>
  <c r="X61" i="132"/>
  <c r="X60" i="132"/>
  <c r="X59" i="132"/>
  <c r="X58" i="132"/>
  <c r="X57" i="132"/>
  <c r="X56" i="132"/>
  <c r="X55" i="132"/>
  <c r="X54" i="132"/>
  <c r="X53" i="132"/>
  <c r="X52" i="132"/>
  <c r="X51" i="132"/>
  <c r="X50" i="132"/>
  <c r="X49" i="132"/>
  <c r="X48" i="132"/>
  <c r="X47" i="132"/>
  <c r="X46" i="132"/>
  <c r="X45" i="132"/>
  <c r="X44" i="132"/>
  <c r="X43" i="132"/>
  <c r="X41" i="132"/>
  <c r="X40" i="132"/>
  <c r="X39" i="132"/>
  <c r="X38" i="132"/>
  <c r="X37" i="132"/>
  <c r="X36" i="132"/>
  <c r="X35" i="132"/>
  <c r="X34" i="132"/>
  <c r="X33" i="132"/>
  <c r="X32" i="132"/>
  <c r="X31" i="132"/>
  <c r="X30" i="132"/>
  <c r="X29" i="132"/>
  <c r="X28" i="132"/>
  <c r="X27" i="132"/>
  <c r="X26" i="132"/>
  <c r="X25" i="132"/>
  <c r="X24" i="132"/>
  <c r="X23" i="132"/>
  <c r="X22" i="132"/>
  <c r="U12" i="132"/>
  <c r="V12" i="132"/>
  <c r="W12" i="132"/>
  <c r="X12" i="132"/>
  <c r="U13" i="132"/>
  <c r="V13" i="132"/>
  <c r="Y13" i="132" s="1"/>
  <c r="W13" i="132"/>
  <c r="Z13" i="132" s="1"/>
  <c r="X13" i="132"/>
  <c r="J14" i="132"/>
  <c r="U14" i="132"/>
  <c r="V14" i="132"/>
  <c r="Y14" i="132" s="1"/>
  <c r="W14" i="132"/>
  <c r="Z14" i="132" s="1"/>
  <c r="X14" i="132"/>
  <c r="U15" i="132"/>
  <c r="V15" i="132"/>
  <c r="Y15" i="132" s="1"/>
  <c r="W15" i="132"/>
  <c r="Z15" i="132" s="1"/>
  <c r="X15" i="132"/>
  <c r="U16" i="132"/>
  <c r="V16" i="132"/>
  <c r="Y16" i="132" s="1"/>
  <c r="W16" i="132"/>
  <c r="Z16" i="132" s="1"/>
  <c r="X16" i="132"/>
  <c r="U17" i="132"/>
  <c r="V17" i="132"/>
  <c r="Y17" i="132" s="1"/>
  <c r="W17" i="132"/>
  <c r="Z17" i="132" s="1"/>
  <c r="X17" i="132"/>
  <c r="U18" i="132"/>
  <c r="V18" i="132"/>
  <c r="Y18" i="132" s="1"/>
  <c r="W18" i="132"/>
  <c r="Z18" i="132" s="1"/>
  <c r="X18" i="132"/>
  <c r="U19" i="132"/>
  <c r="V19" i="132"/>
  <c r="Y19" i="132" s="1"/>
  <c r="W19" i="132"/>
  <c r="Z19" i="132" s="1"/>
  <c r="X19" i="132"/>
  <c r="U20" i="132"/>
  <c r="V20" i="132"/>
  <c r="Y20" i="132" s="1"/>
  <c r="W20" i="132"/>
  <c r="Z20" i="132" s="1"/>
  <c r="X20" i="132"/>
  <c r="U21" i="132"/>
  <c r="V21" i="132"/>
  <c r="Y21" i="132" s="1"/>
  <c r="W21" i="132"/>
  <c r="Z21" i="132" s="1"/>
  <c r="X21" i="132"/>
  <c r="J46" i="132"/>
  <c r="D46" i="132"/>
  <c r="J57" i="132"/>
  <c r="D57" i="132"/>
  <c r="F57" i="132" s="1"/>
  <c r="J52" i="132"/>
  <c r="F52" i="132"/>
  <c r="G52" i="132" s="1"/>
  <c r="L52" i="132" s="1"/>
  <c r="J22" i="132"/>
  <c r="J30" i="132"/>
  <c r="J38" i="132"/>
  <c r="D47" i="132"/>
  <c r="F47" i="132" s="1"/>
  <c r="D48" i="132"/>
  <c r="F48" i="132" s="1"/>
  <c r="D49" i="132"/>
  <c r="F49" i="132" s="1"/>
  <c r="D50" i="132"/>
  <c r="F50" i="132" s="1"/>
  <c r="D53" i="132"/>
  <c r="F53" i="132"/>
  <c r="D54" i="132"/>
  <c r="F54" i="132"/>
  <c r="G54" i="132" s="1"/>
  <c r="D55" i="132"/>
  <c r="F55" i="132"/>
  <c r="G55" i="132" s="1"/>
  <c r="D56" i="132"/>
  <c r="F56" i="132"/>
  <c r="D58" i="132"/>
  <c r="F58" i="132" s="1"/>
  <c r="F60" i="132"/>
  <c r="G60" i="132" s="1"/>
  <c r="L60" i="132" s="1"/>
  <c r="T78" i="132"/>
  <c r="T98" i="132" s="1"/>
  <c r="G86" i="132" s="1"/>
  <c r="H81" i="132" s="1"/>
  <c r="Y78" i="132"/>
  <c r="Y98" i="132" s="1"/>
  <c r="J20" i="131"/>
  <c r="AA97" i="131"/>
  <c r="AA96" i="131"/>
  <c r="AA95" i="131"/>
  <c r="AA94" i="131"/>
  <c r="AA93" i="131"/>
  <c r="AA92" i="131"/>
  <c r="AA91" i="131"/>
  <c r="AA90" i="131"/>
  <c r="AA89" i="131"/>
  <c r="AA88" i="131"/>
  <c r="AA87" i="131"/>
  <c r="AA86" i="131"/>
  <c r="AA85" i="131"/>
  <c r="AA84" i="131"/>
  <c r="AA83" i="131"/>
  <c r="AA82" i="131"/>
  <c r="AA81" i="131"/>
  <c r="AA80" i="131"/>
  <c r="AA79" i="131"/>
  <c r="AA78" i="131"/>
  <c r="U74" i="131"/>
  <c r="U73" i="131"/>
  <c r="U72" i="131"/>
  <c r="U71" i="131"/>
  <c r="U70" i="131"/>
  <c r="U68" i="131"/>
  <c r="U67" i="131"/>
  <c r="U66" i="131"/>
  <c r="U65" i="131"/>
  <c r="U64" i="131"/>
  <c r="U62" i="131"/>
  <c r="U61" i="131"/>
  <c r="U60" i="131"/>
  <c r="U59" i="131"/>
  <c r="U58" i="131"/>
  <c r="U57" i="131"/>
  <c r="U56" i="131"/>
  <c r="U55" i="131"/>
  <c r="U54" i="131"/>
  <c r="U53" i="131"/>
  <c r="U52" i="131"/>
  <c r="U51" i="131"/>
  <c r="U50" i="131"/>
  <c r="U49" i="131"/>
  <c r="U48" i="131"/>
  <c r="U47" i="131"/>
  <c r="U46" i="131"/>
  <c r="U45" i="131"/>
  <c r="U44" i="131"/>
  <c r="U43" i="131"/>
  <c r="U41" i="131"/>
  <c r="U40" i="131"/>
  <c r="U39" i="131"/>
  <c r="U38" i="131"/>
  <c r="U37" i="131"/>
  <c r="U36" i="131"/>
  <c r="U35" i="131"/>
  <c r="U34" i="131"/>
  <c r="U33" i="131"/>
  <c r="U32" i="131"/>
  <c r="U31" i="131"/>
  <c r="U30" i="131"/>
  <c r="U29" i="131"/>
  <c r="U28" i="131"/>
  <c r="U27" i="131"/>
  <c r="U26" i="131"/>
  <c r="U25" i="131"/>
  <c r="U24" i="131"/>
  <c r="U23" i="131"/>
  <c r="U22" i="131"/>
  <c r="W74" i="131"/>
  <c r="Z74" i="131" s="1"/>
  <c r="V74" i="131"/>
  <c r="Y74" i="131" s="1"/>
  <c r="W73" i="131"/>
  <c r="Z73" i="131" s="1"/>
  <c r="V73" i="131"/>
  <c r="Y73" i="131" s="1"/>
  <c r="W72" i="131"/>
  <c r="Z72" i="131" s="1"/>
  <c r="V72" i="131"/>
  <c r="Y72" i="131" s="1"/>
  <c r="W71" i="131"/>
  <c r="Z71" i="131" s="1"/>
  <c r="V71" i="131"/>
  <c r="Y71" i="131" s="1"/>
  <c r="W70" i="131"/>
  <c r="V70" i="131"/>
  <c r="W68" i="131"/>
  <c r="Z68" i="131" s="1"/>
  <c r="V68" i="131"/>
  <c r="Y68" i="131" s="1"/>
  <c r="W67" i="131"/>
  <c r="Z67" i="131" s="1"/>
  <c r="V67" i="131"/>
  <c r="Y67" i="131" s="1"/>
  <c r="W66" i="131"/>
  <c r="Z66" i="131" s="1"/>
  <c r="V66" i="131"/>
  <c r="Y66" i="131" s="1"/>
  <c r="W65" i="131"/>
  <c r="Z65" i="131" s="1"/>
  <c r="V65" i="131"/>
  <c r="Y65" i="131" s="1"/>
  <c r="W64" i="131"/>
  <c r="V64" i="131"/>
  <c r="W62" i="131"/>
  <c r="Z62" i="131" s="1"/>
  <c r="V62" i="131"/>
  <c r="Y62" i="131" s="1"/>
  <c r="W61" i="131"/>
  <c r="Z61" i="131" s="1"/>
  <c r="V61" i="131"/>
  <c r="Y61" i="131" s="1"/>
  <c r="W60" i="131"/>
  <c r="Z60" i="131" s="1"/>
  <c r="V60" i="131"/>
  <c r="Y60" i="131" s="1"/>
  <c r="W59" i="131"/>
  <c r="Z59" i="131" s="1"/>
  <c r="V59" i="131"/>
  <c r="Y59" i="131" s="1"/>
  <c r="W58" i="131"/>
  <c r="Z58" i="131" s="1"/>
  <c r="V58" i="131"/>
  <c r="Y58" i="131" s="1"/>
  <c r="W57" i="131"/>
  <c r="Z57" i="131" s="1"/>
  <c r="V57" i="131"/>
  <c r="Y57" i="131" s="1"/>
  <c r="W56" i="131"/>
  <c r="Z56" i="131" s="1"/>
  <c r="V56" i="131"/>
  <c r="Y56" i="131" s="1"/>
  <c r="W55" i="131"/>
  <c r="Z55" i="131" s="1"/>
  <c r="V55" i="131"/>
  <c r="Y55" i="131" s="1"/>
  <c r="W54" i="131"/>
  <c r="Z54" i="131" s="1"/>
  <c r="V54" i="131"/>
  <c r="Y54" i="131" s="1"/>
  <c r="W53" i="131"/>
  <c r="Z53" i="131" s="1"/>
  <c r="V53" i="131"/>
  <c r="Y53" i="131" s="1"/>
  <c r="W52" i="131"/>
  <c r="Z52" i="131" s="1"/>
  <c r="V52" i="131"/>
  <c r="Y52" i="131" s="1"/>
  <c r="W51" i="131"/>
  <c r="Z51" i="131" s="1"/>
  <c r="V51" i="131"/>
  <c r="Y51" i="131" s="1"/>
  <c r="W50" i="131"/>
  <c r="Z50" i="131" s="1"/>
  <c r="V50" i="131"/>
  <c r="Y50" i="131" s="1"/>
  <c r="W49" i="131"/>
  <c r="Z49" i="131" s="1"/>
  <c r="V49" i="131"/>
  <c r="Y49" i="131" s="1"/>
  <c r="W48" i="131"/>
  <c r="Z48" i="131" s="1"/>
  <c r="V48" i="131"/>
  <c r="Y48" i="131" s="1"/>
  <c r="W47" i="131"/>
  <c r="Z47" i="131" s="1"/>
  <c r="V47" i="131"/>
  <c r="Y47" i="131" s="1"/>
  <c r="W46" i="131"/>
  <c r="Z46" i="131" s="1"/>
  <c r="V46" i="131"/>
  <c r="Y46" i="131" s="1"/>
  <c r="W45" i="131"/>
  <c r="Z45" i="131" s="1"/>
  <c r="V45" i="131"/>
  <c r="Y45" i="131" s="1"/>
  <c r="W44" i="131"/>
  <c r="Z44" i="131" s="1"/>
  <c r="V44" i="131"/>
  <c r="Y44" i="131" s="1"/>
  <c r="W43" i="131"/>
  <c r="V43" i="131"/>
  <c r="W41" i="131"/>
  <c r="Z41" i="131" s="1"/>
  <c r="V41" i="131"/>
  <c r="Y41" i="131" s="1"/>
  <c r="W40" i="131"/>
  <c r="Z40" i="131" s="1"/>
  <c r="V40" i="131"/>
  <c r="Y40" i="131" s="1"/>
  <c r="W39" i="131"/>
  <c r="Z39" i="131" s="1"/>
  <c r="V39" i="131"/>
  <c r="Y39" i="131" s="1"/>
  <c r="W38" i="131"/>
  <c r="Z38" i="131" s="1"/>
  <c r="V38" i="131"/>
  <c r="Y38" i="131" s="1"/>
  <c r="W37" i="131"/>
  <c r="Z37" i="131" s="1"/>
  <c r="V37" i="131"/>
  <c r="Y37" i="131" s="1"/>
  <c r="W36" i="131"/>
  <c r="Z36" i="131" s="1"/>
  <c r="V36" i="131"/>
  <c r="Y36" i="131" s="1"/>
  <c r="W35" i="131"/>
  <c r="Z35" i="131" s="1"/>
  <c r="V35" i="131"/>
  <c r="Y35" i="131" s="1"/>
  <c r="W34" i="131"/>
  <c r="Z34" i="131" s="1"/>
  <c r="V34" i="131"/>
  <c r="Y34" i="131" s="1"/>
  <c r="W33" i="131"/>
  <c r="Z33" i="131" s="1"/>
  <c r="V33" i="131"/>
  <c r="Y33" i="131" s="1"/>
  <c r="W32" i="131"/>
  <c r="Z32" i="131" s="1"/>
  <c r="V32" i="131"/>
  <c r="Y32" i="131" s="1"/>
  <c r="W31" i="131"/>
  <c r="Z31" i="131" s="1"/>
  <c r="V31" i="131"/>
  <c r="Y31" i="131" s="1"/>
  <c r="W30" i="131"/>
  <c r="Z30" i="131" s="1"/>
  <c r="V30" i="131"/>
  <c r="Y30" i="131" s="1"/>
  <c r="W29" i="131"/>
  <c r="Z29" i="131" s="1"/>
  <c r="V29" i="131"/>
  <c r="Y29" i="131" s="1"/>
  <c r="W28" i="131"/>
  <c r="Z28" i="131" s="1"/>
  <c r="V28" i="131"/>
  <c r="Y28" i="131" s="1"/>
  <c r="W27" i="131"/>
  <c r="Z27" i="131" s="1"/>
  <c r="V27" i="131"/>
  <c r="Y27" i="131" s="1"/>
  <c r="W26" i="131"/>
  <c r="Z26" i="131" s="1"/>
  <c r="V26" i="131"/>
  <c r="Y26" i="131" s="1"/>
  <c r="W25" i="131"/>
  <c r="Z25" i="131" s="1"/>
  <c r="V25" i="131"/>
  <c r="Y25" i="131" s="1"/>
  <c r="W24" i="131"/>
  <c r="Z24" i="131" s="1"/>
  <c r="V24" i="131"/>
  <c r="Y24" i="131" s="1"/>
  <c r="W23" i="131"/>
  <c r="Z23" i="131" s="1"/>
  <c r="V23" i="131"/>
  <c r="Y23" i="131" s="1"/>
  <c r="W22" i="131"/>
  <c r="Z22" i="131" s="1"/>
  <c r="V22" i="131"/>
  <c r="Y22" i="131" s="1"/>
  <c r="AB97" i="131"/>
  <c r="AB96" i="131"/>
  <c r="AB95" i="131"/>
  <c r="AB94" i="131"/>
  <c r="AB93" i="131"/>
  <c r="AB92" i="131"/>
  <c r="AB91" i="131"/>
  <c r="AB90" i="131"/>
  <c r="AB89" i="131"/>
  <c r="AB88" i="131"/>
  <c r="AB87" i="131"/>
  <c r="AB86" i="131"/>
  <c r="AB85" i="131"/>
  <c r="AB84" i="131"/>
  <c r="AB83" i="131"/>
  <c r="AB82" i="131"/>
  <c r="AB81" i="131"/>
  <c r="AB80" i="131"/>
  <c r="AB79" i="131"/>
  <c r="AB78" i="131"/>
  <c r="X74" i="131"/>
  <c r="X73" i="131"/>
  <c r="X72" i="131"/>
  <c r="X71" i="131"/>
  <c r="X70" i="131"/>
  <c r="X68" i="131"/>
  <c r="X67" i="131"/>
  <c r="X66" i="131"/>
  <c r="X65" i="131"/>
  <c r="X64" i="131"/>
  <c r="X62" i="131"/>
  <c r="X61" i="131"/>
  <c r="X60" i="131"/>
  <c r="X59" i="131"/>
  <c r="X58" i="131"/>
  <c r="X57" i="131"/>
  <c r="X56" i="131"/>
  <c r="X55" i="131"/>
  <c r="X54" i="131"/>
  <c r="X53" i="131"/>
  <c r="X52" i="131"/>
  <c r="X51" i="131"/>
  <c r="X50" i="131"/>
  <c r="X49" i="131"/>
  <c r="X48" i="131"/>
  <c r="X47" i="131"/>
  <c r="X46" i="131"/>
  <c r="X45" i="131"/>
  <c r="X44" i="131"/>
  <c r="X43" i="131"/>
  <c r="X41" i="131"/>
  <c r="X40" i="131"/>
  <c r="X39" i="131"/>
  <c r="X38" i="131"/>
  <c r="X37" i="131"/>
  <c r="X36" i="131"/>
  <c r="X35" i="131"/>
  <c r="X34" i="131"/>
  <c r="X33" i="131"/>
  <c r="X32" i="131"/>
  <c r="X31" i="131"/>
  <c r="X30" i="131"/>
  <c r="X29" i="131"/>
  <c r="X28" i="131"/>
  <c r="X27" i="131"/>
  <c r="X26" i="131"/>
  <c r="X25" i="131"/>
  <c r="X24" i="131"/>
  <c r="X23" i="131"/>
  <c r="X22" i="131"/>
  <c r="U12" i="131"/>
  <c r="V12" i="131"/>
  <c r="W12" i="131"/>
  <c r="X12" i="131"/>
  <c r="U13" i="131"/>
  <c r="V13" i="131"/>
  <c r="Y13" i="131" s="1"/>
  <c r="W13" i="131"/>
  <c r="Z13" i="131" s="1"/>
  <c r="X13" i="131"/>
  <c r="J14" i="131"/>
  <c r="U14" i="131"/>
  <c r="V14" i="131"/>
  <c r="Y14" i="131" s="1"/>
  <c r="W14" i="131"/>
  <c r="Z14" i="131" s="1"/>
  <c r="X14" i="131"/>
  <c r="U15" i="131"/>
  <c r="V15" i="131"/>
  <c r="Y15" i="131" s="1"/>
  <c r="W15" i="131"/>
  <c r="Z15" i="131" s="1"/>
  <c r="X15" i="131"/>
  <c r="U16" i="131"/>
  <c r="V16" i="131"/>
  <c r="Y16" i="131" s="1"/>
  <c r="W16" i="131"/>
  <c r="Z16" i="131" s="1"/>
  <c r="X16" i="131"/>
  <c r="U17" i="131"/>
  <c r="V17" i="131"/>
  <c r="Y17" i="131" s="1"/>
  <c r="W17" i="131"/>
  <c r="Z17" i="131" s="1"/>
  <c r="X17" i="131"/>
  <c r="U18" i="131"/>
  <c r="V18" i="131"/>
  <c r="Y18" i="131" s="1"/>
  <c r="W18" i="131"/>
  <c r="Z18" i="131" s="1"/>
  <c r="X18" i="131"/>
  <c r="U19" i="131"/>
  <c r="V19" i="131"/>
  <c r="Y19" i="131" s="1"/>
  <c r="W19" i="131"/>
  <c r="Z19" i="131" s="1"/>
  <c r="X19" i="131"/>
  <c r="U20" i="131"/>
  <c r="V20" i="131"/>
  <c r="Y20" i="131" s="1"/>
  <c r="W20" i="131"/>
  <c r="Z20" i="131" s="1"/>
  <c r="X20" i="131"/>
  <c r="U21" i="131"/>
  <c r="V21" i="131"/>
  <c r="Y21" i="131" s="1"/>
  <c r="W21" i="131"/>
  <c r="Z21" i="131" s="1"/>
  <c r="X21" i="131"/>
  <c r="J46" i="131"/>
  <c r="D46" i="131"/>
  <c r="J57" i="131"/>
  <c r="D57" i="131"/>
  <c r="F57" i="131" s="1"/>
  <c r="J52" i="131"/>
  <c r="F52" i="131"/>
  <c r="D52" i="131"/>
  <c r="J22" i="131"/>
  <c r="J30" i="131"/>
  <c r="J38" i="131"/>
  <c r="D47" i="131"/>
  <c r="F47" i="131" s="1"/>
  <c r="D48" i="131"/>
  <c r="F48" i="131" s="1"/>
  <c r="D49" i="131"/>
  <c r="F49" i="131" s="1"/>
  <c r="D50" i="131"/>
  <c r="F50" i="131" s="1"/>
  <c r="D53" i="131"/>
  <c r="F53" i="131"/>
  <c r="D54" i="131"/>
  <c r="F54" i="131"/>
  <c r="D55" i="131"/>
  <c r="F55" i="131"/>
  <c r="D56" i="131"/>
  <c r="F56" i="131"/>
  <c r="D58" i="131"/>
  <c r="F58" i="131" s="1"/>
  <c r="F60" i="131"/>
  <c r="G60" i="131" s="1"/>
  <c r="L60" i="131" s="1"/>
  <c r="T78" i="131"/>
  <c r="T98" i="131" s="1"/>
  <c r="G86" i="131" s="1"/>
  <c r="H81" i="131" s="1"/>
  <c r="Y78" i="131"/>
  <c r="Y98" i="131" s="1"/>
  <c r="J20" i="130"/>
  <c r="AA97" i="130"/>
  <c r="AA96" i="130"/>
  <c r="AA95" i="130"/>
  <c r="AA94" i="130"/>
  <c r="AA93" i="130"/>
  <c r="AA92" i="130"/>
  <c r="AA91" i="130"/>
  <c r="AA90" i="130"/>
  <c r="AA89" i="130"/>
  <c r="AA88" i="130"/>
  <c r="AA87" i="130"/>
  <c r="AA86" i="130"/>
  <c r="AA85" i="130"/>
  <c r="AA84" i="130"/>
  <c r="AA83" i="130"/>
  <c r="AA82" i="130"/>
  <c r="AA81" i="130"/>
  <c r="AA80" i="130"/>
  <c r="AA79" i="130"/>
  <c r="AA78" i="130"/>
  <c r="U74" i="130"/>
  <c r="U73" i="130"/>
  <c r="U72" i="130"/>
  <c r="U71" i="130"/>
  <c r="U70" i="130"/>
  <c r="U68" i="130"/>
  <c r="U67" i="130"/>
  <c r="U66" i="130"/>
  <c r="U65" i="130"/>
  <c r="U64" i="130"/>
  <c r="U62" i="130"/>
  <c r="U61" i="130"/>
  <c r="U60" i="130"/>
  <c r="U59" i="130"/>
  <c r="U58" i="130"/>
  <c r="U57" i="130"/>
  <c r="U56" i="130"/>
  <c r="U55" i="130"/>
  <c r="U54" i="130"/>
  <c r="U53" i="130"/>
  <c r="U52" i="130"/>
  <c r="U51" i="130"/>
  <c r="U50" i="130"/>
  <c r="U49" i="130"/>
  <c r="U48" i="130"/>
  <c r="U47" i="130"/>
  <c r="U46" i="130"/>
  <c r="U45" i="130"/>
  <c r="U44" i="130"/>
  <c r="U43" i="130"/>
  <c r="U41" i="130"/>
  <c r="U40" i="130"/>
  <c r="U39" i="130"/>
  <c r="U38" i="130"/>
  <c r="U37" i="130"/>
  <c r="U36" i="130"/>
  <c r="U35" i="130"/>
  <c r="U34" i="130"/>
  <c r="U33" i="130"/>
  <c r="U32" i="130"/>
  <c r="U31" i="130"/>
  <c r="U30" i="130"/>
  <c r="U29" i="130"/>
  <c r="U28" i="130"/>
  <c r="U27" i="130"/>
  <c r="U26" i="130"/>
  <c r="U25" i="130"/>
  <c r="U24" i="130"/>
  <c r="U23" i="130"/>
  <c r="U22" i="130"/>
  <c r="W74" i="130"/>
  <c r="Z74" i="130" s="1"/>
  <c r="V74" i="130"/>
  <c r="Y74" i="130" s="1"/>
  <c r="W73" i="130"/>
  <c r="Z73" i="130" s="1"/>
  <c r="V73" i="130"/>
  <c r="Y73" i="130" s="1"/>
  <c r="W72" i="130"/>
  <c r="Z72" i="130" s="1"/>
  <c r="V72" i="130"/>
  <c r="Y72" i="130" s="1"/>
  <c r="W71" i="130"/>
  <c r="Z71" i="130" s="1"/>
  <c r="V71" i="130"/>
  <c r="Y71" i="130" s="1"/>
  <c r="W70" i="130"/>
  <c r="V70" i="130"/>
  <c r="W68" i="130"/>
  <c r="Z68" i="130" s="1"/>
  <c r="V68" i="130"/>
  <c r="Y68" i="130" s="1"/>
  <c r="W67" i="130"/>
  <c r="Z67" i="130" s="1"/>
  <c r="V67" i="130"/>
  <c r="Y67" i="130" s="1"/>
  <c r="W66" i="130"/>
  <c r="Z66" i="130" s="1"/>
  <c r="V66" i="130"/>
  <c r="Y66" i="130" s="1"/>
  <c r="W65" i="130"/>
  <c r="Z65" i="130" s="1"/>
  <c r="V65" i="130"/>
  <c r="Y65" i="130" s="1"/>
  <c r="W64" i="130"/>
  <c r="V64" i="130"/>
  <c r="W62" i="130"/>
  <c r="Z62" i="130" s="1"/>
  <c r="V62" i="130"/>
  <c r="Y62" i="130" s="1"/>
  <c r="W61" i="130"/>
  <c r="Z61" i="130" s="1"/>
  <c r="V61" i="130"/>
  <c r="Y61" i="130" s="1"/>
  <c r="W60" i="130"/>
  <c r="Z60" i="130" s="1"/>
  <c r="V60" i="130"/>
  <c r="Y60" i="130" s="1"/>
  <c r="W59" i="130"/>
  <c r="Z59" i="130" s="1"/>
  <c r="V59" i="130"/>
  <c r="Y59" i="130" s="1"/>
  <c r="W58" i="130"/>
  <c r="Z58" i="130" s="1"/>
  <c r="V58" i="130"/>
  <c r="Y58" i="130" s="1"/>
  <c r="W57" i="130"/>
  <c r="Z57" i="130" s="1"/>
  <c r="V57" i="130"/>
  <c r="Y57" i="130" s="1"/>
  <c r="W56" i="130"/>
  <c r="Z56" i="130" s="1"/>
  <c r="V56" i="130"/>
  <c r="Y56" i="130" s="1"/>
  <c r="W55" i="130"/>
  <c r="Z55" i="130" s="1"/>
  <c r="V55" i="130"/>
  <c r="Y55" i="130" s="1"/>
  <c r="W54" i="130"/>
  <c r="Z54" i="130" s="1"/>
  <c r="V54" i="130"/>
  <c r="Y54" i="130" s="1"/>
  <c r="W53" i="130"/>
  <c r="Z53" i="130" s="1"/>
  <c r="V53" i="130"/>
  <c r="Y53" i="130" s="1"/>
  <c r="W52" i="130"/>
  <c r="Z52" i="130" s="1"/>
  <c r="V52" i="130"/>
  <c r="Y52" i="130" s="1"/>
  <c r="W51" i="130"/>
  <c r="Z51" i="130" s="1"/>
  <c r="V51" i="130"/>
  <c r="Y51" i="130" s="1"/>
  <c r="W50" i="130"/>
  <c r="Z50" i="130" s="1"/>
  <c r="V50" i="130"/>
  <c r="Y50" i="130" s="1"/>
  <c r="W49" i="130"/>
  <c r="Z49" i="130" s="1"/>
  <c r="V49" i="130"/>
  <c r="Y49" i="130" s="1"/>
  <c r="W48" i="130"/>
  <c r="Z48" i="130" s="1"/>
  <c r="V48" i="130"/>
  <c r="Y48" i="130" s="1"/>
  <c r="W47" i="130"/>
  <c r="Z47" i="130" s="1"/>
  <c r="V47" i="130"/>
  <c r="Y47" i="130" s="1"/>
  <c r="W46" i="130"/>
  <c r="Z46" i="130" s="1"/>
  <c r="V46" i="130"/>
  <c r="Y46" i="130" s="1"/>
  <c r="W45" i="130"/>
  <c r="Z45" i="130" s="1"/>
  <c r="V45" i="130"/>
  <c r="Y45" i="130" s="1"/>
  <c r="W44" i="130"/>
  <c r="Z44" i="130" s="1"/>
  <c r="V44" i="130"/>
  <c r="Y44" i="130" s="1"/>
  <c r="W43" i="130"/>
  <c r="V43" i="130"/>
  <c r="W41" i="130"/>
  <c r="Z41" i="130" s="1"/>
  <c r="V41" i="130"/>
  <c r="Y41" i="130" s="1"/>
  <c r="W40" i="130"/>
  <c r="Z40" i="130" s="1"/>
  <c r="V40" i="130"/>
  <c r="Y40" i="130" s="1"/>
  <c r="W39" i="130"/>
  <c r="Z39" i="130" s="1"/>
  <c r="V39" i="130"/>
  <c r="Y39" i="130" s="1"/>
  <c r="W38" i="130"/>
  <c r="Z38" i="130" s="1"/>
  <c r="V38" i="130"/>
  <c r="Y38" i="130" s="1"/>
  <c r="W37" i="130"/>
  <c r="Z37" i="130" s="1"/>
  <c r="V37" i="130"/>
  <c r="Y37" i="130" s="1"/>
  <c r="W36" i="130"/>
  <c r="Z36" i="130" s="1"/>
  <c r="V36" i="130"/>
  <c r="Y36" i="130" s="1"/>
  <c r="W35" i="130"/>
  <c r="Z35" i="130" s="1"/>
  <c r="V35" i="130"/>
  <c r="Y35" i="130" s="1"/>
  <c r="W34" i="130"/>
  <c r="Z34" i="130" s="1"/>
  <c r="V34" i="130"/>
  <c r="Y34" i="130" s="1"/>
  <c r="W33" i="130"/>
  <c r="Z33" i="130" s="1"/>
  <c r="V33" i="130"/>
  <c r="Y33" i="130" s="1"/>
  <c r="W32" i="130"/>
  <c r="Z32" i="130" s="1"/>
  <c r="V32" i="130"/>
  <c r="Y32" i="130" s="1"/>
  <c r="W31" i="130"/>
  <c r="Z31" i="130" s="1"/>
  <c r="V31" i="130"/>
  <c r="Y31" i="130" s="1"/>
  <c r="W30" i="130"/>
  <c r="Z30" i="130" s="1"/>
  <c r="V30" i="130"/>
  <c r="Y30" i="130" s="1"/>
  <c r="W29" i="130"/>
  <c r="Z29" i="130" s="1"/>
  <c r="V29" i="130"/>
  <c r="Y29" i="130" s="1"/>
  <c r="W28" i="130"/>
  <c r="Z28" i="130" s="1"/>
  <c r="V28" i="130"/>
  <c r="Y28" i="130" s="1"/>
  <c r="W27" i="130"/>
  <c r="Z27" i="130" s="1"/>
  <c r="V27" i="130"/>
  <c r="Y27" i="130" s="1"/>
  <c r="W26" i="130"/>
  <c r="Z26" i="130" s="1"/>
  <c r="V26" i="130"/>
  <c r="Y26" i="130" s="1"/>
  <c r="W25" i="130"/>
  <c r="Z25" i="130" s="1"/>
  <c r="V25" i="130"/>
  <c r="Y25" i="130" s="1"/>
  <c r="W24" i="130"/>
  <c r="Z24" i="130" s="1"/>
  <c r="V24" i="130"/>
  <c r="Y24" i="130" s="1"/>
  <c r="W23" i="130"/>
  <c r="Z23" i="130" s="1"/>
  <c r="V23" i="130"/>
  <c r="Y23" i="130" s="1"/>
  <c r="W22" i="130"/>
  <c r="Z22" i="130" s="1"/>
  <c r="V22" i="130"/>
  <c r="Y22" i="130" s="1"/>
  <c r="AB97" i="130"/>
  <c r="AB96" i="130"/>
  <c r="AB95" i="130"/>
  <c r="AB94" i="130"/>
  <c r="AB93" i="130"/>
  <c r="AB92" i="130"/>
  <c r="AB91" i="130"/>
  <c r="AB90" i="130"/>
  <c r="AB89" i="130"/>
  <c r="AB88" i="130"/>
  <c r="AB87" i="130"/>
  <c r="AB86" i="130"/>
  <c r="AB85" i="130"/>
  <c r="AB84" i="130"/>
  <c r="AB83" i="130"/>
  <c r="AB82" i="130"/>
  <c r="AB81" i="130"/>
  <c r="AB80" i="130"/>
  <c r="AB79" i="130"/>
  <c r="AB78" i="130"/>
  <c r="X74" i="130"/>
  <c r="X73" i="130"/>
  <c r="X72" i="130"/>
  <c r="X71" i="130"/>
  <c r="X70" i="130"/>
  <c r="X68" i="130"/>
  <c r="X67" i="130"/>
  <c r="X66" i="130"/>
  <c r="X65" i="130"/>
  <c r="X64" i="130"/>
  <c r="X62" i="130"/>
  <c r="X61" i="130"/>
  <c r="X60" i="130"/>
  <c r="X59" i="130"/>
  <c r="X58" i="130"/>
  <c r="X57" i="130"/>
  <c r="X56" i="130"/>
  <c r="X55" i="130"/>
  <c r="X54" i="130"/>
  <c r="X53" i="130"/>
  <c r="X52" i="130"/>
  <c r="X51" i="130"/>
  <c r="X50" i="130"/>
  <c r="X49" i="130"/>
  <c r="X48" i="130"/>
  <c r="X47" i="130"/>
  <c r="X46" i="130"/>
  <c r="X45" i="130"/>
  <c r="X44" i="130"/>
  <c r="X43" i="130"/>
  <c r="X41" i="130"/>
  <c r="X40" i="130"/>
  <c r="X39" i="130"/>
  <c r="X38" i="130"/>
  <c r="X37" i="130"/>
  <c r="X36" i="130"/>
  <c r="X35" i="130"/>
  <c r="X34" i="130"/>
  <c r="X33" i="130"/>
  <c r="X32" i="130"/>
  <c r="X31" i="130"/>
  <c r="X30" i="130"/>
  <c r="X29" i="130"/>
  <c r="X28" i="130"/>
  <c r="X27" i="130"/>
  <c r="X26" i="130"/>
  <c r="X25" i="130"/>
  <c r="X24" i="130"/>
  <c r="X23" i="130"/>
  <c r="X22" i="130"/>
  <c r="U12" i="130"/>
  <c r="V12" i="130"/>
  <c r="W12" i="130"/>
  <c r="Z12" i="130" s="1"/>
  <c r="X12" i="130"/>
  <c r="U13" i="130"/>
  <c r="V13" i="130"/>
  <c r="Y13" i="130" s="1"/>
  <c r="W13" i="130"/>
  <c r="Z13" i="130" s="1"/>
  <c r="X13" i="130"/>
  <c r="J14" i="130"/>
  <c r="U14" i="130"/>
  <c r="V14" i="130"/>
  <c r="Y14" i="130" s="1"/>
  <c r="W14" i="130"/>
  <c r="Z14" i="130" s="1"/>
  <c r="X14" i="130"/>
  <c r="U15" i="130"/>
  <c r="V15" i="130"/>
  <c r="Y15" i="130" s="1"/>
  <c r="W15" i="130"/>
  <c r="Z15" i="130" s="1"/>
  <c r="X15" i="130"/>
  <c r="U16" i="130"/>
  <c r="V16" i="130"/>
  <c r="Y16" i="130" s="1"/>
  <c r="W16" i="130"/>
  <c r="Z16" i="130" s="1"/>
  <c r="X16" i="130"/>
  <c r="U17" i="130"/>
  <c r="V17" i="130"/>
  <c r="Y17" i="130" s="1"/>
  <c r="W17" i="130"/>
  <c r="Z17" i="130" s="1"/>
  <c r="X17" i="130"/>
  <c r="U18" i="130"/>
  <c r="V18" i="130"/>
  <c r="Y18" i="130" s="1"/>
  <c r="W18" i="130"/>
  <c r="Z18" i="130" s="1"/>
  <c r="X18" i="130"/>
  <c r="U19" i="130"/>
  <c r="V19" i="130"/>
  <c r="Y19" i="130" s="1"/>
  <c r="W19" i="130"/>
  <c r="Z19" i="130" s="1"/>
  <c r="X19" i="130"/>
  <c r="U20" i="130"/>
  <c r="V20" i="130"/>
  <c r="Y20" i="130" s="1"/>
  <c r="W20" i="130"/>
  <c r="Z20" i="130" s="1"/>
  <c r="X20" i="130"/>
  <c r="U21" i="130"/>
  <c r="V21" i="130"/>
  <c r="Y21" i="130" s="1"/>
  <c r="W21" i="130"/>
  <c r="Z21" i="130" s="1"/>
  <c r="X21" i="130"/>
  <c r="J46" i="130"/>
  <c r="D46" i="130"/>
  <c r="J57" i="130"/>
  <c r="D57" i="130"/>
  <c r="F57" i="130" s="1"/>
  <c r="J52" i="130"/>
  <c r="F52" i="130"/>
  <c r="D52" i="130"/>
  <c r="J22" i="130"/>
  <c r="J30" i="130"/>
  <c r="J38" i="130"/>
  <c r="D47" i="130"/>
  <c r="F47" i="130" s="1"/>
  <c r="D48" i="130"/>
  <c r="F48" i="130" s="1"/>
  <c r="D49" i="130"/>
  <c r="F49" i="130" s="1"/>
  <c r="D53" i="130"/>
  <c r="F53" i="130"/>
  <c r="D54" i="130"/>
  <c r="F54" i="130"/>
  <c r="D55" i="130"/>
  <c r="F55" i="130"/>
  <c r="D56" i="130"/>
  <c r="F56" i="130"/>
  <c r="D58" i="130"/>
  <c r="F58" i="130" s="1"/>
  <c r="F60" i="130"/>
  <c r="G60" i="130" s="1"/>
  <c r="L60" i="130" s="1"/>
  <c r="T78" i="130"/>
  <c r="T98" i="130" s="1"/>
  <c r="G86" i="130" s="1"/>
  <c r="H81" i="130" s="1"/>
  <c r="Y78" i="130"/>
  <c r="Y98" i="130" s="1"/>
  <c r="J20" i="129"/>
  <c r="AA97" i="129"/>
  <c r="AA96" i="129"/>
  <c r="AA95" i="129"/>
  <c r="AA94" i="129"/>
  <c r="AA93" i="129"/>
  <c r="AA92" i="129"/>
  <c r="AA91" i="129"/>
  <c r="AA90" i="129"/>
  <c r="AA89" i="129"/>
  <c r="AA88" i="129"/>
  <c r="AA87" i="129"/>
  <c r="AA86" i="129"/>
  <c r="AA85" i="129"/>
  <c r="AA84" i="129"/>
  <c r="AA83" i="129"/>
  <c r="AA82" i="129"/>
  <c r="AA81" i="129"/>
  <c r="AA80" i="129"/>
  <c r="AA79" i="129"/>
  <c r="AA78" i="129"/>
  <c r="U74" i="129"/>
  <c r="U73" i="129"/>
  <c r="U72" i="129"/>
  <c r="U71" i="129"/>
  <c r="U70" i="129"/>
  <c r="U68" i="129"/>
  <c r="U67" i="129"/>
  <c r="U66" i="129"/>
  <c r="U65" i="129"/>
  <c r="U64" i="129"/>
  <c r="U62" i="129"/>
  <c r="U61" i="129"/>
  <c r="U60" i="129"/>
  <c r="U59" i="129"/>
  <c r="U58" i="129"/>
  <c r="U57" i="129"/>
  <c r="U56" i="129"/>
  <c r="U55" i="129"/>
  <c r="U54" i="129"/>
  <c r="U53" i="129"/>
  <c r="U52" i="129"/>
  <c r="U51" i="129"/>
  <c r="U50" i="129"/>
  <c r="U49" i="129"/>
  <c r="U48" i="129"/>
  <c r="U47" i="129"/>
  <c r="U46" i="129"/>
  <c r="U45" i="129"/>
  <c r="U44" i="129"/>
  <c r="U43" i="129"/>
  <c r="U41" i="129"/>
  <c r="U40" i="129"/>
  <c r="U39" i="129"/>
  <c r="U38" i="129"/>
  <c r="U37" i="129"/>
  <c r="U36" i="129"/>
  <c r="U35" i="129"/>
  <c r="U34" i="129"/>
  <c r="U33" i="129"/>
  <c r="U32" i="129"/>
  <c r="U31" i="129"/>
  <c r="U30" i="129"/>
  <c r="U29" i="129"/>
  <c r="U28" i="129"/>
  <c r="U27" i="129"/>
  <c r="U26" i="129"/>
  <c r="U25" i="129"/>
  <c r="U24" i="129"/>
  <c r="U23" i="129"/>
  <c r="U22" i="129"/>
  <c r="W74" i="129"/>
  <c r="Z74" i="129" s="1"/>
  <c r="V74" i="129"/>
  <c r="Y74" i="129" s="1"/>
  <c r="W73" i="129"/>
  <c r="Z73" i="129" s="1"/>
  <c r="V73" i="129"/>
  <c r="Y73" i="129" s="1"/>
  <c r="W72" i="129"/>
  <c r="Z72" i="129" s="1"/>
  <c r="V72" i="129"/>
  <c r="Y72" i="129" s="1"/>
  <c r="W71" i="129"/>
  <c r="Z71" i="129" s="1"/>
  <c r="V71" i="129"/>
  <c r="Y71" i="129" s="1"/>
  <c r="W70" i="129"/>
  <c r="V70" i="129"/>
  <c r="W68" i="129"/>
  <c r="Z68" i="129" s="1"/>
  <c r="V68" i="129"/>
  <c r="Y68" i="129" s="1"/>
  <c r="W67" i="129"/>
  <c r="Z67" i="129" s="1"/>
  <c r="V67" i="129"/>
  <c r="Y67" i="129" s="1"/>
  <c r="W66" i="129"/>
  <c r="Z66" i="129" s="1"/>
  <c r="V66" i="129"/>
  <c r="Y66" i="129" s="1"/>
  <c r="W65" i="129"/>
  <c r="Z65" i="129" s="1"/>
  <c r="V65" i="129"/>
  <c r="Y65" i="129" s="1"/>
  <c r="W64" i="129"/>
  <c r="V64" i="129"/>
  <c r="W62" i="129"/>
  <c r="Z62" i="129" s="1"/>
  <c r="V62" i="129"/>
  <c r="Y62" i="129" s="1"/>
  <c r="W61" i="129"/>
  <c r="Z61" i="129" s="1"/>
  <c r="V61" i="129"/>
  <c r="Y61" i="129" s="1"/>
  <c r="W60" i="129"/>
  <c r="Z60" i="129" s="1"/>
  <c r="V60" i="129"/>
  <c r="Y60" i="129" s="1"/>
  <c r="W59" i="129"/>
  <c r="Z59" i="129" s="1"/>
  <c r="V59" i="129"/>
  <c r="Y59" i="129" s="1"/>
  <c r="W58" i="129"/>
  <c r="Z58" i="129" s="1"/>
  <c r="V58" i="129"/>
  <c r="Y58" i="129" s="1"/>
  <c r="W57" i="129"/>
  <c r="Z57" i="129" s="1"/>
  <c r="V57" i="129"/>
  <c r="Y57" i="129" s="1"/>
  <c r="W56" i="129"/>
  <c r="Z56" i="129" s="1"/>
  <c r="V56" i="129"/>
  <c r="Y56" i="129" s="1"/>
  <c r="W55" i="129"/>
  <c r="Z55" i="129" s="1"/>
  <c r="V55" i="129"/>
  <c r="Y55" i="129" s="1"/>
  <c r="W54" i="129"/>
  <c r="Z54" i="129" s="1"/>
  <c r="V54" i="129"/>
  <c r="Y54" i="129" s="1"/>
  <c r="W53" i="129"/>
  <c r="Z53" i="129" s="1"/>
  <c r="V53" i="129"/>
  <c r="Y53" i="129" s="1"/>
  <c r="W52" i="129"/>
  <c r="Z52" i="129" s="1"/>
  <c r="V52" i="129"/>
  <c r="Y52" i="129" s="1"/>
  <c r="W51" i="129"/>
  <c r="Z51" i="129" s="1"/>
  <c r="V51" i="129"/>
  <c r="Y51" i="129" s="1"/>
  <c r="W50" i="129"/>
  <c r="Z50" i="129" s="1"/>
  <c r="V50" i="129"/>
  <c r="Y50" i="129" s="1"/>
  <c r="W49" i="129"/>
  <c r="Z49" i="129" s="1"/>
  <c r="V49" i="129"/>
  <c r="Y49" i="129" s="1"/>
  <c r="W48" i="129"/>
  <c r="Z48" i="129" s="1"/>
  <c r="V48" i="129"/>
  <c r="Y48" i="129" s="1"/>
  <c r="W47" i="129"/>
  <c r="Z47" i="129" s="1"/>
  <c r="V47" i="129"/>
  <c r="Y47" i="129" s="1"/>
  <c r="W46" i="129"/>
  <c r="Z46" i="129" s="1"/>
  <c r="V46" i="129"/>
  <c r="Y46" i="129" s="1"/>
  <c r="W45" i="129"/>
  <c r="Z45" i="129" s="1"/>
  <c r="V45" i="129"/>
  <c r="Y45" i="129" s="1"/>
  <c r="W44" i="129"/>
  <c r="Z44" i="129" s="1"/>
  <c r="V44" i="129"/>
  <c r="Y44" i="129" s="1"/>
  <c r="W43" i="129"/>
  <c r="V43" i="129"/>
  <c r="W41" i="129"/>
  <c r="Z41" i="129" s="1"/>
  <c r="V41" i="129"/>
  <c r="Y41" i="129" s="1"/>
  <c r="W40" i="129"/>
  <c r="Z40" i="129" s="1"/>
  <c r="V40" i="129"/>
  <c r="Y40" i="129" s="1"/>
  <c r="W39" i="129"/>
  <c r="Z39" i="129" s="1"/>
  <c r="V39" i="129"/>
  <c r="Y39" i="129" s="1"/>
  <c r="W38" i="129"/>
  <c r="Z38" i="129" s="1"/>
  <c r="V38" i="129"/>
  <c r="Y38" i="129" s="1"/>
  <c r="W37" i="129"/>
  <c r="Z37" i="129" s="1"/>
  <c r="V37" i="129"/>
  <c r="Y37" i="129" s="1"/>
  <c r="W36" i="129"/>
  <c r="Z36" i="129" s="1"/>
  <c r="V36" i="129"/>
  <c r="Y36" i="129" s="1"/>
  <c r="W35" i="129"/>
  <c r="Z35" i="129" s="1"/>
  <c r="V35" i="129"/>
  <c r="Y35" i="129" s="1"/>
  <c r="W34" i="129"/>
  <c r="Z34" i="129" s="1"/>
  <c r="V34" i="129"/>
  <c r="Y34" i="129" s="1"/>
  <c r="W33" i="129"/>
  <c r="Z33" i="129" s="1"/>
  <c r="V33" i="129"/>
  <c r="Y33" i="129" s="1"/>
  <c r="W32" i="129"/>
  <c r="Z32" i="129" s="1"/>
  <c r="V32" i="129"/>
  <c r="Y32" i="129" s="1"/>
  <c r="W31" i="129"/>
  <c r="Z31" i="129" s="1"/>
  <c r="V31" i="129"/>
  <c r="Y31" i="129" s="1"/>
  <c r="W30" i="129"/>
  <c r="Z30" i="129" s="1"/>
  <c r="V30" i="129"/>
  <c r="Y30" i="129" s="1"/>
  <c r="W29" i="129"/>
  <c r="Z29" i="129" s="1"/>
  <c r="V29" i="129"/>
  <c r="Y29" i="129" s="1"/>
  <c r="W28" i="129"/>
  <c r="Z28" i="129" s="1"/>
  <c r="V28" i="129"/>
  <c r="Y28" i="129" s="1"/>
  <c r="W27" i="129"/>
  <c r="Z27" i="129" s="1"/>
  <c r="V27" i="129"/>
  <c r="Y27" i="129" s="1"/>
  <c r="W26" i="129"/>
  <c r="Z26" i="129" s="1"/>
  <c r="V26" i="129"/>
  <c r="Y26" i="129" s="1"/>
  <c r="W25" i="129"/>
  <c r="Z25" i="129" s="1"/>
  <c r="V25" i="129"/>
  <c r="Y25" i="129" s="1"/>
  <c r="W24" i="129"/>
  <c r="Z24" i="129" s="1"/>
  <c r="V24" i="129"/>
  <c r="Y24" i="129" s="1"/>
  <c r="W23" i="129"/>
  <c r="Z23" i="129" s="1"/>
  <c r="V23" i="129"/>
  <c r="Y23" i="129" s="1"/>
  <c r="W22" i="129"/>
  <c r="Z22" i="129" s="1"/>
  <c r="V22" i="129"/>
  <c r="Y22" i="129" s="1"/>
  <c r="AB97" i="129"/>
  <c r="AB96" i="129"/>
  <c r="AB95" i="129"/>
  <c r="AB94" i="129"/>
  <c r="AB93" i="129"/>
  <c r="AB92" i="129"/>
  <c r="AB91" i="129"/>
  <c r="AB90" i="129"/>
  <c r="AB89" i="129"/>
  <c r="AB88" i="129"/>
  <c r="AB87" i="129"/>
  <c r="AB86" i="129"/>
  <c r="AB85" i="129"/>
  <c r="AB84" i="129"/>
  <c r="AB83" i="129"/>
  <c r="AB82" i="129"/>
  <c r="AB81" i="129"/>
  <c r="AB80" i="129"/>
  <c r="AB79" i="129"/>
  <c r="AB78" i="129"/>
  <c r="X74" i="129"/>
  <c r="X73" i="129"/>
  <c r="X72" i="129"/>
  <c r="X71" i="129"/>
  <c r="X70" i="129"/>
  <c r="X68" i="129"/>
  <c r="X67" i="129"/>
  <c r="X66" i="129"/>
  <c r="X65" i="129"/>
  <c r="X64" i="129"/>
  <c r="X62" i="129"/>
  <c r="X61" i="129"/>
  <c r="X60" i="129"/>
  <c r="X59" i="129"/>
  <c r="X58" i="129"/>
  <c r="X57" i="129"/>
  <c r="X56" i="129"/>
  <c r="X55" i="129"/>
  <c r="X54" i="129"/>
  <c r="X53" i="129"/>
  <c r="X52" i="129"/>
  <c r="X51" i="129"/>
  <c r="X50" i="129"/>
  <c r="X49" i="129"/>
  <c r="X48" i="129"/>
  <c r="X47" i="129"/>
  <c r="X46" i="129"/>
  <c r="X45" i="129"/>
  <c r="X44" i="129"/>
  <c r="X43" i="129"/>
  <c r="X41" i="129"/>
  <c r="X40" i="129"/>
  <c r="X39" i="129"/>
  <c r="X38" i="129"/>
  <c r="X37" i="129"/>
  <c r="X36" i="129"/>
  <c r="X35" i="129"/>
  <c r="X34" i="129"/>
  <c r="X33" i="129"/>
  <c r="X32" i="129"/>
  <c r="X31" i="129"/>
  <c r="X30" i="129"/>
  <c r="X29" i="129"/>
  <c r="X28" i="129"/>
  <c r="X27" i="129"/>
  <c r="X26" i="129"/>
  <c r="X25" i="129"/>
  <c r="X24" i="129"/>
  <c r="X23" i="129"/>
  <c r="X22" i="129"/>
  <c r="U12" i="129"/>
  <c r="V12" i="129"/>
  <c r="W12" i="129"/>
  <c r="X12" i="129"/>
  <c r="U13" i="129"/>
  <c r="V13" i="129"/>
  <c r="Y13" i="129" s="1"/>
  <c r="W13" i="129"/>
  <c r="Z13" i="129" s="1"/>
  <c r="X13" i="129"/>
  <c r="J14" i="129"/>
  <c r="U14" i="129"/>
  <c r="V14" i="129"/>
  <c r="Y14" i="129" s="1"/>
  <c r="W14" i="129"/>
  <c r="Z14" i="129" s="1"/>
  <c r="X14" i="129"/>
  <c r="U15" i="129"/>
  <c r="V15" i="129"/>
  <c r="Y15" i="129" s="1"/>
  <c r="W15" i="129"/>
  <c r="Z15" i="129" s="1"/>
  <c r="X15" i="129"/>
  <c r="U16" i="129"/>
  <c r="V16" i="129"/>
  <c r="Y16" i="129" s="1"/>
  <c r="Z16" i="129"/>
  <c r="X16" i="129"/>
  <c r="U17" i="129"/>
  <c r="V17" i="129"/>
  <c r="Y17" i="129" s="1"/>
  <c r="W17" i="129"/>
  <c r="Z17" i="129" s="1"/>
  <c r="X17" i="129"/>
  <c r="U18" i="129"/>
  <c r="V18" i="129"/>
  <c r="Y18" i="129" s="1"/>
  <c r="W18" i="129"/>
  <c r="Z18" i="129" s="1"/>
  <c r="X18" i="129"/>
  <c r="U19" i="129"/>
  <c r="V19" i="129"/>
  <c r="Y19" i="129" s="1"/>
  <c r="W19" i="129"/>
  <c r="Z19" i="129" s="1"/>
  <c r="X19" i="129"/>
  <c r="U20" i="129"/>
  <c r="V20" i="129"/>
  <c r="Y20" i="129" s="1"/>
  <c r="W20" i="129"/>
  <c r="Z20" i="129" s="1"/>
  <c r="X20" i="129"/>
  <c r="U21" i="129"/>
  <c r="V21" i="129"/>
  <c r="Y21" i="129" s="1"/>
  <c r="W21" i="129"/>
  <c r="Z21" i="129" s="1"/>
  <c r="X21" i="129"/>
  <c r="J46" i="129"/>
  <c r="D46" i="129"/>
  <c r="J57" i="129"/>
  <c r="D57" i="129"/>
  <c r="F57" i="129" s="1"/>
  <c r="J52" i="129"/>
  <c r="F52" i="129"/>
  <c r="D52" i="129"/>
  <c r="J22" i="129"/>
  <c r="J30" i="129"/>
  <c r="J38" i="129"/>
  <c r="D47" i="129"/>
  <c r="F47" i="129" s="1"/>
  <c r="D48" i="129"/>
  <c r="F48" i="129" s="1"/>
  <c r="D49" i="129"/>
  <c r="F49" i="129" s="1"/>
  <c r="D53" i="129"/>
  <c r="F53" i="129"/>
  <c r="D54" i="129"/>
  <c r="F54" i="129"/>
  <c r="D55" i="129"/>
  <c r="F55" i="129"/>
  <c r="D56" i="129"/>
  <c r="F56" i="129"/>
  <c r="D58" i="129"/>
  <c r="F58" i="129" s="1"/>
  <c r="F60" i="129"/>
  <c r="G60" i="129" s="1"/>
  <c r="L60" i="129" s="1"/>
  <c r="T78" i="129"/>
  <c r="T98" i="129" s="1"/>
  <c r="G86" i="129" s="1"/>
  <c r="H81" i="129" s="1"/>
  <c r="Y78" i="129"/>
  <c r="Y98" i="129" s="1"/>
  <c r="J20" i="128"/>
  <c r="AA97" i="128"/>
  <c r="AA96" i="128"/>
  <c r="AA95" i="128"/>
  <c r="AA94" i="128"/>
  <c r="AA93" i="128"/>
  <c r="AA92" i="128"/>
  <c r="AA91" i="128"/>
  <c r="AA90" i="128"/>
  <c r="AA89" i="128"/>
  <c r="AA88" i="128"/>
  <c r="AA87" i="128"/>
  <c r="AA86" i="128"/>
  <c r="AA85" i="128"/>
  <c r="AA84" i="128"/>
  <c r="AA83" i="128"/>
  <c r="AA82" i="128"/>
  <c r="AA81" i="128"/>
  <c r="AA80" i="128"/>
  <c r="AA79" i="128"/>
  <c r="AA78" i="128"/>
  <c r="U74" i="128"/>
  <c r="U73" i="128"/>
  <c r="U72" i="128"/>
  <c r="U71" i="128"/>
  <c r="U70" i="128"/>
  <c r="U68" i="128"/>
  <c r="U67" i="128"/>
  <c r="U66" i="128"/>
  <c r="U65" i="128"/>
  <c r="U64" i="128"/>
  <c r="U62" i="128"/>
  <c r="U61" i="128"/>
  <c r="U60" i="128"/>
  <c r="U59" i="128"/>
  <c r="U58" i="128"/>
  <c r="U57" i="128"/>
  <c r="U56" i="128"/>
  <c r="U55" i="128"/>
  <c r="U54" i="128"/>
  <c r="U53" i="128"/>
  <c r="U52" i="128"/>
  <c r="U51" i="128"/>
  <c r="U50" i="128"/>
  <c r="U49" i="128"/>
  <c r="U48" i="128"/>
  <c r="U47" i="128"/>
  <c r="U46" i="128"/>
  <c r="U45" i="128"/>
  <c r="U44" i="128"/>
  <c r="U43" i="128"/>
  <c r="U41" i="128"/>
  <c r="U40" i="128"/>
  <c r="U39" i="128"/>
  <c r="U38" i="128"/>
  <c r="U37" i="128"/>
  <c r="U36" i="128"/>
  <c r="U35" i="128"/>
  <c r="U34" i="128"/>
  <c r="U33" i="128"/>
  <c r="U32" i="128"/>
  <c r="U31" i="128"/>
  <c r="U30" i="128"/>
  <c r="U29" i="128"/>
  <c r="U28" i="128"/>
  <c r="U27" i="128"/>
  <c r="U26" i="128"/>
  <c r="U25" i="128"/>
  <c r="U24" i="128"/>
  <c r="U23" i="128"/>
  <c r="U22" i="128"/>
  <c r="W74" i="128"/>
  <c r="Z74" i="128" s="1"/>
  <c r="V74" i="128"/>
  <c r="Y74" i="128" s="1"/>
  <c r="W73" i="128"/>
  <c r="Z73" i="128" s="1"/>
  <c r="V73" i="128"/>
  <c r="Y73" i="128" s="1"/>
  <c r="W72" i="128"/>
  <c r="Z72" i="128" s="1"/>
  <c r="V72" i="128"/>
  <c r="Y72" i="128" s="1"/>
  <c r="W71" i="128"/>
  <c r="Z71" i="128" s="1"/>
  <c r="V71" i="128"/>
  <c r="Y71" i="128" s="1"/>
  <c r="W70" i="128"/>
  <c r="V70" i="128"/>
  <c r="W68" i="128"/>
  <c r="Z68" i="128" s="1"/>
  <c r="V68" i="128"/>
  <c r="Y68" i="128" s="1"/>
  <c r="W67" i="128"/>
  <c r="Z67" i="128" s="1"/>
  <c r="V67" i="128"/>
  <c r="Y67" i="128" s="1"/>
  <c r="W66" i="128"/>
  <c r="Z66" i="128" s="1"/>
  <c r="V66" i="128"/>
  <c r="Y66" i="128" s="1"/>
  <c r="W65" i="128"/>
  <c r="Z65" i="128" s="1"/>
  <c r="V65" i="128"/>
  <c r="Y65" i="128" s="1"/>
  <c r="W64" i="128"/>
  <c r="V64" i="128"/>
  <c r="W62" i="128"/>
  <c r="Z62" i="128" s="1"/>
  <c r="V62" i="128"/>
  <c r="Y62" i="128" s="1"/>
  <c r="W61" i="128"/>
  <c r="Z61" i="128" s="1"/>
  <c r="V61" i="128"/>
  <c r="Y61" i="128" s="1"/>
  <c r="W60" i="128"/>
  <c r="Z60" i="128" s="1"/>
  <c r="V60" i="128"/>
  <c r="Y60" i="128" s="1"/>
  <c r="W59" i="128"/>
  <c r="Z59" i="128" s="1"/>
  <c r="V59" i="128"/>
  <c r="Y59" i="128" s="1"/>
  <c r="W58" i="128"/>
  <c r="Z58" i="128" s="1"/>
  <c r="V58" i="128"/>
  <c r="Y58" i="128" s="1"/>
  <c r="W57" i="128"/>
  <c r="Z57" i="128" s="1"/>
  <c r="V57" i="128"/>
  <c r="Y57" i="128" s="1"/>
  <c r="W56" i="128"/>
  <c r="Z56" i="128" s="1"/>
  <c r="V56" i="128"/>
  <c r="Y56" i="128" s="1"/>
  <c r="W55" i="128"/>
  <c r="Z55" i="128" s="1"/>
  <c r="V55" i="128"/>
  <c r="Y55" i="128" s="1"/>
  <c r="W54" i="128"/>
  <c r="Z54" i="128" s="1"/>
  <c r="V54" i="128"/>
  <c r="Y54" i="128" s="1"/>
  <c r="W53" i="128"/>
  <c r="Z53" i="128" s="1"/>
  <c r="V53" i="128"/>
  <c r="Y53" i="128" s="1"/>
  <c r="W52" i="128"/>
  <c r="Z52" i="128" s="1"/>
  <c r="V52" i="128"/>
  <c r="Y52" i="128" s="1"/>
  <c r="W51" i="128"/>
  <c r="Z51" i="128" s="1"/>
  <c r="V51" i="128"/>
  <c r="Y51" i="128" s="1"/>
  <c r="W50" i="128"/>
  <c r="Z50" i="128" s="1"/>
  <c r="V50" i="128"/>
  <c r="Y50" i="128" s="1"/>
  <c r="W49" i="128"/>
  <c r="Z49" i="128" s="1"/>
  <c r="V49" i="128"/>
  <c r="Y49" i="128" s="1"/>
  <c r="W48" i="128"/>
  <c r="Z48" i="128" s="1"/>
  <c r="V48" i="128"/>
  <c r="Y48" i="128" s="1"/>
  <c r="W47" i="128"/>
  <c r="Z47" i="128" s="1"/>
  <c r="V47" i="128"/>
  <c r="Y47" i="128" s="1"/>
  <c r="W46" i="128"/>
  <c r="Z46" i="128" s="1"/>
  <c r="V46" i="128"/>
  <c r="Y46" i="128" s="1"/>
  <c r="W45" i="128"/>
  <c r="Z45" i="128" s="1"/>
  <c r="V45" i="128"/>
  <c r="Y45" i="128" s="1"/>
  <c r="W44" i="128"/>
  <c r="Z44" i="128" s="1"/>
  <c r="V44" i="128"/>
  <c r="Y44" i="128" s="1"/>
  <c r="W43" i="128"/>
  <c r="V43" i="128"/>
  <c r="W41" i="128"/>
  <c r="Z41" i="128" s="1"/>
  <c r="V41" i="128"/>
  <c r="Y41" i="128" s="1"/>
  <c r="W40" i="128"/>
  <c r="Z40" i="128" s="1"/>
  <c r="V40" i="128"/>
  <c r="Y40" i="128" s="1"/>
  <c r="W39" i="128"/>
  <c r="Z39" i="128" s="1"/>
  <c r="V39" i="128"/>
  <c r="Y39" i="128" s="1"/>
  <c r="W38" i="128"/>
  <c r="Z38" i="128" s="1"/>
  <c r="V38" i="128"/>
  <c r="Y38" i="128" s="1"/>
  <c r="W37" i="128"/>
  <c r="Z37" i="128" s="1"/>
  <c r="V37" i="128"/>
  <c r="Y37" i="128" s="1"/>
  <c r="W36" i="128"/>
  <c r="Z36" i="128" s="1"/>
  <c r="V36" i="128"/>
  <c r="Y36" i="128" s="1"/>
  <c r="W35" i="128"/>
  <c r="Z35" i="128" s="1"/>
  <c r="V35" i="128"/>
  <c r="Y35" i="128" s="1"/>
  <c r="W34" i="128"/>
  <c r="Z34" i="128" s="1"/>
  <c r="V34" i="128"/>
  <c r="Y34" i="128" s="1"/>
  <c r="W33" i="128"/>
  <c r="Z33" i="128" s="1"/>
  <c r="V33" i="128"/>
  <c r="Y33" i="128" s="1"/>
  <c r="W32" i="128"/>
  <c r="Z32" i="128" s="1"/>
  <c r="V32" i="128"/>
  <c r="Y32" i="128" s="1"/>
  <c r="W31" i="128"/>
  <c r="Z31" i="128" s="1"/>
  <c r="V31" i="128"/>
  <c r="Y31" i="128" s="1"/>
  <c r="W30" i="128"/>
  <c r="Z30" i="128" s="1"/>
  <c r="V30" i="128"/>
  <c r="Y30" i="128" s="1"/>
  <c r="W29" i="128"/>
  <c r="Z29" i="128" s="1"/>
  <c r="V29" i="128"/>
  <c r="Y29" i="128" s="1"/>
  <c r="W28" i="128"/>
  <c r="Z28" i="128" s="1"/>
  <c r="V28" i="128"/>
  <c r="Y28" i="128" s="1"/>
  <c r="W27" i="128"/>
  <c r="Z27" i="128" s="1"/>
  <c r="V27" i="128"/>
  <c r="Y27" i="128" s="1"/>
  <c r="W26" i="128"/>
  <c r="Z26" i="128" s="1"/>
  <c r="V26" i="128"/>
  <c r="Y26" i="128" s="1"/>
  <c r="W25" i="128"/>
  <c r="Z25" i="128" s="1"/>
  <c r="V25" i="128"/>
  <c r="Y25" i="128" s="1"/>
  <c r="W24" i="128"/>
  <c r="Z24" i="128" s="1"/>
  <c r="V24" i="128"/>
  <c r="Y24" i="128" s="1"/>
  <c r="W23" i="128"/>
  <c r="Z23" i="128" s="1"/>
  <c r="W22" i="128"/>
  <c r="Z22" i="128" s="1"/>
  <c r="V22" i="128"/>
  <c r="Y22" i="128" s="1"/>
  <c r="AB97" i="128"/>
  <c r="AB96" i="128"/>
  <c r="AB95" i="128"/>
  <c r="AB94" i="128"/>
  <c r="AB93" i="128"/>
  <c r="AB92" i="128"/>
  <c r="AB91" i="128"/>
  <c r="AB90" i="128"/>
  <c r="AB89" i="128"/>
  <c r="AB88" i="128"/>
  <c r="AB87" i="128"/>
  <c r="AB86" i="128"/>
  <c r="AB85" i="128"/>
  <c r="AB84" i="128"/>
  <c r="AB83" i="128"/>
  <c r="AB82" i="128"/>
  <c r="AB81" i="128"/>
  <c r="AB80" i="128"/>
  <c r="AB79" i="128"/>
  <c r="AB78" i="128"/>
  <c r="X74" i="128"/>
  <c r="X73" i="128"/>
  <c r="X72" i="128"/>
  <c r="X71" i="128"/>
  <c r="X70" i="128"/>
  <c r="X68" i="128"/>
  <c r="X67" i="128"/>
  <c r="X66" i="128"/>
  <c r="X65" i="128"/>
  <c r="X64" i="128"/>
  <c r="X62" i="128"/>
  <c r="X61" i="128"/>
  <c r="X60" i="128"/>
  <c r="X59" i="128"/>
  <c r="X58" i="128"/>
  <c r="X57" i="128"/>
  <c r="X56" i="128"/>
  <c r="X55" i="128"/>
  <c r="X54" i="128"/>
  <c r="X53" i="128"/>
  <c r="X52" i="128"/>
  <c r="X51" i="128"/>
  <c r="X50" i="128"/>
  <c r="X49" i="128"/>
  <c r="X48" i="128"/>
  <c r="X47" i="128"/>
  <c r="X46" i="128"/>
  <c r="X45" i="128"/>
  <c r="X44" i="128"/>
  <c r="X43" i="128"/>
  <c r="X41" i="128"/>
  <c r="X40" i="128"/>
  <c r="X39" i="128"/>
  <c r="X38" i="128"/>
  <c r="X37" i="128"/>
  <c r="X36" i="128"/>
  <c r="X35" i="128"/>
  <c r="X34" i="128"/>
  <c r="X33" i="128"/>
  <c r="X32" i="128"/>
  <c r="X31" i="128"/>
  <c r="X30" i="128"/>
  <c r="X29" i="128"/>
  <c r="X28" i="128"/>
  <c r="X27" i="128"/>
  <c r="X26" i="128"/>
  <c r="X25" i="128"/>
  <c r="X24" i="128"/>
  <c r="X23" i="128"/>
  <c r="X22" i="128"/>
  <c r="U12" i="128"/>
  <c r="V12" i="128"/>
  <c r="W12" i="128"/>
  <c r="X12" i="128"/>
  <c r="U13" i="128"/>
  <c r="V13" i="128"/>
  <c r="Y13" i="128" s="1"/>
  <c r="W13" i="128"/>
  <c r="Z13" i="128" s="1"/>
  <c r="X13" i="128"/>
  <c r="J14" i="128"/>
  <c r="U14" i="128"/>
  <c r="V14" i="128"/>
  <c r="Y14" i="128" s="1"/>
  <c r="W14" i="128"/>
  <c r="Z14" i="128" s="1"/>
  <c r="X14" i="128"/>
  <c r="U15" i="128"/>
  <c r="V15" i="128"/>
  <c r="Y15" i="128" s="1"/>
  <c r="W15" i="128"/>
  <c r="Z15" i="128" s="1"/>
  <c r="X15" i="128"/>
  <c r="U16" i="128"/>
  <c r="V16" i="128"/>
  <c r="Y16" i="128" s="1"/>
  <c r="W16" i="128"/>
  <c r="Z16" i="128" s="1"/>
  <c r="X16" i="128"/>
  <c r="U17" i="128"/>
  <c r="V17" i="128"/>
  <c r="Y17" i="128" s="1"/>
  <c r="W17" i="128"/>
  <c r="Z17" i="128" s="1"/>
  <c r="X17" i="128"/>
  <c r="U18" i="128"/>
  <c r="V18" i="128"/>
  <c r="Y18" i="128" s="1"/>
  <c r="W18" i="128"/>
  <c r="Z18" i="128" s="1"/>
  <c r="X18" i="128"/>
  <c r="U19" i="128"/>
  <c r="V19" i="128"/>
  <c r="Y19" i="128" s="1"/>
  <c r="W19" i="128"/>
  <c r="Z19" i="128" s="1"/>
  <c r="X19" i="128"/>
  <c r="U20" i="128"/>
  <c r="V20" i="128"/>
  <c r="Y20" i="128" s="1"/>
  <c r="W20" i="128"/>
  <c r="Z20" i="128" s="1"/>
  <c r="X20" i="128"/>
  <c r="U21" i="128"/>
  <c r="V21" i="128"/>
  <c r="Y21" i="128" s="1"/>
  <c r="W21" i="128"/>
  <c r="Z21" i="128" s="1"/>
  <c r="X21" i="128"/>
  <c r="J46" i="128"/>
  <c r="D46" i="128"/>
  <c r="J57" i="128"/>
  <c r="D57" i="128"/>
  <c r="F57" i="128" s="1"/>
  <c r="J52" i="128"/>
  <c r="F52" i="128"/>
  <c r="D52" i="128"/>
  <c r="J22" i="128"/>
  <c r="J30" i="128"/>
  <c r="J38" i="128"/>
  <c r="D47" i="128"/>
  <c r="F47" i="128" s="1"/>
  <c r="D48" i="128"/>
  <c r="F48" i="128" s="1"/>
  <c r="D49" i="128"/>
  <c r="F49" i="128" s="1"/>
  <c r="D53" i="128"/>
  <c r="F53" i="128"/>
  <c r="D54" i="128"/>
  <c r="F54" i="128"/>
  <c r="D55" i="128"/>
  <c r="F55" i="128"/>
  <c r="D56" i="128"/>
  <c r="F56" i="128"/>
  <c r="D58" i="128"/>
  <c r="F58" i="128" s="1"/>
  <c r="F60" i="128"/>
  <c r="G60" i="128" s="1"/>
  <c r="L60" i="128" s="1"/>
  <c r="T78" i="128"/>
  <c r="T98" i="128" s="1"/>
  <c r="G86" i="128" s="1"/>
  <c r="H81" i="128" s="1"/>
  <c r="Y78" i="128"/>
  <c r="Y98" i="128" s="1"/>
  <c r="J20" i="127"/>
  <c r="AA97" i="127"/>
  <c r="AA96" i="127"/>
  <c r="AA95" i="127"/>
  <c r="AA94" i="127"/>
  <c r="AA93" i="127"/>
  <c r="AA92" i="127"/>
  <c r="AA91" i="127"/>
  <c r="AA90" i="127"/>
  <c r="AA89" i="127"/>
  <c r="AA88" i="127"/>
  <c r="AA87" i="127"/>
  <c r="AA86" i="127"/>
  <c r="AA85" i="127"/>
  <c r="AA84" i="127"/>
  <c r="AA83" i="127"/>
  <c r="AA82" i="127"/>
  <c r="AA81" i="127"/>
  <c r="AA80" i="127"/>
  <c r="AA79" i="127"/>
  <c r="AA78" i="127"/>
  <c r="U74" i="127"/>
  <c r="U73" i="127"/>
  <c r="U72" i="127"/>
  <c r="U71" i="127"/>
  <c r="U70" i="127"/>
  <c r="U68" i="127"/>
  <c r="U67" i="127"/>
  <c r="U66" i="127"/>
  <c r="U65" i="127"/>
  <c r="U64" i="127"/>
  <c r="U62" i="127"/>
  <c r="U61" i="127"/>
  <c r="U60" i="127"/>
  <c r="U59" i="127"/>
  <c r="U58" i="127"/>
  <c r="U57" i="127"/>
  <c r="U56" i="127"/>
  <c r="U55" i="127"/>
  <c r="U54" i="127"/>
  <c r="U53" i="127"/>
  <c r="U52" i="127"/>
  <c r="U51" i="127"/>
  <c r="U50" i="127"/>
  <c r="U49" i="127"/>
  <c r="U48" i="127"/>
  <c r="U47" i="127"/>
  <c r="U46" i="127"/>
  <c r="U45" i="127"/>
  <c r="U44" i="127"/>
  <c r="U43" i="127"/>
  <c r="U41" i="127"/>
  <c r="U40" i="127"/>
  <c r="U39" i="127"/>
  <c r="U38" i="127"/>
  <c r="U37" i="127"/>
  <c r="U36" i="127"/>
  <c r="U35" i="127"/>
  <c r="U34" i="127"/>
  <c r="U33" i="127"/>
  <c r="U32" i="127"/>
  <c r="U31" i="127"/>
  <c r="U30" i="127"/>
  <c r="U29" i="127"/>
  <c r="U28" i="127"/>
  <c r="U27" i="127"/>
  <c r="U26" i="127"/>
  <c r="U25" i="127"/>
  <c r="U24" i="127"/>
  <c r="U23" i="127"/>
  <c r="U22" i="127"/>
  <c r="W74" i="127"/>
  <c r="Z74" i="127" s="1"/>
  <c r="V74" i="127"/>
  <c r="Y74" i="127" s="1"/>
  <c r="W73" i="127"/>
  <c r="Z73" i="127" s="1"/>
  <c r="V73" i="127"/>
  <c r="Y73" i="127" s="1"/>
  <c r="W72" i="127"/>
  <c r="Z72" i="127" s="1"/>
  <c r="V72" i="127"/>
  <c r="Y72" i="127" s="1"/>
  <c r="W71" i="127"/>
  <c r="Z71" i="127" s="1"/>
  <c r="V71" i="127"/>
  <c r="Y71" i="127" s="1"/>
  <c r="W70" i="127"/>
  <c r="V70" i="127"/>
  <c r="W68" i="127"/>
  <c r="Z68" i="127" s="1"/>
  <c r="V68" i="127"/>
  <c r="Y68" i="127" s="1"/>
  <c r="W67" i="127"/>
  <c r="Z67" i="127" s="1"/>
  <c r="V67" i="127"/>
  <c r="Y67" i="127" s="1"/>
  <c r="W66" i="127"/>
  <c r="Z66" i="127" s="1"/>
  <c r="V66" i="127"/>
  <c r="Y66" i="127" s="1"/>
  <c r="W65" i="127"/>
  <c r="Z65" i="127" s="1"/>
  <c r="V65" i="127"/>
  <c r="Y65" i="127" s="1"/>
  <c r="W64" i="127"/>
  <c r="V64" i="127"/>
  <c r="W62" i="127"/>
  <c r="Z62" i="127" s="1"/>
  <c r="V62" i="127"/>
  <c r="Y62" i="127" s="1"/>
  <c r="W61" i="127"/>
  <c r="Z61" i="127" s="1"/>
  <c r="V61" i="127"/>
  <c r="Y61" i="127" s="1"/>
  <c r="W60" i="127"/>
  <c r="Z60" i="127" s="1"/>
  <c r="V60" i="127"/>
  <c r="Y60" i="127" s="1"/>
  <c r="W59" i="127"/>
  <c r="Z59" i="127" s="1"/>
  <c r="V59" i="127"/>
  <c r="Y59" i="127" s="1"/>
  <c r="W58" i="127"/>
  <c r="Z58" i="127" s="1"/>
  <c r="V58" i="127"/>
  <c r="Y58" i="127" s="1"/>
  <c r="W57" i="127"/>
  <c r="Z57" i="127" s="1"/>
  <c r="V57" i="127"/>
  <c r="Y57" i="127" s="1"/>
  <c r="W56" i="127"/>
  <c r="Z56" i="127" s="1"/>
  <c r="V56" i="127"/>
  <c r="Y56" i="127" s="1"/>
  <c r="W55" i="127"/>
  <c r="Z55" i="127" s="1"/>
  <c r="V55" i="127"/>
  <c r="Y55" i="127" s="1"/>
  <c r="W54" i="127"/>
  <c r="Z54" i="127" s="1"/>
  <c r="V54" i="127"/>
  <c r="Y54" i="127" s="1"/>
  <c r="W53" i="127"/>
  <c r="Z53" i="127" s="1"/>
  <c r="V53" i="127"/>
  <c r="Y53" i="127" s="1"/>
  <c r="W52" i="127"/>
  <c r="Z52" i="127" s="1"/>
  <c r="V52" i="127"/>
  <c r="Y52" i="127" s="1"/>
  <c r="W51" i="127"/>
  <c r="Z51" i="127" s="1"/>
  <c r="V51" i="127"/>
  <c r="Y51" i="127" s="1"/>
  <c r="W50" i="127"/>
  <c r="Z50" i="127" s="1"/>
  <c r="V50" i="127"/>
  <c r="Y50" i="127" s="1"/>
  <c r="W49" i="127"/>
  <c r="Z49" i="127" s="1"/>
  <c r="V49" i="127"/>
  <c r="Y49" i="127" s="1"/>
  <c r="W48" i="127"/>
  <c r="Z48" i="127" s="1"/>
  <c r="V48" i="127"/>
  <c r="Y48" i="127" s="1"/>
  <c r="W47" i="127"/>
  <c r="Z47" i="127" s="1"/>
  <c r="V47" i="127"/>
  <c r="Y47" i="127" s="1"/>
  <c r="W46" i="127"/>
  <c r="Z46" i="127" s="1"/>
  <c r="V46" i="127"/>
  <c r="Y46" i="127" s="1"/>
  <c r="W45" i="127"/>
  <c r="Z45" i="127" s="1"/>
  <c r="V45" i="127"/>
  <c r="Y45" i="127" s="1"/>
  <c r="W44" i="127"/>
  <c r="Z44" i="127" s="1"/>
  <c r="V44" i="127"/>
  <c r="Y44" i="127" s="1"/>
  <c r="W43" i="127"/>
  <c r="V43" i="127"/>
  <c r="W41" i="127"/>
  <c r="Z41" i="127" s="1"/>
  <c r="V41" i="127"/>
  <c r="Y41" i="127" s="1"/>
  <c r="W40" i="127"/>
  <c r="Z40" i="127" s="1"/>
  <c r="V40" i="127"/>
  <c r="Y40" i="127" s="1"/>
  <c r="W39" i="127"/>
  <c r="Z39" i="127" s="1"/>
  <c r="V39" i="127"/>
  <c r="Y39" i="127" s="1"/>
  <c r="W38" i="127"/>
  <c r="Z38" i="127" s="1"/>
  <c r="V38" i="127"/>
  <c r="Y38" i="127" s="1"/>
  <c r="W37" i="127"/>
  <c r="Z37" i="127" s="1"/>
  <c r="V37" i="127"/>
  <c r="Y37" i="127" s="1"/>
  <c r="W36" i="127"/>
  <c r="Z36" i="127" s="1"/>
  <c r="V36" i="127"/>
  <c r="Y36" i="127" s="1"/>
  <c r="W35" i="127"/>
  <c r="Z35" i="127" s="1"/>
  <c r="V35" i="127"/>
  <c r="Y35" i="127" s="1"/>
  <c r="W34" i="127"/>
  <c r="Z34" i="127" s="1"/>
  <c r="V34" i="127"/>
  <c r="Y34" i="127" s="1"/>
  <c r="W33" i="127"/>
  <c r="Z33" i="127" s="1"/>
  <c r="V33" i="127"/>
  <c r="Y33" i="127" s="1"/>
  <c r="W32" i="127"/>
  <c r="Z32" i="127" s="1"/>
  <c r="V32" i="127"/>
  <c r="Y32" i="127" s="1"/>
  <c r="W31" i="127"/>
  <c r="Z31" i="127" s="1"/>
  <c r="V31" i="127"/>
  <c r="Y31" i="127" s="1"/>
  <c r="W30" i="127"/>
  <c r="Z30" i="127" s="1"/>
  <c r="V30" i="127"/>
  <c r="Y30" i="127" s="1"/>
  <c r="W29" i="127"/>
  <c r="Z29" i="127" s="1"/>
  <c r="V29" i="127"/>
  <c r="Y29" i="127" s="1"/>
  <c r="W28" i="127"/>
  <c r="Z28" i="127" s="1"/>
  <c r="V28" i="127"/>
  <c r="Y28" i="127" s="1"/>
  <c r="W27" i="127"/>
  <c r="Z27" i="127" s="1"/>
  <c r="V27" i="127"/>
  <c r="Y27" i="127" s="1"/>
  <c r="W26" i="127"/>
  <c r="Z26" i="127" s="1"/>
  <c r="V26" i="127"/>
  <c r="Y26" i="127" s="1"/>
  <c r="W25" i="127"/>
  <c r="Z25" i="127" s="1"/>
  <c r="V25" i="127"/>
  <c r="Y25" i="127" s="1"/>
  <c r="W24" i="127"/>
  <c r="Z24" i="127" s="1"/>
  <c r="V24" i="127"/>
  <c r="Y24" i="127" s="1"/>
  <c r="W23" i="127"/>
  <c r="Z23" i="127" s="1"/>
  <c r="V23" i="127"/>
  <c r="Y23" i="127" s="1"/>
  <c r="W22" i="127"/>
  <c r="Z22" i="127" s="1"/>
  <c r="V22" i="127"/>
  <c r="Y22" i="127" s="1"/>
  <c r="AB97" i="127"/>
  <c r="AB96" i="127"/>
  <c r="AB95" i="127"/>
  <c r="AB94" i="127"/>
  <c r="AB93" i="127"/>
  <c r="AB92" i="127"/>
  <c r="AB91" i="127"/>
  <c r="AB90" i="127"/>
  <c r="AB89" i="127"/>
  <c r="AB88" i="127"/>
  <c r="AB87" i="127"/>
  <c r="AB86" i="127"/>
  <c r="AB85" i="127"/>
  <c r="AB84" i="127"/>
  <c r="AB83" i="127"/>
  <c r="AB82" i="127"/>
  <c r="AB81" i="127"/>
  <c r="AB80" i="127"/>
  <c r="AB79" i="127"/>
  <c r="AB78" i="127"/>
  <c r="X74" i="127"/>
  <c r="X73" i="127"/>
  <c r="X72" i="127"/>
  <c r="X71" i="127"/>
  <c r="X70" i="127"/>
  <c r="X68" i="127"/>
  <c r="X67" i="127"/>
  <c r="X66" i="127"/>
  <c r="X65" i="127"/>
  <c r="X64" i="127"/>
  <c r="X62" i="127"/>
  <c r="X61" i="127"/>
  <c r="X60" i="127"/>
  <c r="X59" i="127"/>
  <c r="X58" i="127"/>
  <c r="X57" i="127"/>
  <c r="X56" i="127"/>
  <c r="X55" i="127"/>
  <c r="X54" i="127"/>
  <c r="X53" i="127"/>
  <c r="X52" i="127"/>
  <c r="X51" i="127"/>
  <c r="X50" i="127"/>
  <c r="X49" i="127"/>
  <c r="X48" i="127"/>
  <c r="X47" i="127"/>
  <c r="X46" i="127"/>
  <c r="X45" i="127"/>
  <c r="X44" i="127"/>
  <c r="X43" i="127"/>
  <c r="X41" i="127"/>
  <c r="X40" i="127"/>
  <c r="X39" i="127"/>
  <c r="X38" i="127"/>
  <c r="X37" i="127"/>
  <c r="X36" i="127"/>
  <c r="X35" i="127"/>
  <c r="X34" i="127"/>
  <c r="X33" i="127"/>
  <c r="X32" i="127"/>
  <c r="X31" i="127"/>
  <c r="X30" i="127"/>
  <c r="X29" i="127"/>
  <c r="X28" i="127"/>
  <c r="X27" i="127"/>
  <c r="X26" i="127"/>
  <c r="X25" i="127"/>
  <c r="X24" i="127"/>
  <c r="X23" i="127"/>
  <c r="X22" i="127"/>
  <c r="U12" i="127"/>
  <c r="V12" i="127"/>
  <c r="W12" i="127"/>
  <c r="X12" i="127"/>
  <c r="U13" i="127"/>
  <c r="V13" i="127"/>
  <c r="Y13" i="127" s="1"/>
  <c r="W13" i="127"/>
  <c r="Z13" i="127" s="1"/>
  <c r="X13" i="127"/>
  <c r="J14" i="127"/>
  <c r="U14" i="127"/>
  <c r="V14" i="127"/>
  <c r="Y14" i="127" s="1"/>
  <c r="W14" i="127"/>
  <c r="Z14" i="127" s="1"/>
  <c r="X14" i="127"/>
  <c r="U15" i="127"/>
  <c r="V15" i="127"/>
  <c r="Y15" i="127" s="1"/>
  <c r="W15" i="127"/>
  <c r="Z15" i="127" s="1"/>
  <c r="X15" i="127"/>
  <c r="U16" i="127"/>
  <c r="V16" i="127"/>
  <c r="Y16" i="127" s="1"/>
  <c r="W16" i="127"/>
  <c r="Z16" i="127" s="1"/>
  <c r="X16" i="127"/>
  <c r="U17" i="127"/>
  <c r="V17" i="127"/>
  <c r="Y17" i="127" s="1"/>
  <c r="W17" i="127"/>
  <c r="Z17" i="127" s="1"/>
  <c r="X17" i="127"/>
  <c r="U18" i="127"/>
  <c r="V18" i="127"/>
  <c r="Y18" i="127" s="1"/>
  <c r="W18" i="127"/>
  <c r="Z18" i="127" s="1"/>
  <c r="X18" i="127"/>
  <c r="U19" i="127"/>
  <c r="V19" i="127"/>
  <c r="Y19" i="127" s="1"/>
  <c r="W19" i="127"/>
  <c r="Z19" i="127" s="1"/>
  <c r="X19" i="127"/>
  <c r="U20" i="127"/>
  <c r="V20" i="127"/>
  <c r="Y20" i="127" s="1"/>
  <c r="W20" i="127"/>
  <c r="Z20" i="127" s="1"/>
  <c r="X20" i="127"/>
  <c r="U21" i="127"/>
  <c r="V21" i="127"/>
  <c r="Y21" i="127" s="1"/>
  <c r="W21" i="127"/>
  <c r="Z21" i="127" s="1"/>
  <c r="X21" i="127"/>
  <c r="J46" i="127"/>
  <c r="D46" i="127"/>
  <c r="J57" i="127"/>
  <c r="D57" i="127"/>
  <c r="F57" i="127" s="1"/>
  <c r="J52" i="127"/>
  <c r="F52" i="127"/>
  <c r="D52" i="127"/>
  <c r="J22" i="127"/>
  <c r="J30" i="127"/>
  <c r="J38" i="127"/>
  <c r="D47" i="127"/>
  <c r="F47" i="127" s="1"/>
  <c r="D48" i="127"/>
  <c r="F48" i="127" s="1"/>
  <c r="D49" i="127"/>
  <c r="F49" i="127" s="1"/>
  <c r="D50" i="127"/>
  <c r="F50" i="127" s="1"/>
  <c r="D53" i="127"/>
  <c r="F53" i="127"/>
  <c r="D54" i="127"/>
  <c r="F54" i="127"/>
  <c r="D55" i="127"/>
  <c r="F55" i="127"/>
  <c r="D56" i="127"/>
  <c r="F56" i="127"/>
  <c r="D58" i="127"/>
  <c r="F58" i="127" s="1"/>
  <c r="F60" i="127"/>
  <c r="G60" i="127" s="1"/>
  <c r="L60" i="127" s="1"/>
  <c r="T78" i="127"/>
  <c r="T98" i="127" s="1"/>
  <c r="G86" i="127" s="1"/>
  <c r="H81" i="127" s="1"/>
  <c r="Y78" i="127"/>
  <c r="Y98" i="127" s="1"/>
  <c r="J20" i="126"/>
  <c r="AA97" i="126"/>
  <c r="AA96" i="126"/>
  <c r="AA95" i="126"/>
  <c r="AA94" i="126"/>
  <c r="AA93" i="126"/>
  <c r="AA92" i="126"/>
  <c r="AA91" i="126"/>
  <c r="AA90" i="126"/>
  <c r="AA89" i="126"/>
  <c r="AA88" i="126"/>
  <c r="AA87" i="126"/>
  <c r="AA86" i="126"/>
  <c r="AA85" i="126"/>
  <c r="AA84" i="126"/>
  <c r="AA83" i="126"/>
  <c r="AA82" i="126"/>
  <c r="AA81" i="126"/>
  <c r="AA80" i="126"/>
  <c r="AA79" i="126"/>
  <c r="AA78" i="126"/>
  <c r="U74" i="126"/>
  <c r="U73" i="126"/>
  <c r="U72" i="126"/>
  <c r="U71" i="126"/>
  <c r="U70" i="126"/>
  <c r="U68" i="126"/>
  <c r="U67" i="126"/>
  <c r="U66" i="126"/>
  <c r="U65" i="126"/>
  <c r="U64" i="126"/>
  <c r="U62" i="126"/>
  <c r="U61" i="126"/>
  <c r="U60" i="126"/>
  <c r="U59" i="126"/>
  <c r="U58" i="126"/>
  <c r="U57" i="126"/>
  <c r="U56" i="126"/>
  <c r="U55" i="126"/>
  <c r="U54" i="126"/>
  <c r="U53" i="126"/>
  <c r="U52" i="126"/>
  <c r="U51" i="126"/>
  <c r="U50" i="126"/>
  <c r="U49" i="126"/>
  <c r="U48" i="126"/>
  <c r="U47" i="126"/>
  <c r="U46" i="126"/>
  <c r="U45" i="126"/>
  <c r="U44" i="126"/>
  <c r="U43" i="126"/>
  <c r="U41" i="126"/>
  <c r="U40" i="126"/>
  <c r="U39" i="126"/>
  <c r="U38" i="126"/>
  <c r="U37" i="126"/>
  <c r="U36" i="126"/>
  <c r="U35" i="126"/>
  <c r="U34" i="126"/>
  <c r="U33" i="126"/>
  <c r="U32" i="126"/>
  <c r="U31" i="126"/>
  <c r="U30" i="126"/>
  <c r="U29" i="126"/>
  <c r="U28" i="126"/>
  <c r="U27" i="126"/>
  <c r="U26" i="126"/>
  <c r="U25" i="126"/>
  <c r="U24" i="126"/>
  <c r="U23" i="126"/>
  <c r="U22" i="126"/>
  <c r="W74" i="126"/>
  <c r="Z74" i="126" s="1"/>
  <c r="V74" i="126"/>
  <c r="Y74" i="126" s="1"/>
  <c r="W73" i="126"/>
  <c r="Z73" i="126" s="1"/>
  <c r="V73" i="126"/>
  <c r="Y73" i="126" s="1"/>
  <c r="W72" i="126"/>
  <c r="Z72" i="126" s="1"/>
  <c r="V72" i="126"/>
  <c r="Y72" i="126" s="1"/>
  <c r="W71" i="126"/>
  <c r="Z71" i="126" s="1"/>
  <c r="V71" i="126"/>
  <c r="Y71" i="126" s="1"/>
  <c r="W70" i="126"/>
  <c r="V70" i="126"/>
  <c r="W68" i="126"/>
  <c r="Z68" i="126" s="1"/>
  <c r="V68" i="126"/>
  <c r="Y68" i="126" s="1"/>
  <c r="W67" i="126"/>
  <c r="Z67" i="126" s="1"/>
  <c r="V67" i="126"/>
  <c r="Y67" i="126" s="1"/>
  <c r="W66" i="126"/>
  <c r="Z66" i="126" s="1"/>
  <c r="V66" i="126"/>
  <c r="Y66" i="126" s="1"/>
  <c r="W65" i="126"/>
  <c r="Z65" i="126" s="1"/>
  <c r="V65" i="126"/>
  <c r="Y65" i="126" s="1"/>
  <c r="W64" i="126"/>
  <c r="V64" i="126"/>
  <c r="W62" i="126"/>
  <c r="Z62" i="126" s="1"/>
  <c r="V62" i="126"/>
  <c r="Y62" i="126" s="1"/>
  <c r="W61" i="126"/>
  <c r="Z61" i="126" s="1"/>
  <c r="V61" i="126"/>
  <c r="Y61" i="126" s="1"/>
  <c r="W60" i="126"/>
  <c r="Z60" i="126" s="1"/>
  <c r="V60" i="126"/>
  <c r="Y60" i="126" s="1"/>
  <c r="W59" i="126"/>
  <c r="Z59" i="126" s="1"/>
  <c r="V59" i="126"/>
  <c r="Y59" i="126" s="1"/>
  <c r="W58" i="126"/>
  <c r="Z58" i="126" s="1"/>
  <c r="V58" i="126"/>
  <c r="Y58" i="126" s="1"/>
  <c r="W57" i="126"/>
  <c r="Z57" i="126" s="1"/>
  <c r="V57" i="126"/>
  <c r="Y57" i="126" s="1"/>
  <c r="W56" i="126"/>
  <c r="Z56" i="126" s="1"/>
  <c r="V56" i="126"/>
  <c r="Y56" i="126" s="1"/>
  <c r="W55" i="126"/>
  <c r="Z55" i="126" s="1"/>
  <c r="V55" i="126"/>
  <c r="Y55" i="126" s="1"/>
  <c r="W54" i="126"/>
  <c r="Z54" i="126" s="1"/>
  <c r="V54" i="126"/>
  <c r="Y54" i="126" s="1"/>
  <c r="W53" i="126"/>
  <c r="Z53" i="126" s="1"/>
  <c r="V53" i="126"/>
  <c r="Y53" i="126" s="1"/>
  <c r="W52" i="126"/>
  <c r="Z52" i="126" s="1"/>
  <c r="V52" i="126"/>
  <c r="Y52" i="126" s="1"/>
  <c r="W51" i="126"/>
  <c r="Z51" i="126" s="1"/>
  <c r="V51" i="126"/>
  <c r="Y51" i="126" s="1"/>
  <c r="W50" i="126"/>
  <c r="Z50" i="126" s="1"/>
  <c r="V50" i="126"/>
  <c r="Y50" i="126" s="1"/>
  <c r="W49" i="126"/>
  <c r="Z49" i="126" s="1"/>
  <c r="V49" i="126"/>
  <c r="Y49" i="126" s="1"/>
  <c r="W48" i="126"/>
  <c r="Z48" i="126" s="1"/>
  <c r="V48" i="126"/>
  <c r="Y48" i="126" s="1"/>
  <c r="W47" i="126"/>
  <c r="Z47" i="126" s="1"/>
  <c r="V47" i="126"/>
  <c r="Y47" i="126" s="1"/>
  <c r="W46" i="126"/>
  <c r="Z46" i="126" s="1"/>
  <c r="V46" i="126"/>
  <c r="Y46" i="126" s="1"/>
  <c r="W45" i="126"/>
  <c r="Z45" i="126" s="1"/>
  <c r="V45" i="126"/>
  <c r="Y45" i="126" s="1"/>
  <c r="W44" i="126"/>
  <c r="Z44" i="126" s="1"/>
  <c r="V44" i="126"/>
  <c r="Y44" i="126" s="1"/>
  <c r="W43" i="126"/>
  <c r="V43" i="126"/>
  <c r="W41" i="126"/>
  <c r="Z41" i="126" s="1"/>
  <c r="V41" i="126"/>
  <c r="Y41" i="126" s="1"/>
  <c r="W40" i="126"/>
  <c r="Z40" i="126" s="1"/>
  <c r="V40" i="126"/>
  <c r="Y40" i="126" s="1"/>
  <c r="W39" i="126"/>
  <c r="Z39" i="126" s="1"/>
  <c r="V39" i="126"/>
  <c r="Y39" i="126" s="1"/>
  <c r="W38" i="126"/>
  <c r="Z38" i="126" s="1"/>
  <c r="V38" i="126"/>
  <c r="Y38" i="126" s="1"/>
  <c r="W37" i="126"/>
  <c r="Z37" i="126" s="1"/>
  <c r="V37" i="126"/>
  <c r="Y37" i="126" s="1"/>
  <c r="W36" i="126"/>
  <c r="Z36" i="126" s="1"/>
  <c r="V36" i="126"/>
  <c r="Y36" i="126" s="1"/>
  <c r="W35" i="126"/>
  <c r="Z35" i="126" s="1"/>
  <c r="V35" i="126"/>
  <c r="Y35" i="126" s="1"/>
  <c r="W34" i="126"/>
  <c r="Z34" i="126" s="1"/>
  <c r="V34" i="126"/>
  <c r="Y34" i="126" s="1"/>
  <c r="W33" i="126"/>
  <c r="Z33" i="126" s="1"/>
  <c r="V33" i="126"/>
  <c r="Y33" i="126" s="1"/>
  <c r="W32" i="126"/>
  <c r="Z32" i="126" s="1"/>
  <c r="V32" i="126"/>
  <c r="Y32" i="126" s="1"/>
  <c r="W31" i="126"/>
  <c r="Z31" i="126" s="1"/>
  <c r="V31" i="126"/>
  <c r="Y31" i="126" s="1"/>
  <c r="W30" i="126"/>
  <c r="Z30" i="126" s="1"/>
  <c r="V30" i="126"/>
  <c r="Y30" i="126" s="1"/>
  <c r="W29" i="126"/>
  <c r="Z29" i="126" s="1"/>
  <c r="V29" i="126"/>
  <c r="Y29" i="126" s="1"/>
  <c r="W28" i="126"/>
  <c r="Z28" i="126" s="1"/>
  <c r="V28" i="126"/>
  <c r="Y28" i="126" s="1"/>
  <c r="W27" i="126"/>
  <c r="Z27" i="126" s="1"/>
  <c r="V27" i="126"/>
  <c r="Y27" i="126" s="1"/>
  <c r="W26" i="126"/>
  <c r="Z26" i="126" s="1"/>
  <c r="V26" i="126"/>
  <c r="Y26" i="126" s="1"/>
  <c r="W25" i="126"/>
  <c r="Z25" i="126" s="1"/>
  <c r="V25" i="126"/>
  <c r="Y25" i="126" s="1"/>
  <c r="W24" i="126"/>
  <c r="Z24" i="126" s="1"/>
  <c r="V24" i="126"/>
  <c r="Y24" i="126" s="1"/>
  <c r="W23" i="126"/>
  <c r="Z23" i="126" s="1"/>
  <c r="V23" i="126"/>
  <c r="Y23" i="126" s="1"/>
  <c r="W22" i="126"/>
  <c r="Z22" i="126" s="1"/>
  <c r="V22" i="126"/>
  <c r="Y22" i="126" s="1"/>
  <c r="AB97" i="126"/>
  <c r="AB96" i="126"/>
  <c r="AB95" i="126"/>
  <c r="AB94" i="126"/>
  <c r="AB93" i="126"/>
  <c r="AB92" i="126"/>
  <c r="AB91" i="126"/>
  <c r="AB90" i="126"/>
  <c r="AB89" i="126"/>
  <c r="AB88" i="126"/>
  <c r="AB87" i="126"/>
  <c r="AB86" i="126"/>
  <c r="AB85" i="126"/>
  <c r="AB84" i="126"/>
  <c r="AB83" i="126"/>
  <c r="AB82" i="126"/>
  <c r="AB81" i="126"/>
  <c r="AB80" i="126"/>
  <c r="AB79" i="126"/>
  <c r="AB78" i="126"/>
  <c r="X74" i="126"/>
  <c r="X73" i="126"/>
  <c r="X72" i="126"/>
  <c r="X71" i="126"/>
  <c r="X70" i="126"/>
  <c r="X68" i="126"/>
  <c r="X67" i="126"/>
  <c r="X66" i="126"/>
  <c r="X65" i="126"/>
  <c r="X64" i="126"/>
  <c r="X62" i="126"/>
  <c r="X61" i="126"/>
  <c r="X60" i="126"/>
  <c r="X59" i="126"/>
  <c r="X58" i="126"/>
  <c r="X57" i="126"/>
  <c r="X56" i="126"/>
  <c r="X55" i="126"/>
  <c r="X54" i="126"/>
  <c r="X53" i="126"/>
  <c r="X52" i="126"/>
  <c r="X51" i="126"/>
  <c r="X50" i="126"/>
  <c r="X49" i="126"/>
  <c r="X48" i="126"/>
  <c r="X47" i="126"/>
  <c r="X46" i="126"/>
  <c r="X45" i="126"/>
  <c r="X44" i="126"/>
  <c r="X43" i="126"/>
  <c r="X41" i="126"/>
  <c r="X40" i="126"/>
  <c r="X39" i="126"/>
  <c r="X38" i="126"/>
  <c r="X37" i="126"/>
  <c r="X36" i="126"/>
  <c r="X35" i="126"/>
  <c r="X34" i="126"/>
  <c r="X33" i="126"/>
  <c r="X32" i="126"/>
  <c r="X31" i="126"/>
  <c r="X30" i="126"/>
  <c r="X29" i="126"/>
  <c r="X28" i="126"/>
  <c r="X27" i="126"/>
  <c r="X26" i="126"/>
  <c r="X25" i="126"/>
  <c r="X24" i="126"/>
  <c r="X23" i="126"/>
  <c r="X22" i="126"/>
  <c r="U12" i="126"/>
  <c r="V12" i="126"/>
  <c r="W12" i="126"/>
  <c r="X12" i="126"/>
  <c r="U13" i="126"/>
  <c r="V13" i="126"/>
  <c r="Y13" i="126" s="1"/>
  <c r="W13" i="126"/>
  <c r="Z13" i="126" s="1"/>
  <c r="X13" i="126"/>
  <c r="J14" i="126"/>
  <c r="U14" i="126"/>
  <c r="V14" i="126"/>
  <c r="Y14" i="126" s="1"/>
  <c r="W14" i="126"/>
  <c r="Z14" i="126" s="1"/>
  <c r="X14" i="126"/>
  <c r="U15" i="126"/>
  <c r="V15" i="126"/>
  <c r="Y15" i="126" s="1"/>
  <c r="W15" i="126"/>
  <c r="Z15" i="126" s="1"/>
  <c r="X15" i="126"/>
  <c r="U16" i="126"/>
  <c r="V16" i="126"/>
  <c r="Y16" i="126" s="1"/>
  <c r="W16" i="126"/>
  <c r="Z16" i="126" s="1"/>
  <c r="X16" i="126"/>
  <c r="U17" i="126"/>
  <c r="V17" i="126"/>
  <c r="Y17" i="126" s="1"/>
  <c r="W17" i="126"/>
  <c r="Z17" i="126" s="1"/>
  <c r="X17" i="126"/>
  <c r="U18" i="126"/>
  <c r="V18" i="126"/>
  <c r="Y18" i="126" s="1"/>
  <c r="W18" i="126"/>
  <c r="Z18" i="126" s="1"/>
  <c r="X18" i="126"/>
  <c r="U19" i="126"/>
  <c r="V19" i="126"/>
  <c r="Y19" i="126" s="1"/>
  <c r="W19" i="126"/>
  <c r="Z19" i="126" s="1"/>
  <c r="X19" i="126"/>
  <c r="U20" i="126"/>
  <c r="V20" i="126"/>
  <c r="Y20" i="126" s="1"/>
  <c r="W20" i="126"/>
  <c r="Z20" i="126" s="1"/>
  <c r="X20" i="126"/>
  <c r="U21" i="126"/>
  <c r="V21" i="126"/>
  <c r="Y21" i="126" s="1"/>
  <c r="W21" i="126"/>
  <c r="Z21" i="126" s="1"/>
  <c r="X21" i="126"/>
  <c r="J46" i="126"/>
  <c r="D46" i="126"/>
  <c r="J57" i="126"/>
  <c r="D57" i="126"/>
  <c r="F57" i="126" s="1"/>
  <c r="J52" i="126"/>
  <c r="F52" i="126"/>
  <c r="D52" i="126"/>
  <c r="J22" i="126"/>
  <c r="J30" i="126"/>
  <c r="J38" i="126"/>
  <c r="D47" i="126"/>
  <c r="F47" i="126" s="1"/>
  <c r="D48" i="126"/>
  <c r="F48" i="126" s="1"/>
  <c r="D49" i="126"/>
  <c r="F49" i="126" s="1"/>
  <c r="D53" i="126"/>
  <c r="F53" i="126"/>
  <c r="D54" i="126"/>
  <c r="F54" i="126"/>
  <c r="D55" i="126"/>
  <c r="F55" i="126"/>
  <c r="D56" i="126"/>
  <c r="F56" i="126"/>
  <c r="D58" i="126"/>
  <c r="F58" i="126" s="1"/>
  <c r="F60" i="126"/>
  <c r="G60" i="126" s="1"/>
  <c r="L60" i="126" s="1"/>
  <c r="T78" i="126"/>
  <c r="T98" i="126" s="1"/>
  <c r="G86" i="126" s="1"/>
  <c r="H81" i="126" s="1"/>
  <c r="Y78" i="126"/>
  <c r="Y98" i="126" s="1"/>
  <c r="J20" i="125"/>
  <c r="AA97" i="125"/>
  <c r="AA96" i="125"/>
  <c r="AA95" i="125"/>
  <c r="AA94" i="125"/>
  <c r="AA93" i="125"/>
  <c r="AA92" i="125"/>
  <c r="AA91" i="125"/>
  <c r="AA90" i="125"/>
  <c r="AA89" i="125"/>
  <c r="AA88" i="125"/>
  <c r="AA87" i="125"/>
  <c r="AA86" i="125"/>
  <c r="AA85" i="125"/>
  <c r="AA84" i="125"/>
  <c r="AA83" i="125"/>
  <c r="AA82" i="125"/>
  <c r="AA81" i="125"/>
  <c r="AA80" i="125"/>
  <c r="AA79" i="125"/>
  <c r="AA78" i="125"/>
  <c r="U74" i="125"/>
  <c r="U73" i="125"/>
  <c r="U72" i="125"/>
  <c r="U71" i="125"/>
  <c r="U70" i="125"/>
  <c r="U68" i="125"/>
  <c r="U67" i="125"/>
  <c r="U66" i="125"/>
  <c r="U65" i="125"/>
  <c r="U64" i="125"/>
  <c r="U62" i="125"/>
  <c r="U61" i="125"/>
  <c r="U60" i="125"/>
  <c r="U59" i="125"/>
  <c r="U58" i="125"/>
  <c r="U57" i="125"/>
  <c r="U56" i="125"/>
  <c r="U55" i="125"/>
  <c r="U54" i="125"/>
  <c r="U53" i="125"/>
  <c r="U52" i="125"/>
  <c r="U51" i="125"/>
  <c r="U50" i="125"/>
  <c r="U49" i="125"/>
  <c r="U48" i="125"/>
  <c r="U47" i="125"/>
  <c r="U46" i="125"/>
  <c r="U45" i="125"/>
  <c r="U44" i="125"/>
  <c r="U43" i="125"/>
  <c r="U41" i="125"/>
  <c r="U40" i="125"/>
  <c r="U39" i="125"/>
  <c r="U38" i="125"/>
  <c r="U37" i="125"/>
  <c r="U36" i="125"/>
  <c r="U35" i="125"/>
  <c r="U34" i="125"/>
  <c r="U33" i="125"/>
  <c r="U32" i="125"/>
  <c r="U31" i="125"/>
  <c r="U30" i="125"/>
  <c r="U29" i="125"/>
  <c r="U28" i="125"/>
  <c r="U27" i="125"/>
  <c r="U26" i="125"/>
  <c r="U25" i="125"/>
  <c r="U24" i="125"/>
  <c r="U23" i="125"/>
  <c r="U22" i="125"/>
  <c r="W74" i="125"/>
  <c r="Z74" i="125" s="1"/>
  <c r="V74" i="125"/>
  <c r="Y74" i="125" s="1"/>
  <c r="W73" i="125"/>
  <c r="Z73" i="125" s="1"/>
  <c r="V73" i="125"/>
  <c r="Y73" i="125" s="1"/>
  <c r="W72" i="125"/>
  <c r="Z72" i="125" s="1"/>
  <c r="V72" i="125"/>
  <c r="Y72" i="125" s="1"/>
  <c r="W71" i="125"/>
  <c r="Z71" i="125" s="1"/>
  <c r="V71" i="125"/>
  <c r="Y71" i="125" s="1"/>
  <c r="W70" i="125"/>
  <c r="V70" i="125"/>
  <c r="W68" i="125"/>
  <c r="Z68" i="125" s="1"/>
  <c r="V68" i="125"/>
  <c r="Y68" i="125" s="1"/>
  <c r="W67" i="125"/>
  <c r="Z67" i="125" s="1"/>
  <c r="V67" i="125"/>
  <c r="Y67" i="125" s="1"/>
  <c r="W66" i="125"/>
  <c r="Z66" i="125" s="1"/>
  <c r="V66" i="125"/>
  <c r="Y66" i="125" s="1"/>
  <c r="W65" i="125"/>
  <c r="Z65" i="125" s="1"/>
  <c r="V65" i="125"/>
  <c r="Y65" i="125" s="1"/>
  <c r="W64" i="125"/>
  <c r="V64" i="125"/>
  <c r="W62" i="125"/>
  <c r="Z62" i="125" s="1"/>
  <c r="V62" i="125"/>
  <c r="Y62" i="125" s="1"/>
  <c r="W61" i="125"/>
  <c r="Z61" i="125" s="1"/>
  <c r="V61" i="125"/>
  <c r="Y61" i="125" s="1"/>
  <c r="W60" i="125"/>
  <c r="Z60" i="125" s="1"/>
  <c r="V60" i="125"/>
  <c r="Y60" i="125" s="1"/>
  <c r="W59" i="125"/>
  <c r="Z59" i="125" s="1"/>
  <c r="V59" i="125"/>
  <c r="Y59" i="125" s="1"/>
  <c r="W58" i="125"/>
  <c r="Z58" i="125" s="1"/>
  <c r="V58" i="125"/>
  <c r="Y58" i="125" s="1"/>
  <c r="W57" i="125"/>
  <c r="Z57" i="125" s="1"/>
  <c r="V57" i="125"/>
  <c r="Y57" i="125" s="1"/>
  <c r="W56" i="125"/>
  <c r="Z56" i="125" s="1"/>
  <c r="V56" i="125"/>
  <c r="Y56" i="125" s="1"/>
  <c r="W55" i="125"/>
  <c r="Z55" i="125" s="1"/>
  <c r="V55" i="125"/>
  <c r="Y55" i="125" s="1"/>
  <c r="W54" i="125"/>
  <c r="Z54" i="125" s="1"/>
  <c r="V54" i="125"/>
  <c r="Y54" i="125" s="1"/>
  <c r="W53" i="125"/>
  <c r="Z53" i="125" s="1"/>
  <c r="V53" i="125"/>
  <c r="Y53" i="125" s="1"/>
  <c r="W52" i="125"/>
  <c r="Z52" i="125" s="1"/>
  <c r="V52" i="125"/>
  <c r="Y52" i="125" s="1"/>
  <c r="W51" i="125"/>
  <c r="Z51" i="125" s="1"/>
  <c r="V51" i="125"/>
  <c r="Y51" i="125" s="1"/>
  <c r="W50" i="125"/>
  <c r="Z50" i="125" s="1"/>
  <c r="V50" i="125"/>
  <c r="Y50" i="125" s="1"/>
  <c r="W49" i="125"/>
  <c r="Z49" i="125" s="1"/>
  <c r="V49" i="125"/>
  <c r="Y49" i="125" s="1"/>
  <c r="W48" i="125"/>
  <c r="Z48" i="125" s="1"/>
  <c r="V48" i="125"/>
  <c r="Y48" i="125" s="1"/>
  <c r="W47" i="125"/>
  <c r="Z47" i="125" s="1"/>
  <c r="V47" i="125"/>
  <c r="Y47" i="125" s="1"/>
  <c r="W46" i="125"/>
  <c r="Z46" i="125" s="1"/>
  <c r="V46" i="125"/>
  <c r="Y46" i="125" s="1"/>
  <c r="W45" i="125"/>
  <c r="Z45" i="125" s="1"/>
  <c r="V45" i="125"/>
  <c r="Y45" i="125" s="1"/>
  <c r="W44" i="125"/>
  <c r="Z44" i="125" s="1"/>
  <c r="V44" i="125"/>
  <c r="Y44" i="125" s="1"/>
  <c r="W43" i="125"/>
  <c r="V43" i="125"/>
  <c r="W41" i="125"/>
  <c r="Z41" i="125" s="1"/>
  <c r="V41" i="125"/>
  <c r="Y41" i="125" s="1"/>
  <c r="W40" i="125"/>
  <c r="Z40" i="125" s="1"/>
  <c r="V40" i="125"/>
  <c r="Y40" i="125" s="1"/>
  <c r="W39" i="125"/>
  <c r="Z39" i="125" s="1"/>
  <c r="V39" i="125"/>
  <c r="Y39" i="125" s="1"/>
  <c r="W38" i="125"/>
  <c r="Z38" i="125" s="1"/>
  <c r="V38" i="125"/>
  <c r="Y38" i="125" s="1"/>
  <c r="W37" i="125"/>
  <c r="Z37" i="125" s="1"/>
  <c r="V37" i="125"/>
  <c r="Y37" i="125" s="1"/>
  <c r="W36" i="125"/>
  <c r="Z36" i="125" s="1"/>
  <c r="V36" i="125"/>
  <c r="Y36" i="125" s="1"/>
  <c r="W35" i="125"/>
  <c r="Z35" i="125" s="1"/>
  <c r="V35" i="125"/>
  <c r="Y35" i="125" s="1"/>
  <c r="W34" i="125"/>
  <c r="Z34" i="125" s="1"/>
  <c r="V34" i="125"/>
  <c r="Y34" i="125" s="1"/>
  <c r="W33" i="125"/>
  <c r="Z33" i="125" s="1"/>
  <c r="V33" i="125"/>
  <c r="Y33" i="125" s="1"/>
  <c r="W32" i="125"/>
  <c r="Z32" i="125" s="1"/>
  <c r="V32" i="125"/>
  <c r="Y32" i="125" s="1"/>
  <c r="W31" i="125"/>
  <c r="Z31" i="125" s="1"/>
  <c r="V31" i="125"/>
  <c r="Y31" i="125" s="1"/>
  <c r="W30" i="125"/>
  <c r="Z30" i="125" s="1"/>
  <c r="V30" i="125"/>
  <c r="Y30" i="125" s="1"/>
  <c r="W29" i="125"/>
  <c r="Z29" i="125" s="1"/>
  <c r="V29" i="125"/>
  <c r="Y29" i="125" s="1"/>
  <c r="W28" i="125"/>
  <c r="Z28" i="125" s="1"/>
  <c r="V28" i="125"/>
  <c r="Y28" i="125" s="1"/>
  <c r="W27" i="125"/>
  <c r="Z27" i="125" s="1"/>
  <c r="V27" i="125"/>
  <c r="Y27" i="125" s="1"/>
  <c r="W26" i="125"/>
  <c r="Z26" i="125" s="1"/>
  <c r="V26" i="125"/>
  <c r="Y26" i="125" s="1"/>
  <c r="W25" i="125"/>
  <c r="Z25" i="125" s="1"/>
  <c r="V25" i="125"/>
  <c r="Y25" i="125" s="1"/>
  <c r="W24" i="125"/>
  <c r="Z24" i="125" s="1"/>
  <c r="V24" i="125"/>
  <c r="Y24" i="125" s="1"/>
  <c r="W23" i="125"/>
  <c r="Z23" i="125" s="1"/>
  <c r="V23" i="125"/>
  <c r="Y23" i="125" s="1"/>
  <c r="W22" i="125"/>
  <c r="Z22" i="125" s="1"/>
  <c r="V22" i="125"/>
  <c r="Y22" i="125" s="1"/>
  <c r="AB97" i="125"/>
  <c r="AB96" i="125"/>
  <c r="AB95" i="125"/>
  <c r="AB94" i="125"/>
  <c r="AB93" i="125"/>
  <c r="AB92" i="125"/>
  <c r="AB91" i="125"/>
  <c r="AB90" i="125"/>
  <c r="AB89" i="125"/>
  <c r="AB88" i="125"/>
  <c r="AB87" i="125"/>
  <c r="AB86" i="125"/>
  <c r="AB85" i="125"/>
  <c r="AB84" i="125"/>
  <c r="AB83" i="125"/>
  <c r="AB82" i="125"/>
  <c r="AB81" i="125"/>
  <c r="AB80" i="125"/>
  <c r="AB79" i="125"/>
  <c r="AB78" i="125"/>
  <c r="X74" i="125"/>
  <c r="X73" i="125"/>
  <c r="X72" i="125"/>
  <c r="X71" i="125"/>
  <c r="X70" i="125"/>
  <c r="X68" i="125"/>
  <c r="X67" i="125"/>
  <c r="X66" i="125"/>
  <c r="X65" i="125"/>
  <c r="X64" i="125"/>
  <c r="X62" i="125"/>
  <c r="X61" i="125"/>
  <c r="X60" i="125"/>
  <c r="X59" i="125"/>
  <c r="X58" i="125"/>
  <c r="X57" i="125"/>
  <c r="X56" i="125"/>
  <c r="X55" i="125"/>
  <c r="X54" i="125"/>
  <c r="X53" i="125"/>
  <c r="X52" i="125"/>
  <c r="X51" i="125"/>
  <c r="X50" i="125"/>
  <c r="X49" i="125"/>
  <c r="X48" i="125"/>
  <c r="X47" i="125"/>
  <c r="X46" i="125"/>
  <c r="X45" i="125"/>
  <c r="X44" i="125"/>
  <c r="X43" i="125"/>
  <c r="X41" i="125"/>
  <c r="X40" i="125"/>
  <c r="X39" i="125"/>
  <c r="X38" i="125"/>
  <c r="X37" i="125"/>
  <c r="X36" i="125"/>
  <c r="X35" i="125"/>
  <c r="X34" i="125"/>
  <c r="X33" i="125"/>
  <c r="X32" i="125"/>
  <c r="X31" i="125"/>
  <c r="X30" i="125"/>
  <c r="X29" i="125"/>
  <c r="X28" i="125"/>
  <c r="X27" i="125"/>
  <c r="X26" i="125"/>
  <c r="X25" i="125"/>
  <c r="X24" i="125"/>
  <c r="X23" i="125"/>
  <c r="X22" i="125"/>
  <c r="U12" i="125"/>
  <c r="V12" i="125"/>
  <c r="W12" i="125"/>
  <c r="X12" i="125"/>
  <c r="U13" i="125"/>
  <c r="V13" i="125"/>
  <c r="Y13" i="125" s="1"/>
  <c r="W13" i="125"/>
  <c r="Z13" i="125" s="1"/>
  <c r="X13" i="125"/>
  <c r="J14" i="125"/>
  <c r="U14" i="125"/>
  <c r="V14" i="125"/>
  <c r="Y14" i="125" s="1"/>
  <c r="W14" i="125"/>
  <c r="Z14" i="125" s="1"/>
  <c r="X14" i="125"/>
  <c r="U15" i="125"/>
  <c r="V15" i="125"/>
  <c r="Y15" i="125" s="1"/>
  <c r="W15" i="125"/>
  <c r="Z15" i="125" s="1"/>
  <c r="X15" i="125"/>
  <c r="U16" i="125"/>
  <c r="V16" i="125"/>
  <c r="Y16" i="125" s="1"/>
  <c r="W16" i="125"/>
  <c r="Z16" i="125" s="1"/>
  <c r="X16" i="125"/>
  <c r="U17" i="125"/>
  <c r="V17" i="125"/>
  <c r="Y17" i="125" s="1"/>
  <c r="W17" i="125"/>
  <c r="Z17" i="125" s="1"/>
  <c r="X17" i="125"/>
  <c r="U18" i="125"/>
  <c r="V18" i="125"/>
  <c r="Y18" i="125" s="1"/>
  <c r="W18" i="125"/>
  <c r="Z18" i="125" s="1"/>
  <c r="X18" i="125"/>
  <c r="U19" i="125"/>
  <c r="V19" i="125"/>
  <c r="Y19" i="125" s="1"/>
  <c r="W19" i="125"/>
  <c r="Z19" i="125" s="1"/>
  <c r="X19" i="125"/>
  <c r="U20" i="125"/>
  <c r="V20" i="125"/>
  <c r="Y20" i="125" s="1"/>
  <c r="W20" i="125"/>
  <c r="Z20" i="125" s="1"/>
  <c r="X20" i="125"/>
  <c r="U21" i="125"/>
  <c r="V21" i="125"/>
  <c r="Y21" i="125" s="1"/>
  <c r="W21" i="125"/>
  <c r="Z21" i="125" s="1"/>
  <c r="X21" i="125"/>
  <c r="J46" i="125"/>
  <c r="D46" i="125"/>
  <c r="J57" i="125"/>
  <c r="D57" i="125"/>
  <c r="F57" i="125" s="1"/>
  <c r="J52" i="125"/>
  <c r="F52" i="125"/>
  <c r="D52" i="125"/>
  <c r="J22" i="125"/>
  <c r="J30" i="125"/>
  <c r="J38" i="125"/>
  <c r="D47" i="125"/>
  <c r="F47" i="125" s="1"/>
  <c r="D48" i="125"/>
  <c r="F48" i="125" s="1"/>
  <c r="D49" i="125"/>
  <c r="F49" i="125" s="1"/>
  <c r="D53" i="125"/>
  <c r="F53" i="125"/>
  <c r="D54" i="125"/>
  <c r="F54" i="125"/>
  <c r="D55" i="125"/>
  <c r="F55" i="125"/>
  <c r="D56" i="125"/>
  <c r="F56" i="125"/>
  <c r="D58" i="125"/>
  <c r="F58" i="125" s="1"/>
  <c r="F60" i="125"/>
  <c r="G60" i="125" s="1"/>
  <c r="L60" i="125" s="1"/>
  <c r="T78" i="125"/>
  <c r="T98" i="125" s="1"/>
  <c r="G86" i="125" s="1"/>
  <c r="H81" i="125" s="1"/>
  <c r="Y98" i="125"/>
  <c r="J20" i="124"/>
  <c r="AA97" i="124"/>
  <c r="AA96" i="124"/>
  <c r="AA95" i="124"/>
  <c r="AA94" i="124"/>
  <c r="AA93" i="124"/>
  <c r="AA92" i="124"/>
  <c r="AA91" i="124"/>
  <c r="AA90" i="124"/>
  <c r="AA89" i="124"/>
  <c r="AA88" i="124"/>
  <c r="AA87" i="124"/>
  <c r="AA86" i="124"/>
  <c r="AA85" i="124"/>
  <c r="AA84" i="124"/>
  <c r="AA83" i="124"/>
  <c r="AA82" i="124"/>
  <c r="AA81" i="124"/>
  <c r="AA80" i="124"/>
  <c r="AA79" i="124"/>
  <c r="AA78" i="124"/>
  <c r="U74" i="124"/>
  <c r="U73" i="124"/>
  <c r="U72" i="124"/>
  <c r="U71" i="124"/>
  <c r="U70" i="124"/>
  <c r="U68" i="124"/>
  <c r="U67" i="124"/>
  <c r="U66" i="124"/>
  <c r="U65" i="124"/>
  <c r="U64" i="124"/>
  <c r="U62" i="124"/>
  <c r="U61" i="124"/>
  <c r="U60" i="124"/>
  <c r="U59" i="124"/>
  <c r="U58" i="124"/>
  <c r="U57" i="124"/>
  <c r="U56" i="124"/>
  <c r="U55" i="124"/>
  <c r="U54" i="124"/>
  <c r="U53" i="124"/>
  <c r="U52" i="124"/>
  <c r="U51" i="124"/>
  <c r="U50" i="124"/>
  <c r="U49" i="124"/>
  <c r="U48" i="124"/>
  <c r="U47" i="124"/>
  <c r="U46" i="124"/>
  <c r="U45" i="124"/>
  <c r="U44" i="124"/>
  <c r="U43" i="124"/>
  <c r="U41" i="124"/>
  <c r="U40" i="124"/>
  <c r="U39" i="124"/>
  <c r="U38" i="124"/>
  <c r="U37" i="124"/>
  <c r="U36" i="124"/>
  <c r="U35" i="124"/>
  <c r="U34" i="124"/>
  <c r="U33" i="124"/>
  <c r="U32" i="124"/>
  <c r="U31" i="124"/>
  <c r="U30" i="124"/>
  <c r="U29" i="124"/>
  <c r="U28" i="124"/>
  <c r="U27" i="124"/>
  <c r="U26" i="124"/>
  <c r="U25" i="124"/>
  <c r="U24" i="124"/>
  <c r="U23" i="124"/>
  <c r="U22" i="124"/>
  <c r="W74" i="124"/>
  <c r="Z74" i="124" s="1"/>
  <c r="V74" i="124"/>
  <c r="Y74" i="124" s="1"/>
  <c r="W73" i="124"/>
  <c r="Z73" i="124" s="1"/>
  <c r="V73" i="124"/>
  <c r="Y73" i="124" s="1"/>
  <c r="W72" i="124"/>
  <c r="Z72" i="124" s="1"/>
  <c r="V72" i="124"/>
  <c r="Y72" i="124" s="1"/>
  <c r="W71" i="124"/>
  <c r="Z71" i="124" s="1"/>
  <c r="V71" i="124"/>
  <c r="Y71" i="124" s="1"/>
  <c r="W70" i="124"/>
  <c r="V70" i="124"/>
  <c r="W68" i="124"/>
  <c r="Z68" i="124" s="1"/>
  <c r="V68" i="124"/>
  <c r="Y68" i="124" s="1"/>
  <c r="W67" i="124"/>
  <c r="Z67" i="124" s="1"/>
  <c r="V67" i="124"/>
  <c r="Y67" i="124" s="1"/>
  <c r="W66" i="124"/>
  <c r="Z66" i="124" s="1"/>
  <c r="V66" i="124"/>
  <c r="Y66" i="124" s="1"/>
  <c r="W65" i="124"/>
  <c r="Z65" i="124" s="1"/>
  <c r="V65" i="124"/>
  <c r="Y65" i="124" s="1"/>
  <c r="W64" i="124"/>
  <c r="V64" i="124"/>
  <c r="W62" i="124"/>
  <c r="Z62" i="124" s="1"/>
  <c r="V62" i="124"/>
  <c r="Y62" i="124" s="1"/>
  <c r="W61" i="124"/>
  <c r="Z61" i="124" s="1"/>
  <c r="V61" i="124"/>
  <c r="Y61" i="124" s="1"/>
  <c r="W60" i="124"/>
  <c r="Z60" i="124" s="1"/>
  <c r="V60" i="124"/>
  <c r="Y60" i="124" s="1"/>
  <c r="W59" i="124"/>
  <c r="Z59" i="124" s="1"/>
  <c r="V59" i="124"/>
  <c r="Y59" i="124" s="1"/>
  <c r="W58" i="124"/>
  <c r="Z58" i="124" s="1"/>
  <c r="V58" i="124"/>
  <c r="Y58" i="124" s="1"/>
  <c r="W57" i="124"/>
  <c r="Z57" i="124" s="1"/>
  <c r="V57" i="124"/>
  <c r="Y57" i="124" s="1"/>
  <c r="W56" i="124"/>
  <c r="Z56" i="124" s="1"/>
  <c r="V56" i="124"/>
  <c r="Y56" i="124" s="1"/>
  <c r="W55" i="124"/>
  <c r="Z55" i="124" s="1"/>
  <c r="V55" i="124"/>
  <c r="Y55" i="124" s="1"/>
  <c r="W54" i="124"/>
  <c r="Z54" i="124" s="1"/>
  <c r="V54" i="124"/>
  <c r="Y54" i="124" s="1"/>
  <c r="W53" i="124"/>
  <c r="Z53" i="124" s="1"/>
  <c r="V53" i="124"/>
  <c r="Y53" i="124" s="1"/>
  <c r="W52" i="124"/>
  <c r="Z52" i="124" s="1"/>
  <c r="V52" i="124"/>
  <c r="Y52" i="124" s="1"/>
  <c r="W51" i="124"/>
  <c r="Z51" i="124" s="1"/>
  <c r="V51" i="124"/>
  <c r="Y51" i="124" s="1"/>
  <c r="W50" i="124"/>
  <c r="Z50" i="124" s="1"/>
  <c r="V50" i="124"/>
  <c r="Y50" i="124" s="1"/>
  <c r="W49" i="124"/>
  <c r="Z49" i="124" s="1"/>
  <c r="V49" i="124"/>
  <c r="Y49" i="124" s="1"/>
  <c r="W48" i="124"/>
  <c r="Z48" i="124" s="1"/>
  <c r="V48" i="124"/>
  <c r="Y48" i="124" s="1"/>
  <c r="W47" i="124"/>
  <c r="Z47" i="124" s="1"/>
  <c r="V47" i="124"/>
  <c r="Y47" i="124" s="1"/>
  <c r="W46" i="124"/>
  <c r="Z46" i="124" s="1"/>
  <c r="V46" i="124"/>
  <c r="Y46" i="124" s="1"/>
  <c r="W45" i="124"/>
  <c r="Z45" i="124" s="1"/>
  <c r="V45" i="124"/>
  <c r="Y45" i="124" s="1"/>
  <c r="W44" i="124"/>
  <c r="Z44" i="124" s="1"/>
  <c r="V44" i="124"/>
  <c r="Y44" i="124" s="1"/>
  <c r="W43" i="124"/>
  <c r="V43" i="124"/>
  <c r="W41" i="124"/>
  <c r="Z41" i="124" s="1"/>
  <c r="V41" i="124"/>
  <c r="Y41" i="124" s="1"/>
  <c r="W40" i="124"/>
  <c r="Z40" i="124" s="1"/>
  <c r="V40" i="124"/>
  <c r="Y40" i="124" s="1"/>
  <c r="W39" i="124"/>
  <c r="Z39" i="124" s="1"/>
  <c r="V39" i="124"/>
  <c r="Y39" i="124" s="1"/>
  <c r="W38" i="124"/>
  <c r="Z38" i="124" s="1"/>
  <c r="V38" i="124"/>
  <c r="Y38" i="124" s="1"/>
  <c r="W37" i="124"/>
  <c r="Z37" i="124" s="1"/>
  <c r="V37" i="124"/>
  <c r="Y37" i="124" s="1"/>
  <c r="W36" i="124"/>
  <c r="Z36" i="124" s="1"/>
  <c r="V36" i="124"/>
  <c r="Y36" i="124" s="1"/>
  <c r="W35" i="124"/>
  <c r="Z35" i="124" s="1"/>
  <c r="V35" i="124"/>
  <c r="Y35" i="124" s="1"/>
  <c r="W34" i="124"/>
  <c r="Z34" i="124" s="1"/>
  <c r="V34" i="124"/>
  <c r="Y34" i="124" s="1"/>
  <c r="W33" i="124"/>
  <c r="Z33" i="124" s="1"/>
  <c r="V33" i="124"/>
  <c r="Y33" i="124" s="1"/>
  <c r="W32" i="124"/>
  <c r="Z32" i="124" s="1"/>
  <c r="V32" i="124"/>
  <c r="Y32" i="124" s="1"/>
  <c r="W31" i="124"/>
  <c r="Z31" i="124" s="1"/>
  <c r="V31" i="124"/>
  <c r="Y31" i="124" s="1"/>
  <c r="W30" i="124"/>
  <c r="Z30" i="124" s="1"/>
  <c r="V30" i="124"/>
  <c r="Y30" i="124" s="1"/>
  <c r="W29" i="124"/>
  <c r="Z29" i="124" s="1"/>
  <c r="V29" i="124"/>
  <c r="Y29" i="124" s="1"/>
  <c r="W28" i="124"/>
  <c r="Z28" i="124" s="1"/>
  <c r="V28" i="124"/>
  <c r="Y28" i="124" s="1"/>
  <c r="W27" i="124"/>
  <c r="Z27" i="124" s="1"/>
  <c r="V27" i="124"/>
  <c r="Y27" i="124" s="1"/>
  <c r="W26" i="124"/>
  <c r="Z26" i="124" s="1"/>
  <c r="V26" i="124"/>
  <c r="Y26" i="124" s="1"/>
  <c r="W25" i="124"/>
  <c r="Z25" i="124" s="1"/>
  <c r="V25" i="124"/>
  <c r="Y25" i="124" s="1"/>
  <c r="W24" i="124"/>
  <c r="Z24" i="124" s="1"/>
  <c r="V24" i="124"/>
  <c r="Y24" i="124" s="1"/>
  <c r="W23" i="124"/>
  <c r="Z23" i="124" s="1"/>
  <c r="V23" i="124"/>
  <c r="Y23" i="124" s="1"/>
  <c r="W22" i="124"/>
  <c r="Z22" i="124" s="1"/>
  <c r="V22" i="124"/>
  <c r="Y22" i="124" s="1"/>
  <c r="AB97" i="124"/>
  <c r="AB96" i="124"/>
  <c r="AB95" i="124"/>
  <c r="AB94" i="124"/>
  <c r="AB93" i="124"/>
  <c r="AB92" i="124"/>
  <c r="AB91" i="124"/>
  <c r="AB90" i="124"/>
  <c r="AB89" i="124"/>
  <c r="AB88" i="124"/>
  <c r="AB87" i="124"/>
  <c r="AB86" i="124"/>
  <c r="AB85" i="124"/>
  <c r="AB84" i="124"/>
  <c r="AB83" i="124"/>
  <c r="AB82" i="124"/>
  <c r="AB81" i="124"/>
  <c r="AB80" i="124"/>
  <c r="AB79" i="124"/>
  <c r="AB78" i="124"/>
  <c r="X74" i="124"/>
  <c r="X73" i="124"/>
  <c r="X72" i="124"/>
  <c r="X71" i="124"/>
  <c r="X70" i="124"/>
  <c r="X68" i="124"/>
  <c r="X67" i="124"/>
  <c r="X66" i="124"/>
  <c r="X65" i="124"/>
  <c r="X64" i="124"/>
  <c r="X62" i="124"/>
  <c r="X61" i="124"/>
  <c r="X60" i="124"/>
  <c r="X59" i="124"/>
  <c r="X58" i="124"/>
  <c r="X57" i="124"/>
  <c r="X56" i="124"/>
  <c r="X55" i="124"/>
  <c r="X54" i="124"/>
  <c r="X53" i="124"/>
  <c r="X52" i="124"/>
  <c r="X51" i="124"/>
  <c r="X50" i="124"/>
  <c r="X49" i="124"/>
  <c r="X48" i="124"/>
  <c r="X47" i="124"/>
  <c r="X46" i="124"/>
  <c r="X45" i="124"/>
  <c r="X44" i="124"/>
  <c r="X43" i="124"/>
  <c r="X41" i="124"/>
  <c r="X40" i="124"/>
  <c r="X39" i="124"/>
  <c r="X38" i="124"/>
  <c r="X37" i="124"/>
  <c r="X36" i="124"/>
  <c r="X35" i="124"/>
  <c r="X34" i="124"/>
  <c r="X33" i="124"/>
  <c r="X32" i="124"/>
  <c r="X31" i="124"/>
  <c r="X30" i="124"/>
  <c r="X29" i="124"/>
  <c r="X28" i="124"/>
  <c r="X27" i="124"/>
  <c r="X26" i="124"/>
  <c r="X25" i="124"/>
  <c r="X24" i="124"/>
  <c r="X23" i="124"/>
  <c r="X22" i="124"/>
  <c r="U12" i="124"/>
  <c r="V12" i="124"/>
  <c r="W12" i="124"/>
  <c r="X12" i="124"/>
  <c r="U13" i="124"/>
  <c r="V13" i="124"/>
  <c r="Y13" i="124" s="1"/>
  <c r="W13" i="124"/>
  <c r="Z13" i="124" s="1"/>
  <c r="X13" i="124"/>
  <c r="J14" i="124"/>
  <c r="U14" i="124"/>
  <c r="V14" i="124"/>
  <c r="Y14" i="124" s="1"/>
  <c r="W14" i="124"/>
  <c r="Z14" i="124" s="1"/>
  <c r="X14" i="124"/>
  <c r="U15" i="124"/>
  <c r="V15" i="124"/>
  <c r="Y15" i="124" s="1"/>
  <c r="W15" i="124"/>
  <c r="Z15" i="124" s="1"/>
  <c r="X15" i="124"/>
  <c r="U16" i="124"/>
  <c r="V16" i="124"/>
  <c r="Y16" i="124" s="1"/>
  <c r="W16" i="124"/>
  <c r="Z16" i="124" s="1"/>
  <c r="X16" i="124"/>
  <c r="U17" i="124"/>
  <c r="V17" i="124"/>
  <c r="Y17" i="124" s="1"/>
  <c r="W17" i="124"/>
  <c r="Z17" i="124" s="1"/>
  <c r="X17" i="124"/>
  <c r="U18" i="124"/>
  <c r="V18" i="124"/>
  <c r="Y18" i="124" s="1"/>
  <c r="W18" i="124"/>
  <c r="Z18" i="124" s="1"/>
  <c r="X18" i="124"/>
  <c r="U19" i="124"/>
  <c r="V19" i="124"/>
  <c r="Y19" i="124" s="1"/>
  <c r="W19" i="124"/>
  <c r="Z19" i="124" s="1"/>
  <c r="X19" i="124"/>
  <c r="U20" i="124"/>
  <c r="V20" i="124"/>
  <c r="Y20" i="124" s="1"/>
  <c r="W20" i="124"/>
  <c r="Z20" i="124" s="1"/>
  <c r="X20" i="124"/>
  <c r="U21" i="124"/>
  <c r="V21" i="124"/>
  <c r="Y21" i="124" s="1"/>
  <c r="W21" i="124"/>
  <c r="Z21" i="124" s="1"/>
  <c r="X21" i="124"/>
  <c r="J46" i="124"/>
  <c r="D46" i="124"/>
  <c r="J57" i="124"/>
  <c r="D57" i="124"/>
  <c r="F57" i="124" s="1"/>
  <c r="J52" i="124"/>
  <c r="F52" i="124"/>
  <c r="D52" i="124"/>
  <c r="J22" i="124"/>
  <c r="J30" i="124"/>
  <c r="J38" i="124"/>
  <c r="D47" i="124"/>
  <c r="F47" i="124" s="1"/>
  <c r="D48" i="124"/>
  <c r="F48" i="124" s="1"/>
  <c r="D49" i="124"/>
  <c r="F49" i="124" s="1"/>
  <c r="D50" i="124"/>
  <c r="F50" i="124" s="1"/>
  <c r="D53" i="124"/>
  <c r="F53" i="124"/>
  <c r="D54" i="124"/>
  <c r="F54" i="124"/>
  <c r="D55" i="124"/>
  <c r="F55" i="124"/>
  <c r="D56" i="124"/>
  <c r="F56" i="124"/>
  <c r="D58" i="124"/>
  <c r="F58" i="124" s="1"/>
  <c r="F60" i="124"/>
  <c r="G60" i="124" s="1"/>
  <c r="L60" i="124" s="1"/>
  <c r="T78" i="124"/>
  <c r="T98" i="124" s="1"/>
  <c r="G86" i="124" s="1"/>
  <c r="H81" i="124" s="1"/>
  <c r="Y78" i="124"/>
  <c r="Y98" i="124" s="1"/>
  <c r="J20" i="123"/>
  <c r="AA97" i="123"/>
  <c r="AA96" i="123"/>
  <c r="AA95" i="123"/>
  <c r="AA94" i="123"/>
  <c r="AA93" i="123"/>
  <c r="AA92" i="123"/>
  <c r="AA91" i="123"/>
  <c r="AA90" i="123"/>
  <c r="AA89" i="123"/>
  <c r="AA88" i="123"/>
  <c r="AA87" i="123"/>
  <c r="AA86" i="123"/>
  <c r="AA85" i="123"/>
  <c r="AA84" i="123"/>
  <c r="AA83" i="123"/>
  <c r="AA82" i="123"/>
  <c r="AA81" i="123"/>
  <c r="AA80" i="123"/>
  <c r="AA79" i="123"/>
  <c r="AA78" i="123"/>
  <c r="U74" i="123"/>
  <c r="U73" i="123"/>
  <c r="U72" i="123"/>
  <c r="U71" i="123"/>
  <c r="U70" i="123"/>
  <c r="U68" i="123"/>
  <c r="U67" i="123"/>
  <c r="U66" i="123"/>
  <c r="U65" i="123"/>
  <c r="U64" i="123"/>
  <c r="U62" i="123"/>
  <c r="U61" i="123"/>
  <c r="U60" i="123"/>
  <c r="U59" i="123"/>
  <c r="U58" i="123"/>
  <c r="U57" i="123"/>
  <c r="U56" i="123"/>
  <c r="U55" i="123"/>
  <c r="U54" i="123"/>
  <c r="U53" i="123"/>
  <c r="U52" i="123"/>
  <c r="U51" i="123"/>
  <c r="U50" i="123"/>
  <c r="U49" i="123"/>
  <c r="U48" i="123"/>
  <c r="U47" i="123"/>
  <c r="U46" i="123"/>
  <c r="U45" i="123"/>
  <c r="U44" i="123"/>
  <c r="U43" i="123"/>
  <c r="U41" i="123"/>
  <c r="U40" i="123"/>
  <c r="U39" i="123"/>
  <c r="U38" i="123"/>
  <c r="U37" i="123"/>
  <c r="U36" i="123"/>
  <c r="U35" i="123"/>
  <c r="U34" i="123"/>
  <c r="U33" i="123"/>
  <c r="U32" i="123"/>
  <c r="U31" i="123"/>
  <c r="U30" i="123"/>
  <c r="U29" i="123"/>
  <c r="U28" i="123"/>
  <c r="U27" i="123"/>
  <c r="U26" i="123"/>
  <c r="U25" i="123"/>
  <c r="U24" i="123"/>
  <c r="U23" i="123"/>
  <c r="U22" i="123"/>
  <c r="W74" i="123"/>
  <c r="Z74" i="123" s="1"/>
  <c r="V74" i="123"/>
  <c r="Y74" i="123" s="1"/>
  <c r="W73" i="123"/>
  <c r="Z73" i="123" s="1"/>
  <c r="V73" i="123"/>
  <c r="Y73" i="123" s="1"/>
  <c r="W72" i="123"/>
  <c r="Z72" i="123" s="1"/>
  <c r="V72" i="123"/>
  <c r="Y72" i="123" s="1"/>
  <c r="W71" i="123"/>
  <c r="Z71" i="123" s="1"/>
  <c r="V71" i="123"/>
  <c r="Y71" i="123" s="1"/>
  <c r="W70" i="123"/>
  <c r="V70" i="123"/>
  <c r="W68" i="123"/>
  <c r="Z68" i="123" s="1"/>
  <c r="V68" i="123"/>
  <c r="Y68" i="123" s="1"/>
  <c r="W67" i="123"/>
  <c r="Z67" i="123" s="1"/>
  <c r="V67" i="123"/>
  <c r="Y67" i="123" s="1"/>
  <c r="W66" i="123"/>
  <c r="Z66" i="123" s="1"/>
  <c r="V66" i="123"/>
  <c r="Y66" i="123" s="1"/>
  <c r="W65" i="123"/>
  <c r="Z65" i="123" s="1"/>
  <c r="V65" i="123"/>
  <c r="Y65" i="123" s="1"/>
  <c r="W64" i="123"/>
  <c r="V64" i="123"/>
  <c r="W62" i="123"/>
  <c r="Z62" i="123" s="1"/>
  <c r="V62" i="123"/>
  <c r="Y62" i="123" s="1"/>
  <c r="W61" i="123"/>
  <c r="Z61" i="123" s="1"/>
  <c r="V61" i="123"/>
  <c r="Y61" i="123" s="1"/>
  <c r="W60" i="123"/>
  <c r="Z60" i="123" s="1"/>
  <c r="V60" i="123"/>
  <c r="Y60" i="123" s="1"/>
  <c r="W59" i="123"/>
  <c r="Z59" i="123" s="1"/>
  <c r="V59" i="123"/>
  <c r="Y59" i="123" s="1"/>
  <c r="W58" i="123"/>
  <c r="Z58" i="123" s="1"/>
  <c r="V58" i="123"/>
  <c r="Y58" i="123" s="1"/>
  <c r="W57" i="123"/>
  <c r="Z57" i="123" s="1"/>
  <c r="V57" i="123"/>
  <c r="Y57" i="123" s="1"/>
  <c r="W56" i="123"/>
  <c r="Z56" i="123" s="1"/>
  <c r="V56" i="123"/>
  <c r="Y56" i="123" s="1"/>
  <c r="W55" i="123"/>
  <c r="Z55" i="123" s="1"/>
  <c r="V55" i="123"/>
  <c r="Y55" i="123" s="1"/>
  <c r="W54" i="123"/>
  <c r="Z54" i="123" s="1"/>
  <c r="V54" i="123"/>
  <c r="Y54" i="123" s="1"/>
  <c r="W53" i="123"/>
  <c r="Z53" i="123" s="1"/>
  <c r="V53" i="123"/>
  <c r="Y53" i="123" s="1"/>
  <c r="W52" i="123"/>
  <c r="Z52" i="123" s="1"/>
  <c r="V52" i="123"/>
  <c r="Y52" i="123" s="1"/>
  <c r="W51" i="123"/>
  <c r="Z51" i="123" s="1"/>
  <c r="V51" i="123"/>
  <c r="Y51" i="123" s="1"/>
  <c r="W50" i="123"/>
  <c r="Z50" i="123" s="1"/>
  <c r="V50" i="123"/>
  <c r="Y50" i="123" s="1"/>
  <c r="W49" i="123"/>
  <c r="Z49" i="123" s="1"/>
  <c r="V49" i="123"/>
  <c r="Y49" i="123" s="1"/>
  <c r="W48" i="123"/>
  <c r="Z48" i="123" s="1"/>
  <c r="V48" i="123"/>
  <c r="Y48" i="123" s="1"/>
  <c r="W47" i="123"/>
  <c r="Z47" i="123" s="1"/>
  <c r="V47" i="123"/>
  <c r="Y47" i="123" s="1"/>
  <c r="W46" i="123"/>
  <c r="Z46" i="123" s="1"/>
  <c r="V46" i="123"/>
  <c r="Y46" i="123" s="1"/>
  <c r="W45" i="123"/>
  <c r="Z45" i="123" s="1"/>
  <c r="V45" i="123"/>
  <c r="Y45" i="123" s="1"/>
  <c r="W44" i="123"/>
  <c r="Z44" i="123" s="1"/>
  <c r="V44" i="123"/>
  <c r="Y44" i="123" s="1"/>
  <c r="W43" i="123"/>
  <c r="V43" i="123"/>
  <c r="W41" i="123"/>
  <c r="Z41" i="123" s="1"/>
  <c r="V41" i="123"/>
  <c r="Y41" i="123" s="1"/>
  <c r="W40" i="123"/>
  <c r="Z40" i="123" s="1"/>
  <c r="V40" i="123"/>
  <c r="Y40" i="123" s="1"/>
  <c r="W39" i="123"/>
  <c r="Z39" i="123" s="1"/>
  <c r="V39" i="123"/>
  <c r="Y39" i="123" s="1"/>
  <c r="W38" i="123"/>
  <c r="Z38" i="123" s="1"/>
  <c r="V38" i="123"/>
  <c r="Y38" i="123" s="1"/>
  <c r="W37" i="123"/>
  <c r="Z37" i="123" s="1"/>
  <c r="V37" i="123"/>
  <c r="Y37" i="123" s="1"/>
  <c r="W36" i="123"/>
  <c r="Z36" i="123" s="1"/>
  <c r="V36" i="123"/>
  <c r="Y36" i="123" s="1"/>
  <c r="W35" i="123"/>
  <c r="Z35" i="123" s="1"/>
  <c r="V35" i="123"/>
  <c r="Y35" i="123" s="1"/>
  <c r="W34" i="123"/>
  <c r="Z34" i="123" s="1"/>
  <c r="V34" i="123"/>
  <c r="Y34" i="123" s="1"/>
  <c r="W33" i="123"/>
  <c r="Z33" i="123" s="1"/>
  <c r="V33" i="123"/>
  <c r="Y33" i="123" s="1"/>
  <c r="W32" i="123"/>
  <c r="Z32" i="123" s="1"/>
  <c r="V32" i="123"/>
  <c r="Y32" i="123" s="1"/>
  <c r="W31" i="123"/>
  <c r="Z31" i="123" s="1"/>
  <c r="V31" i="123"/>
  <c r="Y31" i="123" s="1"/>
  <c r="W30" i="123"/>
  <c r="Z30" i="123" s="1"/>
  <c r="V30" i="123"/>
  <c r="Y30" i="123" s="1"/>
  <c r="W29" i="123"/>
  <c r="Z29" i="123" s="1"/>
  <c r="V29" i="123"/>
  <c r="Y29" i="123" s="1"/>
  <c r="W28" i="123"/>
  <c r="Z28" i="123" s="1"/>
  <c r="V28" i="123"/>
  <c r="Y28" i="123" s="1"/>
  <c r="W27" i="123"/>
  <c r="Z27" i="123" s="1"/>
  <c r="V27" i="123"/>
  <c r="Y27" i="123" s="1"/>
  <c r="W26" i="123"/>
  <c r="Z26" i="123" s="1"/>
  <c r="V26" i="123"/>
  <c r="Y26" i="123" s="1"/>
  <c r="W25" i="123"/>
  <c r="Z25" i="123" s="1"/>
  <c r="V25" i="123"/>
  <c r="Y25" i="123" s="1"/>
  <c r="W24" i="123"/>
  <c r="Z24" i="123" s="1"/>
  <c r="V24" i="123"/>
  <c r="Y24" i="123" s="1"/>
  <c r="W23" i="123"/>
  <c r="Z23" i="123" s="1"/>
  <c r="V23" i="123"/>
  <c r="Y23" i="123" s="1"/>
  <c r="W22" i="123"/>
  <c r="Z22" i="123" s="1"/>
  <c r="V22" i="123"/>
  <c r="Y22" i="123" s="1"/>
  <c r="AB97" i="123"/>
  <c r="AB96" i="123"/>
  <c r="AB95" i="123"/>
  <c r="AB94" i="123"/>
  <c r="AB93" i="123"/>
  <c r="AB92" i="123"/>
  <c r="AB91" i="123"/>
  <c r="AB90" i="123"/>
  <c r="AB89" i="123"/>
  <c r="AB88" i="123"/>
  <c r="AB87" i="123"/>
  <c r="AB86" i="123"/>
  <c r="AB85" i="123"/>
  <c r="AB84" i="123"/>
  <c r="AB83" i="123"/>
  <c r="AB82" i="123"/>
  <c r="AB81" i="123"/>
  <c r="AB80" i="123"/>
  <c r="AB79" i="123"/>
  <c r="AB78" i="123"/>
  <c r="X74" i="123"/>
  <c r="X73" i="123"/>
  <c r="X72" i="123"/>
  <c r="X71" i="123"/>
  <c r="X70" i="123"/>
  <c r="X68" i="123"/>
  <c r="X67" i="123"/>
  <c r="X66" i="123"/>
  <c r="X65" i="123"/>
  <c r="X64" i="123"/>
  <c r="X62" i="123"/>
  <c r="X61" i="123"/>
  <c r="X60" i="123"/>
  <c r="X59" i="123"/>
  <c r="X58" i="123"/>
  <c r="X57" i="123"/>
  <c r="X56" i="123"/>
  <c r="X55" i="123"/>
  <c r="X54" i="123"/>
  <c r="X53" i="123"/>
  <c r="X52" i="123"/>
  <c r="X51" i="123"/>
  <c r="X50" i="123"/>
  <c r="X49" i="123"/>
  <c r="X48" i="123"/>
  <c r="X47" i="123"/>
  <c r="X46" i="123"/>
  <c r="X45" i="123"/>
  <c r="X44" i="123"/>
  <c r="X43" i="123"/>
  <c r="X41" i="123"/>
  <c r="X40" i="123"/>
  <c r="X39" i="123"/>
  <c r="X38" i="123"/>
  <c r="X37" i="123"/>
  <c r="X36" i="123"/>
  <c r="X35" i="123"/>
  <c r="X34" i="123"/>
  <c r="X33" i="123"/>
  <c r="X32" i="123"/>
  <c r="X31" i="123"/>
  <c r="X30" i="123"/>
  <c r="X29" i="123"/>
  <c r="X28" i="123"/>
  <c r="X27" i="123"/>
  <c r="X26" i="123"/>
  <c r="X25" i="123"/>
  <c r="X24" i="123"/>
  <c r="X23" i="123"/>
  <c r="X22" i="123"/>
  <c r="U12" i="123"/>
  <c r="V12" i="123"/>
  <c r="W12" i="123"/>
  <c r="X12" i="123"/>
  <c r="U13" i="123"/>
  <c r="V13" i="123"/>
  <c r="Y13" i="123" s="1"/>
  <c r="W13" i="123"/>
  <c r="Z13" i="123" s="1"/>
  <c r="X13" i="123"/>
  <c r="J14" i="123"/>
  <c r="U14" i="123"/>
  <c r="V14" i="123"/>
  <c r="Y14" i="123" s="1"/>
  <c r="W14" i="123"/>
  <c r="Z14" i="123" s="1"/>
  <c r="X14" i="123"/>
  <c r="U15" i="123"/>
  <c r="V15" i="123"/>
  <c r="Y15" i="123" s="1"/>
  <c r="W15" i="123"/>
  <c r="Z15" i="123" s="1"/>
  <c r="X15" i="123"/>
  <c r="U16" i="123"/>
  <c r="V16" i="123"/>
  <c r="Y16" i="123" s="1"/>
  <c r="W16" i="123"/>
  <c r="Z16" i="123" s="1"/>
  <c r="X16" i="123"/>
  <c r="U17" i="123"/>
  <c r="V17" i="123"/>
  <c r="Y17" i="123" s="1"/>
  <c r="W17" i="123"/>
  <c r="Z17" i="123" s="1"/>
  <c r="X17" i="123"/>
  <c r="U18" i="123"/>
  <c r="V18" i="123"/>
  <c r="Y18" i="123" s="1"/>
  <c r="W18" i="123"/>
  <c r="Z18" i="123" s="1"/>
  <c r="X18" i="123"/>
  <c r="U19" i="123"/>
  <c r="V19" i="123"/>
  <c r="Y19" i="123" s="1"/>
  <c r="W19" i="123"/>
  <c r="Z19" i="123" s="1"/>
  <c r="X19" i="123"/>
  <c r="U20" i="123"/>
  <c r="V20" i="123"/>
  <c r="Y20" i="123" s="1"/>
  <c r="W20" i="123"/>
  <c r="Z20" i="123" s="1"/>
  <c r="X20" i="123"/>
  <c r="U21" i="123"/>
  <c r="V21" i="123"/>
  <c r="Y21" i="123" s="1"/>
  <c r="W21" i="123"/>
  <c r="Z21" i="123" s="1"/>
  <c r="X21" i="123"/>
  <c r="J46" i="123"/>
  <c r="D46" i="123"/>
  <c r="J57" i="123"/>
  <c r="D57" i="123"/>
  <c r="F57" i="123" s="1"/>
  <c r="J52" i="123"/>
  <c r="F52" i="123"/>
  <c r="D52" i="123"/>
  <c r="J22" i="123"/>
  <c r="J30" i="123"/>
  <c r="J38" i="123"/>
  <c r="D47" i="123"/>
  <c r="F47" i="123" s="1"/>
  <c r="D48" i="123"/>
  <c r="F48" i="123" s="1"/>
  <c r="D49" i="123"/>
  <c r="F49" i="123" s="1"/>
  <c r="D50" i="123"/>
  <c r="F50" i="123" s="1"/>
  <c r="D53" i="123"/>
  <c r="F53" i="123"/>
  <c r="D54" i="123"/>
  <c r="F54" i="123"/>
  <c r="D55" i="123"/>
  <c r="F55" i="123"/>
  <c r="D56" i="123"/>
  <c r="F56" i="123"/>
  <c r="D58" i="123"/>
  <c r="F58" i="123" s="1"/>
  <c r="F60" i="123"/>
  <c r="G60" i="123" s="1"/>
  <c r="T78" i="123"/>
  <c r="T98" i="123" s="1"/>
  <c r="G86" i="123" s="1"/>
  <c r="H81" i="123" s="1"/>
  <c r="Y78" i="123"/>
  <c r="Y98" i="123" s="1"/>
  <c r="J20" i="122"/>
  <c r="AA97" i="122"/>
  <c r="AA96" i="122"/>
  <c r="AA95" i="122"/>
  <c r="AA94" i="122"/>
  <c r="AA93" i="122"/>
  <c r="AA92" i="122"/>
  <c r="AA91" i="122"/>
  <c r="AA90" i="122"/>
  <c r="AA89" i="122"/>
  <c r="AA88" i="122"/>
  <c r="AA87" i="122"/>
  <c r="AA86" i="122"/>
  <c r="AA85" i="122"/>
  <c r="AA84" i="122"/>
  <c r="AA83" i="122"/>
  <c r="AA82" i="122"/>
  <c r="AA81" i="122"/>
  <c r="AA80" i="122"/>
  <c r="AA79" i="122"/>
  <c r="AA78" i="122"/>
  <c r="U74" i="122"/>
  <c r="U73" i="122"/>
  <c r="U72" i="122"/>
  <c r="U71" i="122"/>
  <c r="U68" i="122"/>
  <c r="U67" i="122"/>
  <c r="U66" i="122"/>
  <c r="U65" i="122"/>
  <c r="U64" i="122"/>
  <c r="U62" i="122"/>
  <c r="U61" i="122"/>
  <c r="U60" i="122"/>
  <c r="U59" i="122"/>
  <c r="U58" i="122"/>
  <c r="U57" i="122"/>
  <c r="U56" i="122"/>
  <c r="U55" i="122"/>
  <c r="U54" i="122"/>
  <c r="U53" i="122"/>
  <c r="U52" i="122"/>
  <c r="U51" i="122"/>
  <c r="U50" i="122"/>
  <c r="U49" i="122"/>
  <c r="U48" i="122"/>
  <c r="U47" i="122"/>
  <c r="U46" i="122"/>
  <c r="U45" i="122"/>
  <c r="U44" i="122"/>
  <c r="U43" i="122"/>
  <c r="U41" i="122"/>
  <c r="U40" i="122"/>
  <c r="U39" i="122"/>
  <c r="U38" i="122"/>
  <c r="U37" i="122"/>
  <c r="U36" i="122"/>
  <c r="U35" i="122"/>
  <c r="U34" i="122"/>
  <c r="U33" i="122"/>
  <c r="U32" i="122"/>
  <c r="U31" i="122"/>
  <c r="U30" i="122"/>
  <c r="U29" i="122"/>
  <c r="U28" i="122"/>
  <c r="U27" i="122"/>
  <c r="U26" i="122"/>
  <c r="U25" i="122"/>
  <c r="U24" i="122"/>
  <c r="U23" i="122"/>
  <c r="U22" i="122"/>
  <c r="W74" i="122"/>
  <c r="Z74" i="122" s="1"/>
  <c r="V74" i="122"/>
  <c r="Y74" i="122" s="1"/>
  <c r="W73" i="122"/>
  <c r="Z73" i="122" s="1"/>
  <c r="V73" i="122"/>
  <c r="Y73" i="122" s="1"/>
  <c r="W72" i="122"/>
  <c r="Z72" i="122" s="1"/>
  <c r="V72" i="122"/>
  <c r="Y72" i="122" s="1"/>
  <c r="W71" i="122"/>
  <c r="Z71" i="122" s="1"/>
  <c r="V71" i="122"/>
  <c r="Y71" i="122" s="1"/>
  <c r="W70" i="122"/>
  <c r="V70" i="122"/>
  <c r="W68" i="122"/>
  <c r="Z68" i="122" s="1"/>
  <c r="V68" i="122"/>
  <c r="Y68" i="122" s="1"/>
  <c r="W67" i="122"/>
  <c r="Z67" i="122" s="1"/>
  <c r="V67" i="122"/>
  <c r="Y67" i="122" s="1"/>
  <c r="W66" i="122"/>
  <c r="Z66" i="122" s="1"/>
  <c r="V66" i="122"/>
  <c r="Y66" i="122" s="1"/>
  <c r="W65" i="122"/>
  <c r="Z65" i="122" s="1"/>
  <c r="V65" i="122"/>
  <c r="Y65" i="122" s="1"/>
  <c r="W64" i="122"/>
  <c r="V64" i="122"/>
  <c r="W62" i="122"/>
  <c r="Z62" i="122" s="1"/>
  <c r="V62" i="122"/>
  <c r="Y62" i="122" s="1"/>
  <c r="W61" i="122"/>
  <c r="Z61" i="122" s="1"/>
  <c r="V61" i="122"/>
  <c r="Y61" i="122" s="1"/>
  <c r="W60" i="122"/>
  <c r="Z60" i="122" s="1"/>
  <c r="V60" i="122"/>
  <c r="Y60" i="122" s="1"/>
  <c r="W59" i="122"/>
  <c r="Z59" i="122" s="1"/>
  <c r="V59" i="122"/>
  <c r="Y59" i="122" s="1"/>
  <c r="W58" i="122"/>
  <c r="Z58" i="122" s="1"/>
  <c r="V58" i="122"/>
  <c r="Y58" i="122" s="1"/>
  <c r="W57" i="122"/>
  <c r="Z57" i="122" s="1"/>
  <c r="V57" i="122"/>
  <c r="Y57" i="122" s="1"/>
  <c r="W56" i="122"/>
  <c r="Z56" i="122" s="1"/>
  <c r="V56" i="122"/>
  <c r="Y56" i="122" s="1"/>
  <c r="W55" i="122"/>
  <c r="Z55" i="122" s="1"/>
  <c r="V55" i="122"/>
  <c r="Y55" i="122" s="1"/>
  <c r="W54" i="122"/>
  <c r="Z54" i="122" s="1"/>
  <c r="V54" i="122"/>
  <c r="Y54" i="122" s="1"/>
  <c r="W53" i="122"/>
  <c r="Z53" i="122" s="1"/>
  <c r="V53" i="122"/>
  <c r="Y53" i="122" s="1"/>
  <c r="W52" i="122"/>
  <c r="Z52" i="122" s="1"/>
  <c r="V52" i="122"/>
  <c r="Y52" i="122" s="1"/>
  <c r="W51" i="122"/>
  <c r="Z51" i="122" s="1"/>
  <c r="V51" i="122"/>
  <c r="Y51" i="122" s="1"/>
  <c r="W50" i="122"/>
  <c r="Z50" i="122" s="1"/>
  <c r="V50" i="122"/>
  <c r="Y50" i="122" s="1"/>
  <c r="W49" i="122"/>
  <c r="Z49" i="122" s="1"/>
  <c r="V49" i="122"/>
  <c r="Y49" i="122" s="1"/>
  <c r="W48" i="122"/>
  <c r="Z48" i="122" s="1"/>
  <c r="V48" i="122"/>
  <c r="Y48" i="122" s="1"/>
  <c r="W47" i="122"/>
  <c r="Z47" i="122" s="1"/>
  <c r="V47" i="122"/>
  <c r="Y47" i="122" s="1"/>
  <c r="W46" i="122"/>
  <c r="Z46" i="122" s="1"/>
  <c r="V46" i="122"/>
  <c r="Y46" i="122" s="1"/>
  <c r="W45" i="122"/>
  <c r="Z45" i="122" s="1"/>
  <c r="V45" i="122"/>
  <c r="Y45" i="122" s="1"/>
  <c r="W44" i="122"/>
  <c r="Z44" i="122" s="1"/>
  <c r="V44" i="122"/>
  <c r="Y44" i="122" s="1"/>
  <c r="W43" i="122"/>
  <c r="V43" i="122"/>
  <c r="W41" i="122"/>
  <c r="Z41" i="122" s="1"/>
  <c r="V41" i="122"/>
  <c r="Y41" i="122" s="1"/>
  <c r="W40" i="122"/>
  <c r="Z40" i="122" s="1"/>
  <c r="V40" i="122"/>
  <c r="Y40" i="122" s="1"/>
  <c r="W39" i="122"/>
  <c r="Z39" i="122" s="1"/>
  <c r="V39" i="122"/>
  <c r="Y39" i="122" s="1"/>
  <c r="W38" i="122"/>
  <c r="Z38" i="122" s="1"/>
  <c r="V38" i="122"/>
  <c r="Y38" i="122" s="1"/>
  <c r="W37" i="122"/>
  <c r="Z37" i="122" s="1"/>
  <c r="V37" i="122"/>
  <c r="Y37" i="122" s="1"/>
  <c r="W36" i="122"/>
  <c r="Z36" i="122" s="1"/>
  <c r="V36" i="122"/>
  <c r="Y36" i="122" s="1"/>
  <c r="W35" i="122"/>
  <c r="Z35" i="122" s="1"/>
  <c r="V35" i="122"/>
  <c r="Y35" i="122" s="1"/>
  <c r="W34" i="122"/>
  <c r="Z34" i="122" s="1"/>
  <c r="V34" i="122"/>
  <c r="Y34" i="122" s="1"/>
  <c r="W33" i="122"/>
  <c r="Z33" i="122" s="1"/>
  <c r="V33" i="122"/>
  <c r="Y33" i="122" s="1"/>
  <c r="W32" i="122"/>
  <c r="Z32" i="122" s="1"/>
  <c r="V32" i="122"/>
  <c r="Y32" i="122" s="1"/>
  <c r="W31" i="122"/>
  <c r="Z31" i="122" s="1"/>
  <c r="V31" i="122"/>
  <c r="Y31" i="122" s="1"/>
  <c r="W30" i="122"/>
  <c r="Z30" i="122" s="1"/>
  <c r="V30" i="122"/>
  <c r="Y30" i="122" s="1"/>
  <c r="W29" i="122"/>
  <c r="Z29" i="122" s="1"/>
  <c r="V29" i="122"/>
  <c r="Y29" i="122" s="1"/>
  <c r="W28" i="122"/>
  <c r="Z28" i="122" s="1"/>
  <c r="V28" i="122"/>
  <c r="Y28" i="122" s="1"/>
  <c r="W27" i="122"/>
  <c r="Z27" i="122" s="1"/>
  <c r="V27" i="122"/>
  <c r="Y27" i="122" s="1"/>
  <c r="W26" i="122"/>
  <c r="Z26" i="122" s="1"/>
  <c r="V26" i="122"/>
  <c r="Y26" i="122" s="1"/>
  <c r="W25" i="122"/>
  <c r="Z25" i="122" s="1"/>
  <c r="V25" i="122"/>
  <c r="Y25" i="122" s="1"/>
  <c r="W24" i="122"/>
  <c r="Z24" i="122" s="1"/>
  <c r="V24" i="122"/>
  <c r="Y24" i="122" s="1"/>
  <c r="W23" i="122"/>
  <c r="Z23" i="122" s="1"/>
  <c r="V23" i="122"/>
  <c r="Y23" i="122" s="1"/>
  <c r="W22" i="122"/>
  <c r="Z22" i="122" s="1"/>
  <c r="V22" i="122"/>
  <c r="Y22" i="122" s="1"/>
  <c r="AB97" i="122"/>
  <c r="AB96" i="122"/>
  <c r="AB95" i="122"/>
  <c r="AB94" i="122"/>
  <c r="AB93" i="122"/>
  <c r="AB92" i="122"/>
  <c r="AB91" i="122"/>
  <c r="AB90" i="122"/>
  <c r="AB89" i="122"/>
  <c r="AB88" i="122"/>
  <c r="AB87" i="122"/>
  <c r="AB86" i="122"/>
  <c r="AB85" i="122"/>
  <c r="AB84" i="122"/>
  <c r="AB83" i="122"/>
  <c r="AB82" i="122"/>
  <c r="AB81" i="122"/>
  <c r="AB80" i="122"/>
  <c r="AB79" i="122"/>
  <c r="AB78" i="122"/>
  <c r="X74" i="122"/>
  <c r="X73" i="122"/>
  <c r="X72" i="122"/>
  <c r="X71" i="122"/>
  <c r="X70" i="122"/>
  <c r="X68" i="122"/>
  <c r="X67" i="122"/>
  <c r="X66" i="122"/>
  <c r="X65" i="122"/>
  <c r="X64" i="122"/>
  <c r="X62" i="122"/>
  <c r="X61" i="122"/>
  <c r="X60" i="122"/>
  <c r="X59" i="122"/>
  <c r="X58" i="122"/>
  <c r="X57" i="122"/>
  <c r="X56" i="122"/>
  <c r="X55" i="122"/>
  <c r="X54" i="122"/>
  <c r="X53" i="122"/>
  <c r="X52" i="122"/>
  <c r="X51" i="122"/>
  <c r="X50" i="122"/>
  <c r="X49" i="122"/>
  <c r="X48" i="122"/>
  <c r="X47" i="122"/>
  <c r="X46" i="122"/>
  <c r="X45" i="122"/>
  <c r="X44" i="122"/>
  <c r="X43" i="122"/>
  <c r="X41" i="122"/>
  <c r="X40" i="122"/>
  <c r="X39" i="122"/>
  <c r="X38" i="122"/>
  <c r="X37" i="122"/>
  <c r="X36" i="122"/>
  <c r="X35" i="122"/>
  <c r="X34" i="122"/>
  <c r="X33" i="122"/>
  <c r="X32" i="122"/>
  <c r="X31" i="122"/>
  <c r="X30" i="122"/>
  <c r="X29" i="122"/>
  <c r="X28" i="122"/>
  <c r="X27" i="122"/>
  <c r="X26" i="122"/>
  <c r="X25" i="122"/>
  <c r="X24" i="122"/>
  <c r="X23" i="122"/>
  <c r="X22" i="122"/>
  <c r="U12" i="122"/>
  <c r="V12" i="122"/>
  <c r="W12" i="122"/>
  <c r="X12" i="122"/>
  <c r="U13" i="122"/>
  <c r="V13" i="122"/>
  <c r="Y13" i="122" s="1"/>
  <c r="W13" i="122"/>
  <c r="Z13" i="122" s="1"/>
  <c r="X13" i="122"/>
  <c r="J14" i="122"/>
  <c r="U14" i="122"/>
  <c r="V14" i="122"/>
  <c r="Y14" i="122" s="1"/>
  <c r="W14" i="122"/>
  <c r="Z14" i="122" s="1"/>
  <c r="X14" i="122"/>
  <c r="U15" i="122"/>
  <c r="V15" i="122"/>
  <c r="Y15" i="122" s="1"/>
  <c r="W15" i="122"/>
  <c r="Z15" i="122" s="1"/>
  <c r="X15" i="122"/>
  <c r="U16" i="122"/>
  <c r="V16" i="122"/>
  <c r="Y16" i="122" s="1"/>
  <c r="W16" i="122"/>
  <c r="Z16" i="122" s="1"/>
  <c r="X16" i="122"/>
  <c r="U17" i="122"/>
  <c r="V17" i="122"/>
  <c r="Y17" i="122" s="1"/>
  <c r="W17" i="122"/>
  <c r="Z17" i="122" s="1"/>
  <c r="X17" i="122"/>
  <c r="U18" i="122"/>
  <c r="V18" i="122"/>
  <c r="Y18" i="122" s="1"/>
  <c r="W18" i="122"/>
  <c r="Z18" i="122" s="1"/>
  <c r="X18" i="122"/>
  <c r="U19" i="122"/>
  <c r="V19" i="122"/>
  <c r="Y19" i="122" s="1"/>
  <c r="W19" i="122"/>
  <c r="Z19" i="122" s="1"/>
  <c r="X19" i="122"/>
  <c r="U20" i="122"/>
  <c r="V20" i="122"/>
  <c r="Y20" i="122" s="1"/>
  <c r="W20" i="122"/>
  <c r="Z20" i="122" s="1"/>
  <c r="X20" i="122"/>
  <c r="U21" i="122"/>
  <c r="V21" i="122"/>
  <c r="Y21" i="122" s="1"/>
  <c r="W21" i="122"/>
  <c r="Z21" i="122" s="1"/>
  <c r="X21" i="122"/>
  <c r="J46" i="122"/>
  <c r="D46" i="122"/>
  <c r="J57" i="122"/>
  <c r="D57" i="122"/>
  <c r="F57" i="122" s="1"/>
  <c r="J52" i="122"/>
  <c r="F52" i="122"/>
  <c r="D52" i="122"/>
  <c r="J22" i="122"/>
  <c r="J30" i="122"/>
  <c r="J38" i="122"/>
  <c r="D47" i="122"/>
  <c r="F47" i="122" s="1"/>
  <c r="D48" i="122"/>
  <c r="F48" i="122" s="1"/>
  <c r="D49" i="122"/>
  <c r="F49" i="122" s="1"/>
  <c r="D53" i="122"/>
  <c r="F53" i="122"/>
  <c r="D54" i="122"/>
  <c r="F54" i="122"/>
  <c r="D55" i="122"/>
  <c r="F55" i="122"/>
  <c r="D56" i="122"/>
  <c r="F56" i="122"/>
  <c r="D58" i="122"/>
  <c r="F58" i="122" s="1"/>
  <c r="F60" i="122"/>
  <c r="G60" i="122" s="1"/>
  <c r="L60" i="122" s="1"/>
  <c r="T78" i="122"/>
  <c r="T98" i="122" s="1"/>
  <c r="G86" i="122" s="1"/>
  <c r="H81" i="122" s="1"/>
  <c r="Y78" i="122"/>
  <c r="Y98" i="122" s="1"/>
  <c r="J20" i="121"/>
  <c r="AA97" i="121"/>
  <c r="AA96" i="121"/>
  <c r="AA95" i="121"/>
  <c r="AA94" i="121"/>
  <c r="AA93" i="121"/>
  <c r="AA92" i="121"/>
  <c r="AA91" i="121"/>
  <c r="AA90" i="121"/>
  <c r="AA89" i="121"/>
  <c r="AA88" i="121"/>
  <c r="AA87" i="121"/>
  <c r="AA86" i="121"/>
  <c r="AA85" i="121"/>
  <c r="AA84" i="121"/>
  <c r="AA83" i="121"/>
  <c r="AA82" i="121"/>
  <c r="AA81" i="121"/>
  <c r="AA80" i="121"/>
  <c r="AA79" i="121"/>
  <c r="AA78" i="121"/>
  <c r="U74" i="121"/>
  <c r="U73" i="121"/>
  <c r="U72" i="121"/>
  <c r="U71" i="121"/>
  <c r="U70" i="121"/>
  <c r="U68" i="121"/>
  <c r="U67" i="121"/>
  <c r="U66" i="121"/>
  <c r="U65" i="121"/>
  <c r="U64" i="121"/>
  <c r="U62" i="121"/>
  <c r="U61" i="121"/>
  <c r="U60" i="121"/>
  <c r="U59" i="121"/>
  <c r="U58" i="121"/>
  <c r="U57" i="121"/>
  <c r="U56" i="121"/>
  <c r="U55" i="121"/>
  <c r="U54" i="121"/>
  <c r="U53" i="121"/>
  <c r="U52" i="121"/>
  <c r="U51" i="121"/>
  <c r="U50" i="121"/>
  <c r="U49" i="121"/>
  <c r="U48" i="121"/>
  <c r="U47" i="121"/>
  <c r="U46" i="121"/>
  <c r="U45" i="121"/>
  <c r="U44" i="121"/>
  <c r="U43" i="121"/>
  <c r="U41" i="121"/>
  <c r="U40" i="121"/>
  <c r="U39" i="121"/>
  <c r="U38" i="121"/>
  <c r="U37" i="121"/>
  <c r="U36" i="121"/>
  <c r="U35" i="121"/>
  <c r="U34" i="121"/>
  <c r="U33" i="121"/>
  <c r="U32" i="121"/>
  <c r="U31" i="121"/>
  <c r="U30" i="121"/>
  <c r="U29" i="121"/>
  <c r="U28" i="121"/>
  <c r="U27" i="121"/>
  <c r="U26" i="121"/>
  <c r="U25" i="121"/>
  <c r="U24" i="121"/>
  <c r="U23" i="121"/>
  <c r="U22" i="121"/>
  <c r="W74" i="121"/>
  <c r="Z74" i="121" s="1"/>
  <c r="V74" i="121"/>
  <c r="Y74" i="121" s="1"/>
  <c r="W73" i="121"/>
  <c r="Z73" i="121" s="1"/>
  <c r="V73" i="121"/>
  <c r="Y73" i="121" s="1"/>
  <c r="W72" i="121"/>
  <c r="Z72" i="121" s="1"/>
  <c r="V72" i="121"/>
  <c r="Y72" i="121" s="1"/>
  <c r="W71" i="121"/>
  <c r="Z71" i="121" s="1"/>
  <c r="V71" i="121"/>
  <c r="Y71" i="121" s="1"/>
  <c r="W70" i="121"/>
  <c r="V70" i="121"/>
  <c r="W68" i="121"/>
  <c r="Z68" i="121" s="1"/>
  <c r="V68" i="121"/>
  <c r="Y68" i="121" s="1"/>
  <c r="W67" i="121"/>
  <c r="Z67" i="121" s="1"/>
  <c r="V67" i="121"/>
  <c r="Y67" i="121" s="1"/>
  <c r="W66" i="121"/>
  <c r="Z66" i="121" s="1"/>
  <c r="V66" i="121"/>
  <c r="Y66" i="121" s="1"/>
  <c r="W65" i="121"/>
  <c r="Z65" i="121" s="1"/>
  <c r="V65" i="121"/>
  <c r="Y65" i="121" s="1"/>
  <c r="W64" i="121"/>
  <c r="V64" i="121"/>
  <c r="W62" i="121"/>
  <c r="Z62" i="121" s="1"/>
  <c r="V62" i="121"/>
  <c r="Y62" i="121" s="1"/>
  <c r="W61" i="121"/>
  <c r="Z61" i="121" s="1"/>
  <c r="V61" i="121"/>
  <c r="Y61" i="121" s="1"/>
  <c r="W60" i="121"/>
  <c r="Z60" i="121" s="1"/>
  <c r="V60" i="121"/>
  <c r="Y60" i="121" s="1"/>
  <c r="W59" i="121"/>
  <c r="Z59" i="121" s="1"/>
  <c r="V59" i="121"/>
  <c r="Y59" i="121" s="1"/>
  <c r="W58" i="121"/>
  <c r="Z58" i="121" s="1"/>
  <c r="V58" i="121"/>
  <c r="Y58" i="121" s="1"/>
  <c r="W57" i="121"/>
  <c r="Z57" i="121" s="1"/>
  <c r="V57" i="121"/>
  <c r="Y57" i="121" s="1"/>
  <c r="W56" i="121"/>
  <c r="Z56" i="121" s="1"/>
  <c r="V56" i="121"/>
  <c r="Y56" i="121" s="1"/>
  <c r="W55" i="121"/>
  <c r="Z55" i="121" s="1"/>
  <c r="V55" i="121"/>
  <c r="Y55" i="121" s="1"/>
  <c r="W54" i="121"/>
  <c r="Z54" i="121" s="1"/>
  <c r="V54" i="121"/>
  <c r="Y54" i="121" s="1"/>
  <c r="W53" i="121"/>
  <c r="Z53" i="121" s="1"/>
  <c r="V53" i="121"/>
  <c r="Y53" i="121" s="1"/>
  <c r="W52" i="121"/>
  <c r="Z52" i="121" s="1"/>
  <c r="V52" i="121"/>
  <c r="Y52" i="121" s="1"/>
  <c r="W51" i="121"/>
  <c r="Z51" i="121" s="1"/>
  <c r="V51" i="121"/>
  <c r="Y51" i="121" s="1"/>
  <c r="W50" i="121"/>
  <c r="Z50" i="121" s="1"/>
  <c r="V50" i="121"/>
  <c r="Y50" i="121" s="1"/>
  <c r="W49" i="121"/>
  <c r="Z49" i="121" s="1"/>
  <c r="V49" i="121"/>
  <c r="Y49" i="121" s="1"/>
  <c r="W48" i="121"/>
  <c r="Z48" i="121" s="1"/>
  <c r="V48" i="121"/>
  <c r="Y48" i="121" s="1"/>
  <c r="W47" i="121"/>
  <c r="Z47" i="121" s="1"/>
  <c r="V47" i="121"/>
  <c r="Y47" i="121" s="1"/>
  <c r="W46" i="121"/>
  <c r="Z46" i="121" s="1"/>
  <c r="V46" i="121"/>
  <c r="Y46" i="121" s="1"/>
  <c r="W45" i="121"/>
  <c r="Z45" i="121" s="1"/>
  <c r="V45" i="121"/>
  <c r="Y45" i="121" s="1"/>
  <c r="W44" i="121"/>
  <c r="Z44" i="121" s="1"/>
  <c r="V44" i="121"/>
  <c r="Y44" i="121" s="1"/>
  <c r="W43" i="121"/>
  <c r="V43" i="121"/>
  <c r="W41" i="121"/>
  <c r="Z41" i="121" s="1"/>
  <c r="V41" i="121"/>
  <c r="Y41" i="121" s="1"/>
  <c r="W40" i="121"/>
  <c r="Z40" i="121" s="1"/>
  <c r="V40" i="121"/>
  <c r="Y40" i="121" s="1"/>
  <c r="W39" i="121"/>
  <c r="Z39" i="121" s="1"/>
  <c r="V39" i="121"/>
  <c r="Y39" i="121" s="1"/>
  <c r="W38" i="121"/>
  <c r="Z38" i="121" s="1"/>
  <c r="V38" i="121"/>
  <c r="Y38" i="121" s="1"/>
  <c r="W37" i="121"/>
  <c r="Z37" i="121" s="1"/>
  <c r="V37" i="121"/>
  <c r="Y37" i="121" s="1"/>
  <c r="W36" i="121"/>
  <c r="Z36" i="121" s="1"/>
  <c r="V36" i="121"/>
  <c r="Y36" i="121" s="1"/>
  <c r="W35" i="121"/>
  <c r="Z35" i="121" s="1"/>
  <c r="V35" i="121"/>
  <c r="Y35" i="121" s="1"/>
  <c r="W34" i="121"/>
  <c r="Z34" i="121" s="1"/>
  <c r="V34" i="121"/>
  <c r="Y34" i="121" s="1"/>
  <c r="W33" i="121"/>
  <c r="Z33" i="121" s="1"/>
  <c r="V33" i="121"/>
  <c r="Y33" i="121" s="1"/>
  <c r="W32" i="121"/>
  <c r="Z32" i="121" s="1"/>
  <c r="V32" i="121"/>
  <c r="Y32" i="121" s="1"/>
  <c r="W31" i="121"/>
  <c r="Z31" i="121" s="1"/>
  <c r="V31" i="121"/>
  <c r="Y31" i="121" s="1"/>
  <c r="W30" i="121"/>
  <c r="Z30" i="121" s="1"/>
  <c r="V30" i="121"/>
  <c r="Y30" i="121" s="1"/>
  <c r="W29" i="121"/>
  <c r="Z29" i="121" s="1"/>
  <c r="V29" i="121"/>
  <c r="Y29" i="121" s="1"/>
  <c r="W28" i="121"/>
  <c r="Z28" i="121" s="1"/>
  <c r="V28" i="121"/>
  <c r="Y28" i="121" s="1"/>
  <c r="W27" i="121"/>
  <c r="Z27" i="121" s="1"/>
  <c r="V27" i="121"/>
  <c r="Y27" i="121" s="1"/>
  <c r="W26" i="121"/>
  <c r="Z26" i="121" s="1"/>
  <c r="V26" i="121"/>
  <c r="Y26" i="121" s="1"/>
  <c r="W25" i="121"/>
  <c r="Z25" i="121" s="1"/>
  <c r="V25" i="121"/>
  <c r="Y25" i="121" s="1"/>
  <c r="W24" i="121"/>
  <c r="Z24" i="121" s="1"/>
  <c r="V24" i="121"/>
  <c r="Y24" i="121" s="1"/>
  <c r="W23" i="121"/>
  <c r="Z23" i="121" s="1"/>
  <c r="V23" i="121"/>
  <c r="Y23" i="121" s="1"/>
  <c r="W22" i="121"/>
  <c r="Z22" i="121" s="1"/>
  <c r="V22" i="121"/>
  <c r="Y22" i="121" s="1"/>
  <c r="AB97" i="121"/>
  <c r="AB96" i="121"/>
  <c r="AB95" i="121"/>
  <c r="AB94" i="121"/>
  <c r="AB93" i="121"/>
  <c r="AB92" i="121"/>
  <c r="AB91" i="121"/>
  <c r="AB90" i="121"/>
  <c r="AB89" i="121"/>
  <c r="AB88" i="121"/>
  <c r="AB87" i="121"/>
  <c r="AB86" i="121"/>
  <c r="AB85" i="121"/>
  <c r="AB84" i="121"/>
  <c r="AB83" i="121"/>
  <c r="AB82" i="121"/>
  <c r="AB81" i="121"/>
  <c r="AB80" i="121"/>
  <c r="AB79" i="121"/>
  <c r="AB78" i="121"/>
  <c r="X74" i="121"/>
  <c r="X73" i="121"/>
  <c r="X72" i="121"/>
  <c r="X71" i="121"/>
  <c r="X70" i="121"/>
  <c r="X68" i="121"/>
  <c r="X67" i="121"/>
  <c r="X66" i="121"/>
  <c r="X65" i="121"/>
  <c r="X64" i="121"/>
  <c r="X62" i="121"/>
  <c r="X61" i="121"/>
  <c r="X60" i="121"/>
  <c r="X59" i="121"/>
  <c r="X58" i="121"/>
  <c r="X57" i="121"/>
  <c r="X56" i="121"/>
  <c r="X55" i="121"/>
  <c r="X54" i="121"/>
  <c r="X53" i="121"/>
  <c r="X52" i="121"/>
  <c r="X51" i="121"/>
  <c r="X50" i="121"/>
  <c r="X49" i="121"/>
  <c r="X48" i="121"/>
  <c r="X47" i="121"/>
  <c r="X46" i="121"/>
  <c r="X45" i="121"/>
  <c r="X44" i="121"/>
  <c r="X43" i="121"/>
  <c r="X41" i="121"/>
  <c r="X40" i="121"/>
  <c r="X39" i="121"/>
  <c r="X38" i="121"/>
  <c r="X37" i="121"/>
  <c r="X36" i="121"/>
  <c r="X35" i="121"/>
  <c r="X34" i="121"/>
  <c r="X33" i="121"/>
  <c r="X32" i="121"/>
  <c r="X31" i="121"/>
  <c r="X30" i="121"/>
  <c r="X29" i="121"/>
  <c r="X28" i="121"/>
  <c r="X27" i="121"/>
  <c r="X26" i="121"/>
  <c r="X25" i="121"/>
  <c r="X24" i="121"/>
  <c r="X23" i="121"/>
  <c r="X22" i="121"/>
  <c r="U12" i="121"/>
  <c r="V12" i="121"/>
  <c r="W12" i="121"/>
  <c r="X12" i="121"/>
  <c r="U13" i="121"/>
  <c r="V13" i="121"/>
  <c r="Y13" i="121" s="1"/>
  <c r="W13" i="121"/>
  <c r="Z13" i="121" s="1"/>
  <c r="X13" i="121"/>
  <c r="J14" i="121"/>
  <c r="U14" i="121"/>
  <c r="V14" i="121"/>
  <c r="Y14" i="121" s="1"/>
  <c r="W14" i="121"/>
  <c r="Z14" i="121" s="1"/>
  <c r="X14" i="121"/>
  <c r="U15" i="121"/>
  <c r="V15" i="121"/>
  <c r="Y15" i="121" s="1"/>
  <c r="W15" i="121"/>
  <c r="Z15" i="121" s="1"/>
  <c r="X15" i="121"/>
  <c r="U16" i="121"/>
  <c r="V16" i="121"/>
  <c r="Y16" i="121" s="1"/>
  <c r="W16" i="121"/>
  <c r="Z16" i="121" s="1"/>
  <c r="X16" i="121"/>
  <c r="U17" i="121"/>
  <c r="V17" i="121"/>
  <c r="Y17" i="121" s="1"/>
  <c r="W17" i="121"/>
  <c r="Z17" i="121" s="1"/>
  <c r="X17" i="121"/>
  <c r="U18" i="121"/>
  <c r="V18" i="121"/>
  <c r="Y18" i="121" s="1"/>
  <c r="W18" i="121"/>
  <c r="Z18" i="121" s="1"/>
  <c r="X18" i="121"/>
  <c r="U19" i="121"/>
  <c r="V19" i="121"/>
  <c r="Y19" i="121" s="1"/>
  <c r="W19" i="121"/>
  <c r="Z19" i="121" s="1"/>
  <c r="X19" i="121"/>
  <c r="U20" i="121"/>
  <c r="V20" i="121"/>
  <c r="Y20" i="121" s="1"/>
  <c r="W20" i="121"/>
  <c r="Z20" i="121" s="1"/>
  <c r="X20" i="121"/>
  <c r="U21" i="121"/>
  <c r="V21" i="121"/>
  <c r="Y21" i="121" s="1"/>
  <c r="W21" i="121"/>
  <c r="Z21" i="121" s="1"/>
  <c r="X21" i="121"/>
  <c r="J46" i="121"/>
  <c r="D46" i="121"/>
  <c r="J57" i="121"/>
  <c r="D57" i="121"/>
  <c r="F57" i="121" s="1"/>
  <c r="J52" i="121"/>
  <c r="F52" i="121"/>
  <c r="D52" i="121"/>
  <c r="J22" i="121"/>
  <c r="J30" i="121"/>
  <c r="J38" i="121"/>
  <c r="D47" i="121"/>
  <c r="F47" i="121" s="1"/>
  <c r="D48" i="121"/>
  <c r="F48" i="121" s="1"/>
  <c r="D49" i="121"/>
  <c r="F49" i="121" s="1"/>
  <c r="D53" i="121"/>
  <c r="F53" i="121"/>
  <c r="D54" i="121"/>
  <c r="F54" i="121"/>
  <c r="D55" i="121"/>
  <c r="F55" i="121"/>
  <c r="D56" i="121"/>
  <c r="F56" i="121"/>
  <c r="D58" i="121"/>
  <c r="F58" i="121" s="1"/>
  <c r="F60" i="121"/>
  <c r="G60" i="121" s="1"/>
  <c r="L60" i="121" s="1"/>
  <c r="T78" i="121"/>
  <c r="T98" i="121" s="1"/>
  <c r="G86" i="121" s="1"/>
  <c r="H81" i="121" s="1"/>
  <c r="Y78" i="121"/>
  <c r="Y98" i="121" s="1"/>
  <c r="AA97" i="120"/>
  <c r="AA96" i="120"/>
  <c r="AA95" i="120"/>
  <c r="AA94" i="120"/>
  <c r="AA93" i="120"/>
  <c r="AA92" i="120"/>
  <c r="AA91" i="120"/>
  <c r="AA90" i="120"/>
  <c r="AA89" i="120"/>
  <c r="AA88" i="120"/>
  <c r="AA87" i="120"/>
  <c r="AA86" i="120"/>
  <c r="AA85" i="120"/>
  <c r="AA84" i="120"/>
  <c r="AA83" i="120"/>
  <c r="AA82" i="120"/>
  <c r="AA81" i="120"/>
  <c r="AA80" i="120"/>
  <c r="AA79" i="120"/>
  <c r="AA78" i="120"/>
  <c r="U74" i="120"/>
  <c r="U73" i="120"/>
  <c r="U72" i="120"/>
  <c r="U71" i="120"/>
  <c r="U70" i="120"/>
  <c r="U68" i="120"/>
  <c r="U67" i="120"/>
  <c r="U66" i="120"/>
  <c r="U65" i="120"/>
  <c r="U64" i="120"/>
  <c r="U62" i="120"/>
  <c r="U61" i="120"/>
  <c r="U60" i="120"/>
  <c r="U59" i="120"/>
  <c r="U58" i="120"/>
  <c r="U57" i="120"/>
  <c r="U56" i="120"/>
  <c r="U55" i="120"/>
  <c r="U54" i="120"/>
  <c r="U53" i="120"/>
  <c r="U52" i="120"/>
  <c r="U51" i="120"/>
  <c r="U50" i="120"/>
  <c r="U49" i="120"/>
  <c r="U48" i="120"/>
  <c r="U47" i="120"/>
  <c r="U46" i="120"/>
  <c r="U45" i="120"/>
  <c r="U44" i="120"/>
  <c r="U43" i="120"/>
  <c r="U41" i="120"/>
  <c r="U40" i="120"/>
  <c r="U39" i="120"/>
  <c r="U38" i="120"/>
  <c r="U37" i="120"/>
  <c r="U36" i="120"/>
  <c r="U35" i="120"/>
  <c r="U34" i="120"/>
  <c r="U33" i="120"/>
  <c r="U32" i="120"/>
  <c r="U31" i="120"/>
  <c r="U30" i="120"/>
  <c r="U29" i="120"/>
  <c r="U28" i="120"/>
  <c r="U27" i="120"/>
  <c r="U26" i="120"/>
  <c r="U25" i="120"/>
  <c r="U24" i="120"/>
  <c r="U23" i="120"/>
  <c r="U22" i="120"/>
  <c r="W74" i="120"/>
  <c r="Z74" i="120" s="1"/>
  <c r="V74" i="120"/>
  <c r="Y74" i="120" s="1"/>
  <c r="W73" i="120"/>
  <c r="Z73" i="120" s="1"/>
  <c r="V73" i="120"/>
  <c r="Y73" i="120" s="1"/>
  <c r="W72" i="120"/>
  <c r="Z72" i="120" s="1"/>
  <c r="V72" i="120"/>
  <c r="Y72" i="120" s="1"/>
  <c r="W71" i="120"/>
  <c r="Z71" i="120" s="1"/>
  <c r="V71" i="120"/>
  <c r="Y71" i="120" s="1"/>
  <c r="W70" i="120"/>
  <c r="V70" i="120"/>
  <c r="W68" i="120"/>
  <c r="Z68" i="120" s="1"/>
  <c r="V68" i="120"/>
  <c r="Y68" i="120" s="1"/>
  <c r="W67" i="120"/>
  <c r="Z67" i="120" s="1"/>
  <c r="V67" i="120"/>
  <c r="Y67" i="120" s="1"/>
  <c r="W66" i="120"/>
  <c r="Z66" i="120" s="1"/>
  <c r="V66" i="120"/>
  <c r="Y66" i="120" s="1"/>
  <c r="W65" i="120"/>
  <c r="Z65" i="120" s="1"/>
  <c r="V65" i="120"/>
  <c r="Y65" i="120" s="1"/>
  <c r="W64" i="120"/>
  <c r="V64" i="120"/>
  <c r="W62" i="120"/>
  <c r="Z62" i="120" s="1"/>
  <c r="V62" i="120"/>
  <c r="Y62" i="120" s="1"/>
  <c r="W61" i="120"/>
  <c r="Z61" i="120" s="1"/>
  <c r="V61" i="120"/>
  <c r="Y61" i="120" s="1"/>
  <c r="W60" i="120"/>
  <c r="Z60" i="120" s="1"/>
  <c r="V60" i="120"/>
  <c r="Y60" i="120" s="1"/>
  <c r="W59" i="120"/>
  <c r="Z59" i="120" s="1"/>
  <c r="V59" i="120"/>
  <c r="Y59" i="120" s="1"/>
  <c r="W58" i="120"/>
  <c r="Z58" i="120" s="1"/>
  <c r="V58" i="120"/>
  <c r="Y58" i="120" s="1"/>
  <c r="W57" i="120"/>
  <c r="Z57" i="120" s="1"/>
  <c r="V57" i="120"/>
  <c r="Y57" i="120" s="1"/>
  <c r="W56" i="120"/>
  <c r="Z56" i="120" s="1"/>
  <c r="V56" i="120"/>
  <c r="Y56" i="120" s="1"/>
  <c r="W55" i="120"/>
  <c r="Z55" i="120" s="1"/>
  <c r="V55" i="120"/>
  <c r="Y55" i="120" s="1"/>
  <c r="W54" i="120"/>
  <c r="Z54" i="120" s="1"/>
  <c r="V54" i="120"/>
  <c r="Y54" i="120" s="1"/>
  <c r="W53" i="120"/>
  <c r="Z53" i="120" s="1"/>
  <c r="V53" i="120"/>
  <c r="Y53" i="120" s="1"/>
  <c r="W52" i="120"/>
  <c r="Z52" i="120" s="1"/>
  <c r="V52" i="120"/>
  <c r="Y52" i="120" s="1"/>
  <c r="W51" i="120"/>
  <c r="Z51" i="120" s="1"/>
  <c r="V51" i="120"/>
  <c r="Y51" i="120" s="1"/>
  <c r="W50" i="120"/>
  <c r="Z50" i="120" s="1"/>
  <c r="V50" i="120"/>
  <c r="Y50" i="120" s="1"/>
  <c r="W49" i="120"/>
  <c r="Z49" i="120" s="1"/>
  <c r="V49" i="120"/>
  <c r="Y49" i="120" s="1"/>
  <c r="W48" i="120"/>
  <c r="Z48" i="120" s="1"/>
  <c r="V48" i="120"/>
  <c r="Y48" i="120" s="1"/>
  <c r="W47" i="120"/>
  <c r="Z47" i="120" s="1"/>
  <c r="V47" i="120"/>
  <c r="Y47" i="120" s="1"/>
  <c r="W46" i="120"/>
  <c r="Z46" i="120" s="1"/>
  <c r="V46" i="120"/>
  <c r="Y46" i="120" s="1"/>
  <c r="W45" i="120"/>
  <c r="Z45" i="120" s="1"/>
  <c r="V45" i="120"/>
  <c r="Y45" i="120" s="1"/>
  <c r="W44" i="120"/>
  <c r="Z44" i="120" s="1"/>
  <c r="V44" i="120"/>
  <c r="Y44" i="120" s="1"/>
  <c r="W43" i="120"/>
  <c r="V43" i="120"/>
  <c r="W41" i="120"/>
  <c r="Z41" i="120" s="1"/>
  <c r="V41" i="120"/>
  <c r="Y41" i="120" s="1"/>
  <c r="W40" i="120"/>
  <c r="Z40" i="120" s="1"/>
  <c r="V40" i="120"/>
  <c r="Y40" i="120" s="1"/>
  <c r="W39" i="120"/>
  <c r="Z39" i="120" s="1"/>
  <c r="V39" i="120"/>
  <c r="Y39" i="120" s="1"/>
  <c r="W38" i="120"/>
  <c r="Z38" i="120" s="1"/>
  <c r="V38" i="120"/>
  <c r="Y38" i="120" s="1"/>
  <c r="W37" i="120"/>
  <c r="Z37" i="120" s="1"/>
  <c r="V37" i="120"/>
  <c r="Y37" i="120" s="1"/>
  <c r="W36" i="120"/>
  <c r="Z36" i="120" s="1"/>
  <c r="V36" i="120"/>
  <c r="Y36" i="120" s="1"/>
  <c r="W35" i="120"/>
  <c r="Z35" i="120" s="1"/>
  <c r="V35" i="120"/>
  <c r="Y35" i="120" s="1"/>
  <c r="W34" i="120"/>
  <c r="Z34" i="120" s="1"/>
  <c r="V34" i="120"/>
  <c r="Y34" i="120" s="1"/>
  <c r="W33" i="120"/>
  <c r="Z33" i="120" s="1"/>
  <c r="V33" i="120"/>
  <c r="Y33" i="120" s="1"/>
  <c r="W32" i="120"/>
  <c r="Z32" i="120" s="1"/>
  <c r="V32" i="120"/>
  <c r="Y32" i="120" s="1"/>
  <c r="W31" i="120"/>
  <c r="Z31" i="120" s="1"/>
  <c r="V31" i="120"/>
  <c r="Y31" i="120" s="1"/>
  <c r="W30" i="120"/>
  <c r="Z30" i="120" s="1"/>
  <c r="V30" i="120"/>
  <c r="Y30" i="120" s="1"/>
  <c r="W29" i="120"/>
  <c r="Z29" i="120" s="1"/>
  <c r="V29" i="120"/>
  <c r="Y29" i="120" s="1"/>
  <c r="W28" i="120"/>
  <c r="Z28" i="120" s="1"/>
  <c r="V28" i="120"/>
  <c r="Y28" i="120" s="1"/>
  <c r="W27" i="120"/>
  <c r="Z27" i="120" s="1"/>
  <c r="V27" i="120"/>
  <c r="Y27" i="120" s="1"/>
  <c r="W26" i="120"/>
  <c r="Z26" i="120" s="1"/>
  <c r="V26" i="120"/>
  <c r="Y26" i="120" s="1"/>
  <c r="W25" i="120"/>
  <c r="Z25" i="120" s="1"/>
  <c r="V25" i="120"/>
  <c r="Y25" i="120" s="1"/>
  <c r="W24" i="120"/>
  <c r="Z24" i="120" s="1"/>
  <c r="V24" i="120"/>
  <c r="Y24" i="120" s="1"/>
  <c r="W23" i="120"/>
  <c r="Z23" i="120" s="1"/>
  <c r="V23" i="120"/>
  <c r="Y23" i="120" s="1"/>
  <c r="W22" i="120"/>
  <c r="Z22" i="120" s="1"/>
  <c r="V22" i="120"/>
  <c r="Y22" i="120" s="1"/>
  <c r="AB97" i="120"/>
  <c r="AB96" i="120"/>
  <c r="AB95" i="120"/>
  <c r="AB94" i="120"/>
  <c r="AB93" i="120"/>
  <c r="AB92" i="120"/>
  <c r="AB91" i="120"/>
  <c r="AB90" i="120"/>
  <c r="AB89" i="120"/>
  <c r="AB88" i="120"/>
  <c r="AB87" i="120"/>
  <c r="AB86" i="120"/>
  <c r="AB85" i="120"/>
  <c r="AB84" i="120"/>
  <c r="AB83" i="120"/>
  <c r="AB82" i="120"/>
  <c r="AB81" i="120"/>
  <c r="AB80" i="120"/>
  <c r="AB79" i="120"/>
  <c r="AB78" i="120"/>
  <c r="X74" i="120"/>
  <c r="X73" i="120"/>
  <c r="X72" i="120"/>
  <c r="X71" i="120"/>
  <c r="X70" i="120"/>
  <c r="X68" i="120"/>
  <c r="X67" i="120"/>
  <c r="X66" i="120"/>
  <c r="X65" i="120"/>
  <c r="X64" i="120"/>
  <c r="X62" i="120"/>
  <c r="X61" i="120"/>
  <c r="X60" i="120"/>
  <c r="X59" i="120"/>
  <c r="X58" i="120"/>
  <c r="X57" i="120"/>
  <c r="X56" i="120"/>
  <c r="X55" i="120"/>
  <c r="X54" i="120"/>
  <c r="X53" i="120"/>
  <c r="X52" i="120"/>
  <c r="X51" i="120"/>
  <c r="X50" i="120"/>
  <c r="X49" i="120"/>
  <c r="X48" i="120"/>
  <c r="X47" i="120"/>
  <c r="X46" i="120"/>
  <c r="X45" i="120"/>
  <c r="X44" i="120"/>
  <c r="X43" i="120"/>
  <c r="X41" i="120"/>
  <c r="X40" i="120"/>
  <c r="X39" i="120"/>
  <c r="X38" i="120"/>
  <c r="X37" i="120"/>
  <c r="X36" i="120"/>
  <c r="X35" i="120"/>
  <c r="X34" i="120"/>
  <c r="X33" i="120"/>
  <c r="X32" i="120"/>
  <c r="X31" i="120"/>
  <c r="X30" i="120"/>
  <c r="X29" i="120"/>
  <c r="X28" i="120"/>
  <c r="X27" i="120"/>
  <c r="X26" i="120"/>
  <c r="X25" i="120"/>
  <c r="X24" i="120"/>
  <c r="X23" i="120"/>
  <c r="X22" i="120"/>
  <c r="U12" i="120"/>
  <c r="V12" i="120"/>
  <c r="W12" i="120"/>
  <c r="X12" i="120"/>
  <c r="U13" i="120"/>
  <c r="V13" i="120"/>
  <c r="Y13" i="120" s="1"/>
  <c r="W13" i="120"/>
  <c r="Z13" i="120" s="1"/>
  <c r="X13" i="120"/>
  <c r="J14" i="120"/>
  <c r="U14" i="120"/>
  <c r="V14" i="120"/>
  <c r="Y14" i="120" s="1"/>
  <c r="W14" i="120"/>
  <c r="Z14" i="120" s="1"/>
  <c r="X14" i="120"/>
  <c r="U15" i="120"/>
  <c r="V15" i="120"/>
  <c r="Y15" i="120" s="1"/>
  <c r="W15" i="120"/>
  <c r="Z15" i="120" s="1"/>
  <c r="X15" i="120"/>
  <c r="U16" i="120"/>
  <c r="V16" i="120"/>
  <c r="Y16" i="120" s="1"/>
  <c r="W16" i="120"/>
  <c r="Z16" i="120" s="1"/>
  <c r="X16" i="120"/>
  <c r="U17" i="120"/>
  <c r="V17" i="120"/>
  <c r="Y17" i="120" s="1"/>
  <c r="W17" i="120"/>
  <c r="Z17" i="120" s="1"/>
  <c r="X17" i="120"/>
  <c r="U18" i="120"/>
  <c r="V18" i="120"/>
  <c r="Y18" i="120" s="1"/>
  <c r="W18" i="120"/>
  <c r="Z18" i="120" s="1"/>
  <c r="X18" i="120"/>
  <c r="U19" i="120"/>
  <c r="V19" i="120"/>
  <c r="Y19" i="120" s="1"/>
  <c r="W19" i="120"/>
  <c r="Z19" i="120" s="1"/>
  <c r="X19" i="120"/>
  <c r="U20" i="120"/>
  <c r="V20" i="120"/>
  <c r="Y20" i="120" s="1"/>
  <c r="W20" i="120"/>
  <c r="Z20" i="120" s="1"/>
  <c r="X20" i="120"/>
  <c r="U21" i="120"/>
  <c r="V21" i="120"/>
  <c r="Y21" i="120" s="1"/>
  <c r="W21" i="120"/>
  <c r="Z21" i="120" s="1"/>
  <c r="X21" i="120"/>
  <c r="J46" i="120"/>
  <c r="D46" i="120"/>
  <c r="J57" i="120"/>
  <c r="D57" i="120"/>
  <c r="F57" i="120" s="1"/>
  <c r="J52" i="120"/>
  <c r="F52" i="120"/>
  <c r="D52" i="120"/>
  <c r="J22" i="120"/>
  <c r="J30" i="120"/>
  <c r="J38" i="120"/>
  <c r="D47" i="120"/>
  <c r="F47" i="120" s="1"/>
  <c r="D48" i="120"/>
  <c r="F48" i="120" s="1"/>
  <c r="D49" i="120"/>
  <c r="F49" i="120" s="1"/>
  <c r="D53" i="120"/>
  <c r="F53" i="120"/>
  <c r="D54" i="120"/>
  <c r="F54" i="120"/>
  <c r="D55" i="120"/>
  <c r="F55" i="120"/>
  <c r="D56" i="120"/>
  <c r="F56" i="120"/>
  <c r="D58" i="120"/>
  <c r="F58" i="120" s="1"/>
  <c r="F60" i="120"/>
  <c r="G60" i="120" s="1"/>
  <c r="L60" i="120" s="1"/>
  <c r="T78" i="120"/>
  <c r="T98" i="120" s="1"/>
  <c r="G86" i="120" s="1"/>
  <c r="H81" i="120" s="1"/>
  <c r="Y78" i="120"/>
  <c r="Y98" i="120" s="1"/>
  <c r="J20" i="119"/>
  <c r="AA97" i="119"/>
  <c r="AA96" i="119"/>
  <c r="AA95" i="119"/>
  <c r="AA94" i="119"/>
  <c r="AA93" i="119"/>
  <c r="AA92" i="119"/>
  <c r="AA91" i="119"/>
  <c r="AA90" i="119"/>
  <c r="AA89" i="119"/>
  <c r="AA88" i="119"/>
  <c r="AA87" i="119"/>
  <c r="AA86" i="119"/>
  <c r="AA85" i="119"/>
  <c r="AA84" i="119"/>
  <c r="AA83" i="119"/>
  <c r="AA82" i="119"/>
  <c r="AA81" i="119"/>
  <c r="AA80" i="119"/>
  <c r="AA79" i="119"/>
  <c r="AA78" i="119"/>
  <c r="U74" i="119"/>
  <c r="U73" i="119"/>
  <c r="U72" i="119"/>
  <c r="U71" i="119"/>
  <c r="U70" i="119"/>
  <c r="U68" i="119"/>
  <c r="U67" i="119"/>
  <c r="U66" i="119"/>
  <c r="U65" i="119"/>
  <c r="U64" i="119"/>
  <c r="U62" i="119"/>
  <c r="U61" i="119"/>
  <c r="U60" i="119"/>
  <c r="U59" i="119"/>
  <c r="U58" i="119"/>
  <c r="U57" i="119"/>
  <c r="U56" i="119"/>
  <c r="U55" i="119"/>
  <c r="U54" i="119"/>
  <c r="U53" i="119"/>
  <c r="U52" i="119"/>
  <c r="U51" i="119"/>
  <c r="U50" i="119"/>
  <c r="U49" i="119"/>
  <c r="U48" i="119"/>
  <c r="U47" i="119"/>
  <c r="U46" i="119"/>
  <c r="U45" i="119"/>
  <c r="U44" i="119"/>
  <c r="U43" i="119"/>
  <c r="U41" i="119"/>
  <c r="U40" i="119"/>
  <c r="U39" i="119"/>
  <c r="U38" i="119"/>
  <c r="U37" i="119"/>
  <c r="U36" i="119"/>
  <c r="U35" i="119"/>
  <c r="U34" i="119"/>
  <c r="U33" i="119"/>
  <c r="U32" i="119"/>
  <c r="U31" i="119"/>
  <c r="U30" i="119"/>
  <c r="U29" i="119"/>
  <c r="U28" i="119"/>
  <c r="U27" i="119"/>
  <c r="U26" i="119"/>
  <c r="U25" i="119"/>
  <c r="U24" i="119"/>
  <c r="U23" i="119"/>
  <c r="U22" i="119"/>
  <c r="W74" i="119"/>
  <c r="Z74" i="119" s="1"/>
  <c r="V74" i="119"/>
  <c r="Y74" i="119" s="1"/>
  <c r="W73" i="119"/>
  <c r="Z73" i="119" s="1"/>
  <c r="V73" i="119"/>
  <c r="Y73" i="119" s="1"/>
  <c r="W72" i="119"/>
  <c r="Z72" i="119" s="1"/>
  <c r="V72" i="119"/>
  <c r="Y72" i="119" s="1"/>
  <c r="W71" i="119"/>
  <c r="Z71" i="119" s="1"/>
  <c r="V71" i="119"/>
  <c r="Y71" i="119" s="1"/>
  <c r="W70" i="119"/>
  <c r="V70" i="119"/>
  <c r="W68" i="119"/>
  <c r="Z68" i="119" s="1"/>
  <c r="V68" i="119"/>
  <c r="Y68" i="119" s="1"/>
  <c r="W67" i="119"/>
  <c r="Z67" i="119" s="1"/>
  <c r="V67" i="119"/>
  <c r="Y67" i="119" s="1"/>
  <c r="W66" i="119"/>
  <c r="Z66" i="119" s="1"/>
  <c r="V66" i="119"/>
  <c r="Y66" i="119" s="1"/>
  <c r="W65" i="119"/>
  <c r="Z65" i="119" s="1"/>
  <c r="V65" i="119"/>
  <c r="Y65" i="119" s="1"/>
  <c r="W64" i="119"/>
  <c r="V64" i="119"/>
  <c r="W62" i="119"/>
  <c r="Z62" i="119" s="1"/>
  <c r="V62" i="119"/>
  <c r="Y62" i="119" s="1"/>
  <c r="W61" i="119"/>
  <c r="Z61" i="119" s="1"/>
  <c r="V61" i="119"/>
  <c r="Y61" i="119" s="1"/>
  <c r="W60" i="119"/>
  <c r="Z60" i="119" s="1"/>
  <c r="V60" i="119"/>
  <c r="Y60" i="119" s="1"/>
  <c r="W59" i="119"/>
  <c r="Z59" i="119" s="1"/>
  <c r="V59" i="119"/>
  <c r="Y59" i="119" s="1"/>
  <c r="W58" i="119"/>
  <c r="Z58" i="119" s="1"/>
  <c r="V58" i="119"/>
  <c r="Y58" i="119" s="1"/>
  <c r="W57" i="119"/>
  <c r="Z57" i="119" s="1"/>
  <c r="V57" i="119"/>
  <c r="Y57" i="119" s="1"/>
  <c r="W56" i="119"/>
  <c r="Z56" i="119" s="1"/>
  <c r="V56" i="119"/>
  <c r="Y56" i="119" s="1"/>
  <c r="W55" i="119"/>
  <c r="Z55" i="119" s="1"/>
  <c r="V55" i="119"/>
  <c r="Y55" i="119" s="1"/>
  <c r="W54" i="119"/>
  <c r="Z54" i="119" s="1"/>
  <c r="V54" i="119"/>
  <c r="Y54" i="119" s="1"/>
  <c r="W53" i="119"/>
  <c r="Z53" i="119" s="1"/>
  <c r="V53" i="119"/>
  <c r="Y53" i="119" s="1"/>
  <c r="W52" i="119"/>
  <c r="Z52" i="119" s="1"/>
  <c r="V52" i="119"/>
  <c r="Y52" i="119" s="1"/>
  <c r="W51" i="119"/>
  <c r="Z51" i="119" s="1"/>
  <c r="V51" i="119"/>
  <c r="Y51" i="119" s="1"/>
  <c r="W50" i="119"/>
  <c r="Z50" i="119" s="1"/>
  <c r="V50" i="119"/>
  <c r="Y50" i="119" s="1"/>
  <c r="W49" i="119"/>
  <c r="Z49" i="119" s="1"/>
  <c r="V49" i="119"/>
  <c r="Y49" i="119" s="1"/>
  <c r="W48" i="119"/>
  <c r="Z48" i="119" s="1"/>
  <c r="V48" i="119"/>
  <c r="Y48" i="119" s="1"/>
  <c r="W47" i="119"/>
  <c r="Z47" i="119" s="1"/>
  <c r="V47" i="119"/>
  <c r="Y47" i="119" s="1"/>
  <c r="W46" i="119"/>
  <c r="Z46" i="119" s="1"/>
  <c r="V46" i="119"/>
  <c r="Y46" i="119" s="1"/>
  <c r="W45" i="119"/>
  <c r="Z45" i="119" s="1"/>
  <c r="V45" i="119"/>
  <c r="Y45" i="119" s="1"/>
  <c r="W44" i="119"/>
  <c r="Z44" i="119" s="1"/>
  <c r="V44" i="119"/>
  <c r="Y44" i="119" s="1"/>
  <c r="W43" i="119"/>
  <c r="V43" i="119"/>
  <c r="W41" i="119"/>
  <c r="Z41" i="119" s="1"/>
  <c r="V41" i="119"/>
  <c r="Y41" i="119" s="1"/>
  <c r="W40" i="119"/>
  <c r="Z40" i="119" s="1"/>
  <c r="V40" i="119"/>
  <c r="Y40" i="119" s="1"/>
  <c r="W39" i="119"/>
  <c r="Z39" i="119" s="1"/>
  <c r="V39" i="119"/>
  <c r="Y39" i="119" s="1"/>
  <c r="W38" i="119"/>
  <c r="Z38" i="119" s="1"/>
  <c r="V38" i="119"/>
  <c r="Y38" i="119" s="1"/>
  <c r="W37" i="119"/>
  <c r="Z37" i="119" s="1"/>
  <c r="V37" i="119"/>
  <c r="Y37" i="119" s="1"/>
  <c r="W36" i="119"/>
  <c r="Z36" i="119" s="1"/>
  <c r="V36" i="119"/>
  <c r="Y36" i="119" s="1"/>
  <c r="W35" i="119"/>
  <c r="Z35" i="119" s="1"/>
  <c r="V35" i="119"/>
  <c r="Y35" i="119" s="1"/>
  <c r="W34" i="119"/>
  <c r="Z34" i="119" s="1"/>
  <c r="V34" i="119"/>
  <c r="Y34" i="119" s="1"/>
  <c r="W33" i="119"/>
  <c r="Z33" i="119" s="1"/>
  <c r="V33" i="119"/>
  <c r="Y33" i="119" s="1"/>
  <c r="W32" i="119"/>
  <c r="Z32" i="119" s="1"/>
  <c r="V32" i="119"/>
  <c r="Y32" i="119" s="1"/>
  <c r="W31" i="119"/>
  <c r="Z31" i="119" s="1"/>
  <c r="V31" i="119"/>
  <c r="Y31" i="119" s="1"/>
  <c r="W30" i="119"/>
  <c r="Z30" i="119" s="1"/>
  <c r="V30" i="119"/>
  <c r="Y30" i="119" s="1"/>
  <c r="W29" i="119"/>
  <c r="Z29" i="119" s="1"/>
  <c r="V29" i="119"/>
  <c r="Y29" i="119" s="1"/>
  <c r="W28" i="119"/>
  <c r="Z28" i="119" s="1"/>
  <c r="V28" i="119"/>
  <c r="Y28" i="119" s="1"/>
  <c r="W27" i="119"/>
  <c r="Z27" i="119" s="1"/>
  <c r="V27" i="119"/>
  <c r="Y27" i="119" s="1"/>
  <c r="W26" i="119"/>
  <c r="Z26" i="119" s="1"/>
  <c r="V26" i="119"/>
  <c r="Y26" i="119" s="1"/>
  <c r="W25" i="119"/>
  <c r="Z25" i="119" s="1"/>
  <c r="V25" i="119"/>
  <c r="Y25" i="119" s="1"/>
  <c r="W24" i="119"/>
  <c r="Z24" i="119" s="1"/>
  <c r="V24" i="119"/>
  <c r="Y24" i="119" s="1"/>
  <c r="W23" i="119"/>
  <c r="Z23" i="119" s="1"/>
  <c r="V23" i="119"/>
  <c r="Y23" i="119" s="1"/>
  <c r="W22" i="119"/>
  <c r="Z22" i="119" s="1"/>
  <c r="V22" i="119"/>
  <c r="Y22" i="119" s="1"/>
  <c r="AB97" i="119"/>
  <c r="AB96" i="119"/>
  <c r="AB95" i="119"/>
  <c r="AB94" i="119"/>
  <c r="AB93" i="119"/>
  <c r="AB92" i="119"/>
  <c r="AB91" i="119"/>
  <c r="AB90" i="119"/>
  <c r="AB89" i="119"/>
  <c r="AB88" i="119"/>
  <c r="AB87" i="119"/>
  <c r="AB86" i="119"/>
  <c r="AB85" i="119"/>
  <c r="AB84" i="119"/>
  <c r="AB83" i="119"/>
  <c r="AB82" i="119"/>
  <c r="AB81" i="119"/>
  <c r="AB80" i="119"/>
  <c r="AB79" i="119"/>
  <c r="AB78" i="119"/>
  <c r="X74" i="119"/>
  <c r="X73" i="119"/>
  <c r="X72" i="119"/>
  <c r="X71" i="119"/>
  <c r="X70" i="119"/>
  <c r="X68" i="119"/>
  <c r="X67" i="119"/>
  <c r="X66" i="119"/>
  <c r="X65" i="119"/>
  <c r="X64" i="119"/>
  <c r="X62" i="119"/>
  <c r="X61" i="119"/>
  <c r="X60" i="119"/>
  <c r="X59" i="119"/>
  <c r="X58" i="119"/>
  <c r="X57" i="119"/>
  <c r="X56" i="119"/>
  <c r="X55" i="119"/>
  <c r="X54" i="119"/>
  <c r="X53" i="119"/>
  <c r="X52" i="119"/>
  <c r="X51" i="119"/>
  <c r="X50" i="119"/>
  <c r="X49" i="119"/>
  <c r="X48" i="119"/>
  <c r="X47" i="119"/>
  <c r="X46" i="119"/>
  <c r="X45" i="119"/>
  <c r="X44" i="119"/>
  <c r="X43" i="119"/>
  <c r="X41" i="119"/>
  <c r="X40" i="119"/>
  <c r="X39" i="119"/>
  <c r="X38" i="119"/>
  <c r="X37" i="119"/>
  <c r="X36" i="119"/>
  <c r="X35" i="119"/>
  <c r="X34" i="119"/>
  <c r="X33" i="119"/>
  <c r="X32" i="119"/>
  <c r="X31" i="119"/>
  <c r="X30" i="119"/>
  <c r="X29" i="119"/>
  <c r="X28" i="119"/>
  <c r="X27" i="119"/>
  <c r="X26" i="119"/>
  <c r="X25" i="119"/>
  <c r="X24" i="119"/>
  <c r="X23" i="119"/>
  <c r="X22" i="119"/>
  <c r="U12" i="119"/>
  <c r="V12" i="119"/>
  <c r="W12" i="119"/>
  <c r="X12" i="119"/>
  <c r="U13" i="119"/>
  <c r="V13" i="119"/>
  <c r="Y13" i="119" s="1"/>
  <c r="W13" i="119"/>
  <c r="Z13" i="119" s="1"/>
  <c r="X13" i="119"/>
  <c r="J14" i="119"/>
  <c r="U14" i="119"/>
  <c r="V14" i="119"/>
  <c r="Y14" i="119" s="1"/>
  <c r="W14" i="119"/>
  <c r="Z14" i="119" s="1"/>
  <c r="X14" i="119"/>
  <c r="U15" i="119"/>
  <c r="V15" i="119"/>
  <c r="Y15" i="119" s="1"/>
  <c r="W15" i="119"/>
  <c r="Z15" i="119" s="1"/>
  <c r="X15" i="119"/>
  <c r="U16" i="119"/>
  <c r="V16" i="119"/>
  <c r="Y16" i="119" s="1"/>
  <c r="W16" i="119"/>
  <c r="Z16" i="119" s="1"/>
  <c r="X16" i="119"/>
  <c r="U17" i="119"/>
  <c r="V17" i="119"/>
  <c r="Y17" i="119" s="1"/>
  <c r="W17" i="119"/>
  <c r="Z17" i="119" s="1"/>
  <c r="X17" i="119"/>
  <c r="U18" i="119"/>
  <c r="V18" i="119"/>
  <c r="Y18" i="119" s="1"/>
  <c r="W18" i="119"/>
  <c r="Z18" i="119" s="1"/>
  <c r="X18" i="119"/>
  <c r="U19" i="119"/>
  <c r="V19" i="119"/>
  <c r="Y19" i="119" s="1"/>
  <c r="W19" i="119"/>
  <c r="Z19" i="119" s="1"/>
  <c r="X19" i="119"/>
  <c r="U20" i="119"/>
  <c r="V20" i="119"/>
  <c r="Y20" i="119" s="1"/>
  <c r="W20" i="119"/>
  <c r="Z20" i="119" s="1"/>
  <c r="X20" i="119"/>
  <c r="U21" i="119"/>
  <c r="V21" i="119"/>
  <c r="Y21" i="119" s="1"/>
  <c r="W21" i="119"/>
  <c r="Z21" i="119" s="1"/>
  <c r="X21" i="119"/>
  <c r="J46" i="119"/>
  <c r="D46" i="119"/>
  <c r="J57" i="119"/>
  <c r="D57" i="119"/>
  <c r="F57" i="119" s="1"/>
  <c r="J52" i="119"/>
  <c r="F52" i="119"/>
  <c r="D52" i="119"/>
  <c r="J22" i="119"/>
  <c r="J30" i="119"/>
  <c r="J38" i="119"/>
  <c r="D47" i="119"/>
  <c r="F47" i="119" s="1"/>
  <c r="D48" i="119"/>
  <c r="F48" i="119" s="1"/>
  <c r="D49" i="119"/>
  <c r="F49" i="119" s="1"/>
  <c r="D50" i="119"/>
  <c r="F50" i="119" s="1"/>
  <c r="D53" i="119"/>
  <c r="F53" i="119"/>
  <c r="D54" i="119"/>
  <c r="F54" i="119"/>
  <c r="D55" i="119"/>
  <c r="F55" i="119"/>
  <c r="D56" i="119"/>
  <c r="F56" i="119"/>
  <c r="D58" i="119"/>
  <c r="F58" i="119" s="1"/>
  <c r="G58" i="119" s="1"/>
  <c r="L58" i="119" s="1"/>
  <c r="F60" i="119"/>
  <c r="G60" i="119" s="1"/>
  <c r="L60" i="119" s="1"/>
  <c r="T78" i="119"/>
  <c r="T98" i="119" s="1"/>
  <c r="G86" i="119" s="1"/>
  <c r="H81" i="119" s="1"/>
  <c r="Y78" i="119"/>
  <c r="Y98" i="119" s="1"/>
  <c r="J20" i="118"/>
  <c r="AA97" i="118"/>
  <c r="AA96" i="118"/>
  <c r="AA95" i="118"/>
  <c r="AA94" i="118"/>
  <c r="AA93" i="118"/>
  <c r="AA92" i="118"/>
  <c r="AA91" i="118"/>
  <c r="AA90" i="118"/>
  <c r="AA89" i="118"/>
  <c r="AA88" i="118"/>
  <c r="AA87" i="118"/>
  <c r="AA86" i="118"/>
  <c r="AA85" i="118"/>
  <c r="AA84" i="118"/>
  <c r="AA83" i="118"/>
  <c r="AA82" i="118"/>
  <c r="AA81" i="118"/>
  <c r="AA80" i="118"/>
  <c r="AA79" i="118"/>
  <c r="AA78" i="118"/>
  <c r="U74" i="118"/>
  <c r="U73" i="118"/>
  <c r="U72" i="118"/>
  <c r="U71" i="118"/>
  <c r="U70" i="118"/>
  <c r="U68" i="118"/>
  <c r="U67" i="118"/>
  <c r="U66" i="118"/>
  <c r="U65" i="118"/>
  <c r="U64" i="118"/>
  <c r="U62" i="118"/>
  <c r="U61" i="118"/>
  <c r="U60" i="118"/>
  <c r="U59" i="118"/>
  <c r="U58" i="118"/>
  <c r="U57" i="118"/>
  <c r="U56" i="118"/>
  <c r="U55" i="118"/>
  <c r="U54" i="118"/>
  <c r="U53" i="118"/>
  <c r="U52" i="118"/>
  <c r="U51" i="118"/>
  <c r="U50" i="118"/>
  <c r="U49" i="118"/>
  <c r="U48" i="118"/>
  <c r="U47" i="118"/>
  <c r="U46" i="118"/>
  <c r="U45" i="118"/>
  <c r="U44" i="118"/>
  <c r="U43" i="118"/>
  <c r="U41" i="118"/>
  <c r="U40" i="118"/>
  <c r="U39" i="118"/>
  <c r="U38" i="118"/>
  <c r="U37" i="118"/>
  <c r="U36" i="118"/>
  <c r="U35" i="118"/>
  <c r="U34" i="118"/>
  <c r="U33" i="118"/>
  <c r="U32" i="118"/>
  <c r="U31" i="118"/>
  <c r="U30" i="118"/>
  <c r="U29" i="118"/>
  <c r="U28" i="118"/>
  <c r="U27" i="118"/>
  <c r="U26" i="118"/>
  <c r="U25" i="118"/>
  <c r="U24" i="118"/>
  <c r="U23" i="118"/>
  <c r="U22" i="118"/>
  <c r="W74" i="118"/>
  <c r="Z74" i="118" s="1"/>
  <c r="V74" i="118"/>
  <c r="Y74" i="118" s="1"/>
  <c r="W73" i="118"/>
  <c r="Z73" i="118" s="1"/>
  <c r="V73" i="118"/>
  <c r="Y73" i="118" s="1"/>
  <c r="W72" i="118"/>
  <c r="Z72" i="118" s="1"/>
  <c r="V72" i="118"/>
  <c r="Y72" i="118" s="1"/>
  <c r="W71" i="118"/>
  <c r="Z71" i="118" s="1"/>
  <c r="V71" i="118"/>
  <c r="Y71" i="118" s="1"/>
  <c r="W70" i="118"/>
  <c r="V70" i="118"/>
  <c r="W68" i="118"/>
  <c r="Z68" i="118" s="1"/>
  <c r="V68" i="118"/>
  <c r="Y68" i="118" s="1"/>
  <c r="W67" i="118"/>
  <c r="Z67" i="118" s="1"/>
  <c r="V67" i="118"/>
  <c r="Y67" i="118" s="1"/>
  <c r="W66" i="118"/>
  <c r="Z66" i="118" s="1"/>
  <c r="V66" i="118"/>
  <c r="Y66" i="118" s="1"/>
  <c r="W65" i="118"/>
  <c r="Z65" i="118" s="1"/>
  <c r="V65" i="118"/>
  <c r="Y65" i="118" s="1"/>
  <c r="W64" i="118"/>
  <c r="V64" i="118"/>
  <c r="W62" i="118"/>
  <c r="Z62" i="118" s="1"/>
  <c r="V62" i="118"/>
  <c r="Y62" i="118" s="1"/>
  <c r="W61" i="118"/>
  <c r="Z61" i="118" s="1"/>
  <c r="V61" i="118"/>
  <c r="Y61" i="118" s="1"/>
  <c r="W60" i="118"/>
  <c r="Z60" i="118" s="1"/>
  <c r="V60" i="118"/>
  <c r="Y60" i="118" s="1"/>
  <c r="W59" i="118"/>
  <c r="Z59" i="118" s="1"/>
  <c r="V59" i="118"/>
  <c r="Y59" i="118" s="1"/>
  <c r="W58" i="118"/>
  <c r="Z58" i="118" s="1"/>
  <c r="V58" i="118"/>
  <c r="Y58" i="118" s="1"/>
  <c r="W57" i="118"/>
  <c r="Z57" i="118" s="1"/>
  <c r="V57" i="118"/>
  <c r="Y57" i="118" s="1"/>
  <c r="W56" i="118"/>
  <c r="Z56" i="118" s="1"/>
  <c r="V56" i="118"/>
  <c r="Y56" i="118" s="1"/>
  <c r="W55" i="118"/>
  <c r="Z55" i="118" s="1"/>
  <c r="V55" i="118"/>
  <c r="Y55" i="118" s="1"/>
  <c r="W54" i="118"/>
  <c r="Z54" i="118" s="1"/>
  <c r="V54" i="118"/>
  <c r="Y54" i="118" s="1"/>
  <c r="W53" i="118"/>
  <c r="Z53" i="118" s="1"/>
  <c r="V53" i="118"/>
  <c r="Y53" i="118" s="1"/>
  <c r="W52" i="118"/>
  <c r="Z52" i="118" s="1"/>
  <c r="V52" i="118"/>
  <c r="Y52" i="118" s="1"/>
  <c r="W51" i="118"/>
  <c r="Z51" i="118" s="1"/>
  <c r="V51" i="118"/>
  <c r="Y51" i="118" s="1"/>
  <c r="W50" i="118"/>
  <c r="Z50" i="118" s="1"/>
  <c r="V50" i="118"/>
  <c r="Y50" i="118" s="1"/>
  <c r="W49" i="118"/>
  <c r="Z49" i="118" s="1"/>
  <c r="V49" i="118"/>
  <c r="Y49" i="118" s="1"/>
  <c r="W48" i="118"/>
  <c r="Z48" i="118" s="1"/>
  <c r="V48" i="118"/>
  <c r="Y48" i="118" s="1"/>
  <c r="W47" i="118"/>
  <c r="Z47" i="118" s="1"/>
  <c r="V47" i="118"/>
  <c r="Y47" i="118" s="1"/>
  <c r="W46" i="118"/>
  <c r="Z46" i="118" s="1"/>
  <c r="V46" i="118"/>
  <c r="Y46" i="118" s="1"/>
  <c r="W45" i="118"/>
  <c r="Z45" i="118" s="1"/>
  <c r="V45" i="118"/>
  <c r="Y45" i="118" s="1"/>
  <c r="W44" i="118"/>
  <c r="Z44" i="118" s="1"/>
  <c r="V44" i="118"/>
  <c r="Y44" i="118" s="1"/>
  <c r="W43" i="118"/>
  <c r="V43" i="118"/>
  <c r="W41" i="118"/>
  <c r="Z41" i="118" s="1"/>
  <c r="V41" i="118"/>
  <c r="Y41" i="118" s="1"/>
  <c r="W40" i="118"/>
  <c r="Z40" i="118" s="1"/>
  <c r="V40" i="118"/>
  <c r="Y40" i="118" s="1"/>
  <c r="W39" i="118"/>
  <c r="Z39" i="118" s="1"/>
  <c r="V39" i="118"/>
  <c r="Y39" i="118" s="1"/>
  <c r="W38" i="118"/>
  <c r="Z38" i="118" s="1"/>
  <c r="V38" i="118"/>
  <c r="Y38" i="118" s="1"/>
  <c r="W37" i="118"/>
  <c r="Z37" i="118" s="1"/>
  <c r="V37" i="118"/>
  <c r="Y37" i="118" s="1"/>
  <c r="W36" i="118"/>
  <c r="Z36" i="118" s="1"/>
  <c r="V36" i="118"/>
  <c r="Y36" i="118" s="1"/>
  <c r="W35" i="118"/>
  <c r="Z35" i="118" s="1"/>
  <c r="V35" i="118"/>
  <c r="Y35" i="118" s="1"/>
  <c r="W34" i="118"/>
  <c r="Z34" i="118" s="1"/>
  <c r="V34" i="118"/>
  <c r="Y34" i="118" s="1"/>
  <c r="W33" i="118"/>
  <c r="Z33" i="118" s="1"/>
  <c r="V33" i="118"/>
  <c r="Y33" i="118" s="1"/>
  <c r="W32" i="118"/>
  <c r="Z32" i="118" s="1"/>
  <c r="V32" i="118"/>
  <c r="Y32" i="118" s="1"/>
  <c r="W31" i="118"/>
  <c r="Z31" i="118" s="1"/>
  <c r="V31" i="118"/>
  <c r="Y31" i="118" s="1"/>
  <c r="W30" i="118"/>
  <c r="Z30" i="118" s="1"/>
  <c r="V30" i="118"/>
  <c r="Y30" i="118" s="1"/>
  <c r="W29" i="118"/>
  <c r="Z29" i="118" s="1"/>
  <c r="V29" i="118"/>
  <c r="Y29" i="118" s="1"/>
  <c r="W28" i="118"/>
  <c r="Z28" i="118" s="1"/>
  <c r="V28" i="118"/>
  <c r="Y28" i="118" s="1"/>
  <c r="W27" i="118"/>
  <c r="Z27" i="118" s="1"/>
  <c r="V27" i="118"/>
  <c r="Y27" i="118" s="1"/>
  <c r="W26" i="118"/>
  <c r="Z26" i="118" s="1"/>
  <c r="V26" i="118"/>
  <c r="Y26" i="118" s="1"/>
  <c r="W25" i="118"/>
  <c r="Z25" i="118" s="1"/>
  <c r="V25" i="118"/>
  <c r="Y25" i="118" s="1"/>
  <c r="W24" i="118"/>
  <c r="Z24" i="118" s="1"/>
  <c r="V24" i="118"/>
  <c r="Y24" i="118" s="1"/>
  <c r="W23" i="118"/>
  <c r="Z23" i="118" s="1"/>
  <c r="V23" i="118"/>
  <c r="Y23" i="118" s="1"/>
  <c r="W22" i="118"/>
  <c r="Z22" i="118" s="1"/>
  <c r="V22" i="118"/>
  <c r="Y22" i="118" s="1"/>
  <c r="AB97" i="118"/>
  <c r="AB96" i="118"/>
  <c r="AB95" i="118"/>
  <c r="AB94" i="118"/>
  <c r="AB93" i="118"/>
  <c r="AB92" i="118"/>
  <c r="AB91" i="118"/>
  <c r="AB90" i="118"/>
  <c r="AB89" i="118"/>
  <c r="AB88" i="118"/>
  <c r="AB87" i="118"/>
  <c r="AB86" i="118"/>
  <c r="AB85" i="118"/>
  <c r="AB84" i="118"/>
  <c r="AB83" i="118"/>
  <c r="AB82" i="118"/>
  <c r="AB81" i="118"/>
  <c r="AB80" i="118"/>
  <c r="AB79" i="118"/>
  <c r="AB78" i="118"/>
  <c r="X74" i="118"/>
  <c r="X73" i="118"/>
  <c r="X72" i="118"/>
  <c r="X71" i="118"/>
  <c r="X70" i="118"/>
  <c r="X68" i="118"/>
  <c r="X67" i="118"/>
  <c r="X66" i="118"/>
  <c r="X65" i="118"/>
  <c r="X64" i="118"/>
  <c r="X62" i="118"/>
  <c r="X61" i="118"/>
  <c r="X60" i="118"/>
  <c r="X59" i="118"/>
  <c r="X58" i="118"/>
  <c r="X57" i="118"/>
  <c r="X56" i="118"/>
  <c r="X55" i="118"/>
  <c r="X54" i="118"/>
  <c r="X53" i="118"/>
  <c r="X52" i="118"/>
  <c r="X51" i="118"/>
  <c r="X50" i="118"/>
  <c r="X49" i="118"/>
  <c r="X48" i="118"/>
  <c r="X47" i="118"/>
  <c r="X46" i="118"/>
  <c r="X45" i="118"/>
  <c r="X44" i="118"/>
  <c r="X43" i="118"/>
  <c r="X41" i="118"/>
  <c r="X40" i="118"/>
  <c r="X39" i="118"/>
  <c r="X38" i="118"/>
  <c r="X37" i="118"/>
  <c r="X36" i="118"/>
  <c r="X35" i="118"/>
  <c r="X34" i="118"/>
  <c r="X33" i="118"/>
  <c r="X32" i="118"/>
  <c r="X31" i="118"/>
  <c r="X30" i="118"/>
  <c r="X29" i="118"/>
  <c r="X28" i="118"/>
  <c r="X27" i="118"/>
  <c r="X26" i="118"/>
  <c r="X25" i="118"/>
  <c r="X24" i="118"/>
  <c r="X23" i="118"/>
  <c r="X22" i="118"/>
  <c r="U12" i="118"/>
  <c r="V12" i="118"/>
  <c r="W12" i="118"/>
  <c r="X12" i="118"/>
  <c r="U13" i="118"/>
  <c r="V13" i="118"/>
  <c r="Y13" i="118" s="1"/>
  <c r="W13" i="118"/>
  <c r="Z13" i="118" s="1"/>
  <c r="X13" i="118"/>
  <c r="J14" i="118"/>
  <c r="U14" i="118"/>
  <c r="V14" i="118"/>
  <c r="Y14" i="118" s="1"/>
  <c r="W14" i="118"/>
  <c r="Z14" i="118" s="1"/>
  <c r="X14" i="118"/>
  <c r="U15" i="118"/>
  <c r="V15" i="118"/>
  <c r="Y15" i="118" s="1"/>
  <c r="W15" i="118"/>
  <c r="Z15" i="118" s="1"/>
  <c r="X15" i="118"/>
  <c r="U16" i="118"/>
  <c r="V16" i="118"/>
  <c r="Y16" i="118" s="1"/>
  <c r="W16" i="118"/>
  <c r="Z16" i="118" s="1"/>
  <c r="X16" i="118"/>
  <c r="U17" i="118"/>
  <c r="V17" i="118"/>
  <c r="Y17" i="118" s="1"/>
  <c r="W17" i="118"/>
  <c r="Z17" i="118" s="1"/>
  <c r="X17" i="118"/>
  <c r="U18" i="118"/>
  <c r="V18" i="118"/>
  <c r="Y18" i="118" s="1"/>
  <c r="W18" i="118"/>
  <c r="Z18" i="118" s="1"/>
  <c r="X18" i="118"/>
  <c r="U19" i="118"/>
  <c r="V19" i="118"/>
  <c r="Y19" i="118" s="1"/>
  <c r="W19" i="118"/>
  <c r="Z19" i="118" s="1"/>
  <c r="X19" i="118"/>
  <c r="U20" i="118"/>
  <c r="V20" i="118"/>
  <c r="Y20" i="118" s="1"/>
  <c r="W20" i="118"/>
  <c r="Z20" i="118" s="1"/>
  <c r="X20" i="118"/>
  <c r="U21" i="118"/>
  <c r="V21" i="118"/>
  <c r="Y21" i="118" s="1"/>
  <c r="W21" i="118"/>
  <c r="Z21" i="118" s="1"/>
  <c r="X21" i="118"/>
  <c r="J46" i="118"/>
  <c r="D46" i="118"/>
  <c r="J57" i="118"/>
  <c r="D57" i="118"/>
  <c r="F57" i="118" s="1"/>
  <c r="J52" i="118"/>
  <c r="F52" i="118"/>
  <c r="D52" i="118"/>
  <c r="J22" i="118"/>
  <c r="J30" i="118"/>
  <c r="J38" i="118"/>
  <c r="D47" i="118"/>
  <c r="F47" i="118" s="1"/>
  <c r="D48" i="118"/>
  <c r="F48" i="118" s="1"/>
  <c r="D49" i="118"/>
  <c r="F49" i="118" s="1"/>
  <c r="D50" i="118"/>
  <c r="F50" i="118" s="1"/>
  <c r="D53" i="118"/>
  <c r="F53" i="118"/>
  <c r="D54" i="118"/>
  <c r="F54" i="118"/>
  <c r="G54" i="118" s="1"/>
  <c r="D55" i="118"/>
  <c r="F55" i="118"/>
  <c r="D56" i="118"/>
  <c r="F56" i="118"/>
  <c r="D58" i="118"/>
  <c r="F58" i="118" s="1"/>
  <c r="F60" i="118"/>
  <c r="G60" i="118" s="1"/>
  <c r="L60" i="118" s="1"/>
  <c r="T98" i="118"/>
  <c r="G86" i="118" s="1"/>
  <c r="H81" i="118" s="1"/>
  <c r="Y78" i="118"/>
  <c r="Y98" i="118" s="1"/>
  <c r="J20" i="117"/>
  <c r="AA97" i="117"/>
  <c r="AA96" i="117"/>
  <c r="AA95" i="117"/>
  <c r="AA94" i="117"/>
  <c r="AA93" i="117"/>
  <c r="AA92" i="117"/>
  <c r="AA91" i="117"/>
  <c r="AA90" i="117"/>
  <c r="AA89" i="117"/>
  <c r="AA88" i="117"/>
  <c r="AA87" i="117"/>
  <c r="AA86" i="117"/>
  <c r="AA85" i="117"/>
  <c r="AA84" i="117"/>
  <c r="AA83" i="117"/>
  <c r="AA82" i="117"/>
  <c r="AA81" i="117"/>
  <c r="AA80" i="117"/>
  <c r="AA79" i="117"/>
  <c r="AA78" i="117"/>
  <c r="U74" i="117"/>
  <c r="U73" i="117"/>
  <c r="U72" i="117"/>
  <c r="U71" i="117"/>
  <c r="U70" i="117"/>
  <c r="U68" i="117"/>
  <c r="U67" i="117"/>
  <c r="U66" i="117"/>
  <c r="U65" i="117"/>
  <c r="U64" i="117"/>
  <c r="U62" i="117"/>
  <c r="U61" i="117"/>
  <c r="U60" i="117"/>
  <c r="U59" i="117"/>
  <c r="U58" i="117"/>
  <c r="U57" i="117"/>
  <c r="U56" i="117"/>
  <c r="U55" i="117"/>
  <c r="U54" i="117"/>
  <c r="U53" i="117"/>
  <c r="U52" i="117"/>
  <c r="U51" i="117"/>
  <c r="U50" i="117"/>
  <c r="U49" i="117"/>
  <c r="U48" i="117"/>
  <c r="U47" i="117"/>
  <c r="U46" i="117"/>
  <c r="U45" i="117"/>
  <c r="U44" i="117"/>
  <c r="U43" i="117"/>
  <c r="U41" i="117"/>
  <c r="U40" i="117"/>
  <c r="U39" i="117"/>
  <c r="U38" i="117"/>
  <c r="U37" i="117"/>
  <c r="U36" i="117"/>
  <c r="U35" i="117"/>
  <c r="U34" i="117"/>
  <c r="U33" i="117"/>
  <c r="U32" i="117"/>
  <c r="U31" i="117"/>
  <c r="U30" i="117"/>
  <c r="U29" i="117"/>
  <c r="U28" i="117"/>
  <c r="U27" i="117"/>
  <c r="U26" i="117"/>
  <c r="U25" i="117"/>
  <c r="U24" i="117"/>
  <c r="U23" i="117"/>
  <c r="U22" i="117"/>
  <c r="W74" i="117"/>
  <c r="Z74" i="117" s="1"/>
  <c r="V74" i="117"/>
  <c r="Y74" i="117" s="1"/>
  <c r="W73" i="117"/>
  <c r="Z73" i="117" s="1"/>
  <c r="V73" i="117"/>
  <c r="Y73" i="117" s="1"/>
  <c r="W72" i="117"/>
  <c r="Z72" i="117" s="1"/>
  <c r="V72" i="117"/>
  <c r="Y72" i="117" s="1"/>
  <c r="W71" i="117"/>
  <c r="Z71" i="117" s="1"/>
  <c r="V71" i="117"/>
  <c r="Y71" i="117" s="1"/>
  <c r="W70" i="117"/>
  <c r="V70" i="117"/>
  <c r="W68" i="117"/>
  <c r="Z68" i="117" s="1"/>
  <c r="V68" i="117"/>
  <c r="Y68" i="117" s="1"/>
  <c r="W67" i="117"/>
  <c r="Z67" i="117" s="1"/>
  <c r="V67" i="117"/>
  <c r="Y67" i="117" s="1"/>
  <c r="W66" i="117"/>
  <c r="Z66" i="117" s="1"/>
  <c r="V66" i="117"/>
  <c r="Y66" i="117" s="1"/>
  <c r="W65" i="117"/>
  <c r="Z65" i="117" s="1"/>
  <c r="V65" i="117"/>
  <c r="Y65" i="117" s="1"/>
  <c r="W64" i="117"/>
  <c r="V64" i="117"/>
  <c r="W62" i="117"/>
  <c r="Z62" i="117" s="1"/>
  <c r="V62" i="117"/>
  <c r="Y62" i="117" s="1"/>
  <c r="W61" i="117"/>
  <c r="Z61" i="117" s="1"/>
  <c r="V61" i="117"/>
  <c r="Y61" i="117" s="1"/>
  <c r="W60" i="117"/>
  <c r="Z60" i="117" s="1"/>
  <c r="V60" i="117"/>
  <c r="Y60" i="117" s="1"/>
  <c r="W59" i="117"/>
  <c r="Z59" i="117" s="1"/>
  <c r="V59" i="117"/>
  <c r="Y59" i="117" s="1"/>
  <c r="W58" i="117"/>
  <c r="Z58" i="117" s="1"/>
  <c r="V58" i="117"/>
  <c r="Y58" i="117" s="1"/>
  <c r="W57" i="117"/>
  <c r="Z57" i="117" s="1"/>
  <c r="V57" i="117"/>
  <c r="Y57" i="117" s="1"/>
  <c r="W56" i="117"/>
  <c r="Z56" i="117" s="1"/>
  <c r="V56" i="117"/>
  <c r="Y56" i="117" s="1"/>
  <c r="W55" i="117"/>
  <c r="Z55" i="117" s="1"/>
  <c r="V55" i="117"/>
  <c r="Y55" i="117" s="1"/>
  <c r="W54" i="117"/>
  <c r="Z54" i="117" s="1"/>
  <c r="V54" i="117"/>
  <c r="Y54" i="117" s="1"/>
  <c r="W53" i="117"/>
  <c r="Z53" i="117" s="1"/>
  <c r="V53" i="117"/>
  <c r="Y53" i="117" s="1"/>
  <c r="W52" i="117"/>
  <c r="Z52" i="117" s="1"/>
  <c r="V52" i="117"/>
  <c r="Y52" i="117" s="1"/>
  <c r="W51" i="117"/>
  <c r="Z51" i="117" s="1"/>
  <c r="V51" i="117"/>
  <c r="Y51" i="117" s="1"/>
  <c r="W50" i="117"/>
  <c r="Z50" i="117" s="1"/>
  <c r="V50" i="117"/>
  <c r="Y50" i="117" s="1"/>
  <c r="W49" i="117"/>
  <c r="Z49" i="117" s="1"/>
  <c r="V49" i="117"/>
  <c r="Y49" i="117" s="1"/>
  <c r="W48" i="117"/>
  <c r="Z48" i="117" s="1"/>
  <c r="V48" i="117"/>
  <c r="Y48" i="117" s="1"/>
  <c r="W47" i="117"/>
  <c r="Z47" i="117" s="1"/>
  <c r="V47" i="117"/>
  <c r="Y47" i="117" s="1"/>
  <c r="W46" i="117"/>
  <c r="Z46" i="117" s="1"/>
  <c r="V46" i="117"/>
  <c r="Y46" i="117" s="1"/>
  <c r="W45" i="117"/>
  <c r="Z45" i="117" s="1"/>
  <c r="V45" i="117"/>
  <c r="Y45" i="117" s="1"/>
  <c r="W44" i="117"/>
  <c r="Z44" i="117" s="1"/>
  <c r="V44" i="117"/>
  <c r="Y44" i="117" s="1"/>
  <c r="W43" i="117"/>
  <c r="V43" i="117"/>
  <c r="W41" i="117"/>
  <c r="Z41" i="117" s="1"/>
  <c r="V41" i="117"/>
  <c r="Y41" i="117" s="1"/>
  <c r="W40" i="117"/>
  <c r="Z40" i="117" s="1"/>
  <c r="V40" i="117"/>
  <c r="Y40" i="117" s="1"/>
  <c r="W39" i="117"/>
  <c r="Z39" i="117" s="1"/>
  <c r="V39" i="117"/>
  <c r="Y39" i="117" s="1"/>
  <c r="W38" i="117"/>
  <c r="Z38" i="117" s="1"/>
  <c r="V38" i="117"/>
  <c r="Y38" i="117" s="1"/>
  <c r="W37" i="117"/>
  <c r="Z37" i="117" s="1"/>
  <c r="V37" i="117"/>
  <c r="Y37" i="117" s="1"/>
  <c r="W36" i="117"/>
  <c r="Z36" i="117" s="1"/>
  <c r="V36" i="117"/>
  <c r="Y36" i="117" s="1"/>
  <c r="W35" i="117"/>
  <c r="Z35" i="117" s="1"/>
  <c r="V35" i="117"/>
  <c r="Y35" i="117" s="1"/>
  <c r="W34" i="117"/>
  <c r="Z34" i="117" s="1"/>
  <c r="V34" i="117"/>
  <c r="Y34" i="117" s="1"/>
  <c r="W33" i="117"/>
  <c r="Z33" i="117" s="1"/>
  <c r="V33" i="117"/>
  <c r="Y33" i="117" s="1"/>
  <c r="W32" i="117"/>
  <c r="Z32" i="117" s="1"/>
  <c r="V32" i="117"/>
  <c r="Y32" i="117" s="1"/>
  <c r="W31" i="117"/>
  <c r="Z31" i="117" s="1"/>
  <c r="V31" i="117"/>
  <c r="Y31" i="117" s="1"/>
  <c r="W30" i="117"/>
  <c r="Z30" i="117" s="1"/>
  <c r="V30" i="117"/>
  <c r="Y30" i="117" s="1"/>
  <c r="W29" i="117"/>
  <c r="Z29" i="117" s="1"/>
  <c r="V29" i="117"/>
  <c r="Y29" i="117" s="1"/>
  <c r="W28" i="117"/>
  <c r="Z28" i="117" s="1"/>
  <c r="V28" i="117"/>
  <c r="Y28" i="117" s="1"/>
  <c r="W27" i="117"/>
  <c r="Z27" i="117" s="1"/>
  <c r="V27" i="117"/>
  <c r="Y27" i="117" s="1"/>
  <c r="W26" i="117"/>
  <c r="Z26" i="117" s="1"/>
  <c r="V26" i="117"/>
  <c r="Y26" i="117" s="1"/>
  <c r="W25" i="117"/>
  <c r="Z25" i="117" s="1"/>
  <c r="V25" i="117"/>
  <c r="Y25" i="117" s="1"/>
  <c r="W24" i="117"/>
  <c r="Z24" i="117" s="1"/>
  <c r="V24" i="117"/>
  <c r="Y24" i="117" s="1"/>
  <c r="W23" i="117"/>
  <c r="Z23" i="117" s="1"/>
  <c r="V23" i="117"/>
  <c r="Y23" i="117" s="1"/>
  <c r="W22" i="117"/>
  <c r="Z22" i="117" s="1"/>
  <c r="V22" i="117"/>
  <c r="Y22" i="117" s="1"/>
  <c r="AB97" i="117"/>
  <c r="AB96" i="117"/>
  <c r="AB95" i="117"/>
  <c r="AB94" i="117"/>
  <c r="AB93" i="117"/>
  <c r="AB92" i="117"/>
  <c r="AB91" i="117"/>
  <c r="AB90" i="117"/>
  <c r="AB89" i="117"/>
  <c r="AB88" i="117"/>
  <c r="AB87" i="117"/>
  <c r="AB86" i="117"/>
  <c r="AB85" i="117"/>
  <c r="AB84" i="117"/>
  <c r="AB83" i="117"/>
  <c r="AB82" i="117"/>
  <c r="AB81" i="117"/>
  <c r="AB80" i="117"/>
  <c r="AB79" i="117"/>
  <c r="AB78" i="117"/>
  <c r="X74" i="117"/>
  <c r="X73" i="117"/>
  <c r="X72" i="117"/>
  <c r="X71" i="117"/>
  <c r="X70" i="117"/>
  <c r="X68" i="117"/>
  <c r="X67" i="117"/>
  <c r="X66" i="117"/>
  <c r="X65" i="117"/>
  <c r="X64" i="117"/>
  <c r="X62" i="117"/>
  <c r="X61" i="117"/>
  <c r="X60" i="117"/>
  <c r="X59" i="117"/>
  <c r="X58" i="117"/>
  <c r="X57" i="117"/>
  <c r="X56" i="117"/>
  <c r="X55" i="117"/>
  <c r="X54" i="117"/>
  <c r="X53" i="117"/>
  <c r="X52" i="117"/>
  <c r="X51" i="117"/>
  <c r="X50" i="117"/>
  <c r="X49" i="117"/>
  <c r="X48" i="117"/>
  <c r="X47" i="117"/>
  <c r="X46" i="117"/>
  <c r="X45" i="117"/>
  <c r="X44" i="117"/>
  <c r="X43" i="117"/>
  <c r="X41" i="117"/>
  <c r="X40" i="117"/>
  <c r="X39" i="117"/>
  <c r="X38" i="117"/>
  <c r="X37" i="117"/>
  <c r="X36" i="117"/>
  <c r="X35" i="117"/>
  <c r="X34" i="117"/>
  <c r="X33" i="117"/>
  <c r="X32" i="117"/>
  <c r="X31" i="117"/>
  <c r="X30" i="117"/>
  <c r="X29" i="117"/>
  <c r="X28" i="117"/>
  <c r="X27" i="117"/>
  <c r="X26" i="117"/>
  <c r="X25" i="117"/>
  <c r="X24" i="117"/>
  <c r="X23" i="117"/>
  <c r="X22" i="117"/>
  <c r="U12" i="117"/>
  <c r="V12" i="117"/>
  <c r="W12" i="117"/>
  <c r="X12" i="117"/>
  <c r="U13" i="117"/>
  <c r="V13" i="117"/>
  <c r="Y13" i="117" s="1"/>
  <c r="W13" i="117"/>
  <c r="Z13" i="117" s="1"/>
  <c r="X13" i="117"/>
  <c r="J14" i="117"/>
  <c r="U14" i="117"/>
  <c r="V14" i="117"/>
  <c r="Y14" i="117" s="1"/>
  <c r="W14" i="117"/>
  <c r="Z14" i="117" s="1"/>
  <c r="X14" i="117"/>
  <c r="U15" i="117"/>
  <c r="V15" i="117"/>
  <c r="Y15" i="117" s="1"/>
  <c r="W15" i="117"/>
  <c r="Z15" i="117" s="1"/>
  <c r="X15" i="117"/>
  <c r="U16" i="117"/>
  <c r="V16" i="117"/>
  <c r="Y16" i="117" s="1"/>
  <c r="W16" i="117"/>
  <c r="Z16" i="117" s="1"/>
  <c r="X16" i="117"/>
  <c r="U17" i="117"/>
  <c r="V17" i="117"/>
  <c r="Y17" i="117" s="1"/>
  <c r="W17" i="117"/>
  <c r="Z17" i="117" s="1"/>
  <c r="X17" i="117"/>
  <c r="U18" i="117"/>
  <c r="V18" i="117"/>
  <c r="Y18" i="117" s="1"/>
  <c r="W18" i="117"/>
  <c r="Z18" i="117" s="1"/>
  <c r="X18" i="117"/>
  <c r="U19" i="117"/>
  <c r="V19" i="117"/>
  <c r="Y19" i="117" s="1"/>
  <c r="W19" i="117"/>
  <c r="Z19" i="117" s="1"/>
  <c r="X19" i="117"/>
  <c r="U20" i="117"/>
  <c r="V20" i="117"/>
  <c r="Y20" i="117" s="1"/>
  <c r="W20" i="117"/>
  <c r="Z20" i="117" s="1"/>
  <c r="X20" i="117"/>
  <c r="U21" i="117"/>
  <c r="V21" i="117"/>
  <c r="Y21" i="117" s="1"/>
  <c r="W21" i="117"/>
  <c r="Z21" i="117" s="1"/>
  <c r="X21" i="117"/>
  <c r="J46" i="117"/>
  <c r="D46" i="117"/>
  <c r="J57" i="117"/>
  <c r="D57" i="117"/>
  <c r="F57" i="117" s="1"/>
  <c r="J52" i="117"/>
  <c r="J22" i="117"/>
  <c r="J30" i="117"/>
  <c r="J38" i="117"/>
  <c r="D47" i="117"/>
  <c r="F47" i="117" s="1"/>
  <c r="D48" i="117"/>
  <c r="F48" i="117" s="1"/>
  <c r="D49" i="117"/>
  <c r="F49" i="117" s="1"/>
  <c r="D53" i="117"/>
  <c r="D54" i="117"/>
  <c r="F54" i="117"/>
  <c r="D55" i="117"/>
  <c r="F55" i="117"/>
  <c r="D56" i="117"/>
  <c r="F56" i="117"/>
  <c r="D58" i="117"/>
  <c r="F58" i="117" s="1"/>
  <c r="F60" i="117"/>
  <c r="G60" i="117" s="1"/>
  <c r="L60" i="117" s="1"/>
  <c r="T78" i="117"/>
  <c r="T98" i="117" s="1"/>
  <c r="G86" i="117" s="1"/>
  <c r="H81" i="117" s="1"/>
  <c r="Y78" i="117"/>
  <c r="Y98" i="117" s="1"/>
  <c r="J20" i="116"/>
  <c r="AA97" i="116"/>
  <c r="AA96" i="116"/>
  <c r="AA95" i="116"/>
  <c r="AA94" i="116"/>
  <c r="AA93" i="116"/>
  <c r="AA92" i="116"/>
  <c r="AA91" i="116"/>
  <c r="AA90" i="116"/>
  <c r="AA89" i="116"/>
  <c r="AA88" i="116"/>
  <c r="AA87" i="116"/>
  <c r="AA86" i="116"/>
  <c r="AA85" i="116"/>
  <c r="AA84" i="116"/>
  <c r="AA83" i="116"/>
  <c r="AA82" i="116"/>
  <c r="AA81" i="116"/>
  <c r="AA80" i="116"/>
  <c r="AA79" i="116"/>
  <c r="AA78" i="116"/>
  <c r="U74" i="116"/>
  <c r="U73" i="116"/>
  <c r="U72" i="116"/>
  <c r="U71" i="116"/>
  <c r="U70" i="116"/>
  <c r="U68" i="116"/>
  <c r="U67" i="116"/>
  <c r="U66" i="116"/>
  <c r="U65" i="116"/>
  <c r="U64" i="116"/>
  <c r="U62" i="116"/>
  <c r="U61" i="116"/>
  <c r="U60" i="116"/>
  <c r="U59" i="116"/>
  <c r="U58" i="116"/>
  <c r="U57" i="116"/>
  <c r="U56" i="116"/>
  <c r="U55" i="116"/>
  <c r="U54" i="116"/>
  <c r="U53" i="116"/>
  <c r="U52" i="116"/>
  <c r="U51" i="116"/>
  <c r="U50" i="116"/>
  <c r="U49" i="116"/>
  <c r="U48" i="116"/>
  <c r="U47" i="116"/>
  <c r="U46" i="116"/>
  <c r="U45" i="116"/>
  <c r="U44" i="116"/>
  <c r="U43" i="116"/>
  <c r="U41" i="116"/>
  <c r="U40" i="116"/>
  <c r="U39" i="116"/>
  <c r="U38" i="116"/>
  <c r="U37" i="116"/>
  <c r="U36" i="116"/>
  <c r="U35" i="116"/>
  <c r="U34" i="116"/>
  <c r="U33" i="116"/>
  <c r="U32" i="116"/>
  <c r="U31" i="116"/>
  <c r="U30" i="116"/>
  <c r="U29" i="116"/>
  <c r="U28" i="116"/>
  <c r="U27" i="116"/>
  <c r="U26" i="116"/>
  <c r="U25" i="116"/>
  <c r="U24" i="116"/>
  <c r="U23" i="116"/>
  <c r="U22" i="116"/>
  <c r="W74" i="116"/>
  <c r="Z74" i="116" s="1"/>
  <c r="V74" i="116"/>
  <c r="Y74" i="116" s="1"/>
  <c r="W73" i="116"/>
  <c r="Z73" i="116" s="1"/>
  <c r="V73" i="116"/>
  <c r="Y73" i="116" s="1"/>
  <c r="W72" i="116"/>
  <c r="Z72" i="116" s="1"/>
  <c r="V72" i="116"/>
  <c r="Y72" i="116" s="1"/>
  <c r="W71" i="116"/>
  <c r="Z71" i="116" s="1"/>
  <c r="V71" i="116"/>
  <c r="Y71" i="116" s="1"/>
  <c r="W70" i="116"/>
  <c r="V70" i="116"/>
  <c r="W68" i="116"/>
  <c r="Z68" i="116" s="1"/>
  <c r="V68" i="116"/>
  <c r="Y68" i="116" s="1"/>
  <c r="W67" i="116"/>
  <c r="Z67" i="116" s="1"/>
  <c r="V67" i="116"/>
  <c r="Y67" i="116" s="1"/>
  <c r="W66" i="116"/>
  <c r="Z66" i="116" s="1"/>
  <c r="V66" i="116"/>
  <c r="Y66" i="116" s="1"/>
  <c r="W65" i="116"/>
  <c r="Z65" i="116" s="1"/>
  <c r="V65" i="116"/>
  <c r="Y65" i="116" s="1"/>
  <c r="W64" i="116"/>
  <c r="V64" i="116"/>
  <c r="W62" i="116"/>
  <c r="Z62" i="116" s="1"/>
  <c r="V62" i="116"/>
  <c r="Y62" i="116" s="1"/>
  <c r="W61" i="116"/>
  <c r="Z61" i="116" s="1"/>
  <c r="V61" i="116"/>
  <c r="Y61" i="116" s="1"/>
  <c r="W60" i="116"/>
  <c r="Z60" i="116" s="1"/>
  <c r="V60" i="116"/>
  <c r="Y60" i="116" s="1"/>
  <c r="W59" i="116"/>
  <c r="Z59" i="116" s="1"/>
  <c r="V59" i="116"/>
  <c r="Y59" i="116" s="1"/>
  <c r="W58" i="116"/>
  <c r="Z58" i="116" s="1"/>
  <c r="V58" i="116"/>
  <c r="Y58" i="116" s="1"/>
  <c r="W57" i="116"/>
  <c r="Z57" i="116" s="1"/>
  <c r="V57" i="116"/>
  <c r="Y57" i="116" s="1"/>
  <c r="W56" i="116"/>
  <c r="Z56" i="116" s="1"/>
  <c r="V56" i="116"/>
  <c r="Y56" i="116" s="1"/>
  <c r="W55" i="116"/>
  <c r="Z55" i="116" s="1"/>
  <c r="V55" i="116"/>
  <c r="Y55" i="116" s="1"/>
  <c r="W54" i="116"/>
  <c r="Z54" i="116" s="1"/>
  <c r="V54" i="116"/>
  <c r="Y54" i="116" s="1"/>
  <c r="W53" i="116"/>
  <c r="Z53" i="116" s="1"/>
  <c r="V53" i="116"/>
  <c r="Y53" i="116" s="1"/>
  <c r="W52" i="116"/>
  <c r="Z52" i="116" s="1"/>
  <c r="V52" i="116"/>
  <c r="Y52" i="116" s="1"/>
  <c r="W51" i="116"/>
  <c r="Z51" i="116" s="1"/>
  <c r="V51" i="116"/>
  <c r="Y51" i="116" s="1"/>
  <c r="W50" i="116"/>
  <c r="Z50" i="116" s="1"/>
  <c r="V50" i="116"/>
  <c r="Y50" i="116" s="1"/>
  <c r="W49" i="116"/>
  <c r="Z49" i="116" s="1"/>
  <c r="V49" i="116"/>
  <c r="Y49" i="116" s="1"/>
  <c r="W48" i="116"/>
  <c r="Z48" i="116" s="1"/>
  <c r="V48" i="116"/>
  <c r="Y48" i="116" s="1"/>
  <c r="W47" i="116"/>
  <c r="Z47" i="116" s="1"/>
  <c r="V47" i="116"/>
  <c r="Y47" i="116" s="1"/>
  <c r="W46" i="116"/>
  <c r="Z46" i="116" s="1"/>
  <c r="V46" i="116"/>
  <c r="Y46" i="116" s="1"/>
  <c r="W45" i="116"/>
  <c r="Z45" i="116" s="1"/>
  <c r="V45" i="116"/>
  <c r="Y45" i="116" s="1"/>
  <c r="W44" i="116"/>
  <c r="Z44" i="116" s="1"/>
  <c r="V44" i="116"/>
  <c r="Y44" i="116" s="1"/>
  <c r="W43" i="116"/>
  <c r="V43" i="116"/>
  <c r="W41" i="116"/>
  <c r="Z41" i="116" s="1"/>
  <c r="V41" i="116"/>
  <c r="Y41" i="116" s="1"/>
  <c r="W40" i="116"/>
  <c r="Z40" i="116" s="1"/>
  <c r="V40" i="116"/>
  <c r="Y40" i="116" s="1"/>
  <c r="W39" i="116"/>
  <c r="Z39" i="116" s="1"/>
  <c r="V39" i="116"/>
  <c r="Y39" i="116" s="1"/>
  <c r="W38" i="116"/>
  <c r="Z38" i="116" s="1"/>
  <c r="V38" i="116"/>
  <c r="Y38" i="116" s="1"/>
  <c r="W37" i="116"/>
  <c r="Z37" i="116" s="1"/>
  <c r="V37" i="116"/>
  <c r="Y37" i="116" s="1"/>
  <c r="W36" i="116"/>
  <c r="Z36" i="116" s="1"/>
  <c r="V36" i="116"/>
  <c r="Y36" i="116" s="1"/>
  <c r="W35" i="116"/>
  <c r="Z35" i="116" s="1"/>
  <c r="V35" i="116"/>
  <c r="Y35" i="116" s="1"/>
  <c r="W34" i="116"/>
  <c r="Z34" i="116" s="1"/>
  <c r="V34" i="116"/>
  <c r="Y34" i="116" s="1"/>
  <c r="W33" i="116"/>
  <c r="Z33" i="116" s="1"/>
  <c r="V33" i="116"/>
  <c r="Y33" i="116" s="1"/>
  <c r="W32" i="116"/>
  <c r="Z32" i="116" s="1"/>
  <c r="V32" i="116"/>
  <c r="Y32" i="116" s="1"/>
  <c r="W31" i="116"/>
  <c r="Z31" i="116" s="1"/>
  <c r="V31" i="116"/>
  <c r="Y31" i="116" s="1"/>
  <c r="W30" i="116"/>
  <c r="Z30" i="116" s="1"/>
  <c r="V30" i="116"/>
  <c r="Y30" i="116" s="1"/>
  <c r="W29" i="116"/>
  <c r="Z29" i="116" s="1"/>
  <c r="V29" i="116"/>
  <c r="Y29" i="116" s="1"/>
  <c r="W28" i="116"/>
  <c r="Z28" i="116" s="1"/>
  <c r="V28" i="116"/>
  <c r="Y28" i="116" s="1"/>
  <c r="W27" i="116"/>
  <c r="Z27" i="116" s="1"/>
  <c r="V27" i="116"/>
  <c r="Y27" i="116" s="1"/>
  <c r="W26" i="116"/>
  <c r="Z26" i="116" s="1"/>
  <c r="V26" i="116"/>
  <c r="Y26" i="116" s="1"/>
  <c r="W25" i="116"/>
  <c r="Z25" i="116" s="1"/>
  <c r="V25" i="116"/>
  <c r="Y25" i="116" s="1"/>
  <c r="W24" i="116"/>
  <c r="Z24" i="116" s="1"/>
  <c r="V24" i="116"/>
  <c r="Y24" i="116" s="1"/>
  <c r="W23" i="116"/>
  <c r="Z23" i="116" s="1"/>
  <c r="V23" i="116"/>
  <c r="Y23" i="116" s="1"/>
  <c r="W22" i="116"/>
  <c r="Z22" i="116" s="1"/>
  <c r="V22" i="116"/>
  <c r="Y22" i="116" s="1"/>
  <c r="AB97" i="116"/>
  <c r="AB96" i="116"/>
  <c r="AB95" i="116"/>
  <c r="AB94" i="116"/>
  <c r="AB93" i="116"/>
  <c r="AB92" i="116"/>
  <c r="AB91" i="116"/>
  <c r="AB90" i="116"/>
  <c r="AB89" i="116"/>
  <c r="AB88" i="116"/>
  <c r="AB87" i="116"/>
  <c r="AB86" i="116"/>
  <c r="AB85" i="116"/>
  <c r="AB84" i="116"/>
  <c r="AB83" i="116"/>
  <c r="AB82" i="116"/>
  <c r="AB81" i="116"/>
  <c r="AB80" i="116"/>
  <c r="AB79" i="116"/>
  <c r="AB78" i="116"/>
  <c r="X74" i="116"/>
  <c r="X73" i="116"/>
  <c r="X72" i="116"/>
  <c r="X71" i="116"/>
  <c r="X70" i="116"/>
  <c r="X68" i="116"/>
  <c r="X67" i="116"/>
  <c r="X66" i="116"/>
  <c r="X65" i="116"/>
  <c r="X64" i="116"/>
  <c r="X62" i="116"/>
  <c r="X61" i="116"/>
  <c r="X60" i="116"/>
  <c r="X59" i="116"/>
  <c r="X58" i="116"/>
  <c r="X57" i="116"/>
  <c r="X56" i="116"/>
  <c r="X55" i="116"/>
  <c r="X54" i="116"/>
  <c r="X53" i="116"/>
  <c r="X52" i="116"/>
  <c r="X51" i="116"/>
  <c r="X50" i="116"/>
  <c r="X49" i="116"/>
  <c r="X48" i="116"/>
  <c r="X47" i="116"/>
  <c r="X46" i="116"/>
  <c r="X45" i="116"/>
  <c r="X44" i="116"/>
  <c r="X43" i="116"/>
  <c r="X41" i="116"/>
  <c r="X40" i="116"/>
  <c r="X39" i="116"/>
  <c r="X38" i="116"/>
  <c r="X37" i="116"/>
  <c r="X36" i="116"/>
  <c r="X35" i="116"/>
  <c r="X34" i="116"/>
  <c r="X33" i="116"/>
  <c r="X32" i="116"/>
  <c r="X31" i="116"/>
  <c r="X30" i="116"/>
  <c r="X29" i="116"/>
  <c r="X28" i="116"/>
  <c r="X27" i="116"/>
  <c r="X26" i="116"/>
  <c r="X25" i="116"/>
  <c r="X24" i="116"/>
  <c r="X23" i="116"/>
  <c r="X22" i="116"/>
  <c r="U12" i="116"/>
  <c r="V12" i="116"/>
  <c r="W12" i="116"/>
  <c r="X12" i="116"/>
  <c r="U13" i="116"/>
  <c r="V13" i="116"/>
  <c r="Y13" i="116" s="1"/>
  <c r="W13" i="116"/>
  <c r="Z13" i="116" s="1"/>
  <c r="X13" i="116"/>
  <c r="J14" i="116"/>
  <c r="U14" i="116"/>
  <c r="V14" i="116"/>
  <c r="Y14" i="116" s="1"/>
  <c r="W14" i="116"/>
  <c r="Z14" i="116" s="1"/>
  <c r="X14" i="116"/>
  <c r="U15" i="116"/>
  <c r="V15" i="116"/>
  <c r="Y15" i="116" s="1"/>
  <c r="W15" i="116"/>
  <c r="Z15" i="116" s="1"/>
  <c r="X15" i="116"/>
  <c r="U16" i="116"/>
  <c r="V16" i="116"/>
  <c r="Y16" i="116" s="1"/>
  <c r="W16" i="116"/>
  <c r="Z16" i="116" s="1"/>
  <c r="X16" i="116"/>
  <c r="U17" i="116"/>
  <c r="V17" i="116"/>
  <c r="Y17" i="116" s="1"/>
  <c r="W17" i="116"/>
  <c r="Z17" i="116" s="1"/>
  <c r="X17" i="116"/>
  <c r="U18" i="116"/>
  <c r="V18" i="116"/>
  <c r="Y18" i="116" s="1"/>
  <c r="W18" i="116"/>
  <c r="Z18" i="116" s="1"/>
  <c r="X18" i="116"/>
  <c r="U19" i="116"/>
  <c r="V19" i="116"/>
  <c r="Y19" i="116" s="1"/>
  <c r="W19" i="116"/>
  <c r="Z19" i="116" s="1"/>
  <c r="X19" i="116"/>
  <c r="U20" i="116"/>
  <c r="V20" i="116"/>
  <c r="Y20" i="116" s="1"/>
  <c r="W20" i="116"/>
  <c r="Z20" i="116" s="1"/>
  <c r="X20" i="116"/>
  <c r="U21" i="116"/>
  <c r="V21" i="116"/>
  <c r="Y21" i="116" s="1"/>
  <c r="W21" i="116"/>
  <c r="Z21" i="116" s="1"/>
  <c r="X21" i="116"/>
  <c r="J46" i="116"/>
  <c r="D46" i="116"/>
  <c r="J57" i="116"/>
  <c r="D57" i="116"/>
  <c r="F57" i="116" s="1"/>
  <c r="J52" i="116"/>
  <c r="F52" i="116"/>
  <c r="D52" i="116"/>
  <c r="J22" i="116"/>
  <c r="J30" i="116"/>
  <c r="J38" i="116"/>
  <c r="D47" i="116"/>
  <c r="F47" i="116" s="1"/>
  <c r="D48" i="116"/>
  <c r="F48" i="116" s="1"/>
  <c r="D49" i="116"/>
  <c r="F49" i="116" s="1"/>
  <c r="D50" i="116"/>
  <c r="F50" i="116" s="1"/>
  <c r="D53" i="116"/>
  <c r="F53" i="116"/>
  <c r="D54" i="116"/>
  <c r="F54" i="116"/>
  <c r="D55" i="116"/>
  <c r="F55" i="116"/>
  <c r="D56" i="116"/>
  <c r="F56" i="116"/>
  <c r="D58" i="116"/>
  <c r="F58" i="116" s="1"/>
  <c r="F60" i="116"/>
  <c r="G60" i="116" s="1"/>
  <c r="L60" i="116" s="1"/>
  <c r="T78" i="116"/>
  <c r="T98" i="116" s="1"/>
  <c r="G86" i="116" s="1"/>
  <c r="H81" i="116" s="1"/>
  <c r="Y78" i="116"/>
  <c r="Y98" i="116" s="1"/>
  <c r="J20" i="115"/>
  <c r="AA97" i="115"/>
  <c r="AA96" i="115"/>
  <c r="AA95" i="115"/>
  <c r="AA94" i="115"/>
  <c r="AA93" i="115"/>
  <c r="AA92" i="115"/>
  <c r="AA91" i="115"/>
  <c r="AA90" i="115"/>
  <c r="AA89" i="115"/>
  <c r="AA88" i="115"/>
  <c r="AA87" i="115"/>
  <c r="AA86" i="115"/>
  <c r="AA85" i="115"/>
  <c r="AA84" i="115"/>
  <c r="AA83" i="115"/>
  <c r="AA82" i="115"/>
  <c r="AA81" i="115"/>
  <c r="AA80" i="115"/>
  <c r="AA79" i="115"/>
  <c r="AA78" i="115"/>
  <c r="U74" i="115"/>
  <c r="U73" i="115"/>
  <c r="U72" i="115"/>
  <c r="U71" i="115"/>
  <c r="U70" i="115"/>
  <c r="U68" i="115"/>
  <c r="U67" i="115"/>
  <c r="U66" i="115"/>
  <c r="U65" i="115"/>
  <c r="U64" i="115"/>
  <c r="U62" i="115"/>
  <c r="U61" i="115"/>
  <c r="U60" i="115"/>
  <c r="U59" i="115"/>
  <c r="U58" i="115"/>
  <c r="U56" i="115"/>
  <c r="U55" i="115"/>
  <c r="U54" i="115"/>
  <c r="U53" i="115"/>
  <c r="U52" i="115"/>
  <c r="U51" i="115"/>
  <c r="U50" i="115"/>
  <c r="U49" i="115"/>
  <c r="U48" i="115"/>
  <c r="U47" i="115"/>
  <c r="U46" i="115"/>
  <c r="U45" i="115"/>
  <c r="U44" i="115"/>
  <c r="U43" i="115"/>
  <c r="U41" i="115"/>
  <c r="U40" i="115"/>
  <c r="U39" i="115"/>
  <c r="U38" i="115"/>
  <c r="U37" i="115"/>
  <c r="U36" i="115"/>
  <c r="U35" i="115"/>
  <c r="U34" i="115"/>
  <c r="U33" i="115"/>
  <c r="U32" i="115"/>
  <c r="U31" i="115"/>
  <c r="U30" i="115"/>
  <c r="U29" i="115"/>
  <c r="U28" i="115"/>
  <c r="U27" i="115"/>
  <c r="U26" i="115"/>
  <c r="U25" i="115"/>
  <c r="U24" i="115"/>
  <c r="U23" i="115"/>
  <c r="U22" i="115"/>
  <c r="W74" i="115"/>
  <c r="Z74" i="115" s="1"/>
  <c r="V74" i="115"/>
  <c r="Y74" i="115" s="1"/>
  <c r="W73" i="115"/>
  <c r="Z73" i="115" s="1"/>
  <c r="V73" i="115"/>
  <c r="Y73" i="115" s="1"/>
  <c r="W72" i="115"/>
  <c r="Z72" i="115" s="1"/>
  <c r="V72" i="115"/>
  <c r="Y72" i="115" s="1"/>
  <c r="W71" i="115"/>
  <c r="Z71" i="115" s="1"/>
  <c r="V71" i="115"/>
  <c r="Y71" i="115" s="1"/>
  <c r="W70" i="115"/>
  <c r="V70" i="115"/>
  <c r="W68" i="115"/>
  <c r="Z68" i="115" s="1"/>
  <c r="V68" i="115"/>
  <c r="Y68" i="115" s="1"/>
  <c r="W67" i="115"/>
  <c r="Z67" i="115" s="1"/>
  <c r="V67" i="115"/>
  <c r="Y67" i="115" s="1"/>
  <c r="W66" i="115"/>
  <c r="Z66" i="115" s="1"/>
  <c r="V66" i="115"/>
  <c r="Y66" i="115" s="1"/>
  <c r="W65" i="115"/>
  <c r="Z65" i="115" s="1"/>
  <c r="V65" i="115"/>
  <c r="Y65" i="115" s="1"/>
  <c r="W64" i="115"/>
  <c r="V64" i="115"/>
  <c r="W62" i="115"/>
  <c r="Z62" i="115" s="1"/>
  <c r="V62" i="115"/>
  <c r="Y62" i="115" s="1"/>
  <c r="W61" i="115"/>
  <c r="Z61" i="115" s="1"/>
  <c r="V61" i="115"/>
  <c r="Y61" i="115" s="1"/>
  <c r="W60" i="115"/>
  <c r="Z60" i="115" s="1"/>
  <c r="V60" i="115"/>
  <c r="Y60" i="115" s="1"/>
  <c r="W59" i="115"/>
  <c r="Z59" i="115" s="1"/>
  <c r="V59" i="115"/>
  <c r="Y59" i="115" s="1"/>
  <c r="W58" i="115"/>
  <c r="Z58" i="115" s="1"/>
  <c r="V58" i="115"/>
  <c r="Y58" i="115" s="1"/>
  <c r="W57" i="115"/>
  <c r="Z57" i="115" s="1"/>
  <c r="V57" i="115"/>
  <c r="Y57" i="115" s="1"/>
  <c r="W56" i="115"/>
  <c r="Z56" i="115" s="1"/>
  <c r="V56" i="115"/>
  <c r="Y56" i="115" s="1"/>
  <c r="W55" i="115"/>
  <c r="Z55" i="115" s="1"/>
  <c r="V55" i="115"/>
  <c r="Y55" i="115" s="1"/>
  <c r="W54" i="115"/>
  <c r="Z54" i="115" s="1"/>
  <c r="V54" i="115"/>
  <c r="Y54" i="115" s="1"/>
  <c r="W53" i="115"/>
  <c r="Z53" i="115" s="1"/>
  <c r="V53" i="115"/>
  <c r="Y53" i="115" s="1"/>
  <c r="W52" i="115"/>
  <c r="Z52" i="115" s="1"/>
  <c r="V52" i="115"/>
  <c r="Y52" i="115" s="1"/>
  <c r="W51" i="115"/>
  <c r="Z51" i="115" s="1"/>
  <c r="V51" i="115"/>
  <c r="Y51" i="115" s="1"/>
  <c r="W50" i="115"/>
  <c r="Z50" i="115" s="1"/>
  <c r="V50" i="115"/>
  <c r="Y50" i="115" s="1"/>
  <c r="W49" i="115"/>
  <c r="Z49" i="115" s="1"/>
  <c r="V49" i="115"/>
  <c r="Y49" i="115" s="1"/>
  <c r="W48" i="115"/>
  <c r="Z48" i="115" s="1"/>
  <c r="V48" i="115"/>
  <c r="Y48" i="115" s="1"/>
  <c r="W47" i="115"/>
  <c r="Z47" i="115" s="1"/>
  <c r="V47" i="115"/>
  <c r="Y47" i="115" s="1"/>
  <c r="W46" i="115"/>
  <c r="Z46" i="115" s="1"/>
  <c r="V46" i="115"/>
  <c r="Y46" i="115" s="1"/>
  <c r="W45" i="115"/>
  <c r="Z45" i="115" s="1"/>
  <c r="V45" i="115"/>
  <c r="Y45" i="115" s="1"/>
  <c r="W44" i="115"/>
  <c r="Z44" i="115" s="1"/>
  <c r="V44" i="115"/>
  <c r="Y44" i="115" s="1"/>
  <c r="W43" i="115"/>
  <c r="V43" i="115"/>
  <c r="W41" i="115"/>
  <c r="Z41" i="115" s="1"/>
  <c r="V41" i="115"/>
  <c r="Y41" i="115" s="1"/>
  <c r="W40" i="115"/>
  <c r="Z40" i="115" s="1"/>
  <c r="V40" i="115"/>
  <c r="Y40" i="115" s="1"/>
  <c r="W39" i="115"/>
  <c r="Z39" i="115" s="1"/>
  <c r="V39" i="115"/>
  <c r="Y39" i="115" s="1"/>
  <c r="W38" i="115"/>
  <c r="Z38" i="115" s="1"/>
  <c r="V38" i="115"/>
  <c r="Y38" i="115" s="1"/>
  <c r="W37" i="115"/>
  <c r="Z37" i="115" s="1"/>
  <c r="V37" i="115"/>
  <c r="Y37" i="115" s="1"/>
  <c r="W36" i="115"/>
  <c r="Z36" i="115" s="1"/>
  <c r="V36" i="115"/>
  <c r="Y36" i="115" s="1"/>
  <c r="W35" i="115"/>
  <c r="Z35" i="115" s="1"/>
  <c r="V35" i="115"/>
  <c r="Y35" i="115" s="1"/>
  <c r="W34" i="115"/>
  <c r="Z34" i="115" s="1"/>
  <c r="V34" i="115"/>
  <c r="Y34" i="115" s="1"/>
  <c r="W33" i="115"/>
  <c r="Z33" i="115" s="1"/>
  <c r="V33" i="115"/>
  <c r="Y33" i="115" s="1"/>
  <c r="W32" i="115"/>
  <c r="Z32" i="115" s="1"/>
  <c r="V32" i="115"/>
  <c r="Y32" i="115" s="1"/>
  <c r="W31" i="115"/>
  <c r="Z31" i="115" s="1"/>
  <c r="V31" i="115"/>
  <c r="Y31" i="115" s="1"/>
  <c r="W30" i="115"/>
  <c r="Z30" i="115" s="1"/>
  <c r="V30" i="115"/>
  <c r="Y30" i="115" s="1"/>
  <c r="W29" i="115"/>
  <c r="Z29" i="115" s="1"/>
  <c r="V29" i="115"/>
  <c r="Y29" i="115" s="1"/>
  <c r="W28" i="115"/>
  <c r="Z28" i="115" s="1"/>
  <c r="V28" i="115"/>
  <c r="Y28" i="115" s="1"/>
  <c r="W27" i="115"/>
  <c r="Z27" i="115" s="1"/>
  <c r="V27" i="115"/>
  <c r="Y27" i="115" s="1"/>
  <c r="W26" i="115"/>
  <c r="Z26" i="115" s="1"/>
  <c r="V26" i="115"/>
  <c r="Y26" i="115" s="1"/>
  <c r="W25" i="115"/>
  <c r="Z25" i="115" s="1"/>
  <c r="V25" i="115"/>
  <c r="Y25" i="115" s="1"/>
  <c r="W24" i="115"/>
  <c r="Z24" i="115" s="1"/>
  <c r="V24" i="115"/>
  <c r="Y24" i="115" s="1"/>
  <c r="W23" i="115"/>
  <c r="Z23" i="115" s="1"/>
  <c r="V23" i="115"/>
  <c r="Y23" i="115" s="1"/>
  <c r="W22" i="115"/>
  <c r="Z22" i="115" s="1"/>
  <c r="V22" i="115"/>
  <c r="Y22" i="115" s="1"/>
  <c r="AB97" i="115"/>
  <c r="AB96" i="115"/>
  <c r="AB95" i="115"/>
  <c r="AB94" i="115"/>
  <c r="AB93" i="115"/>
  <c r="AB92" i="115"/>
  <c r="AB91" i="115"/>
  <c r="AB90" i="115"/>
  <c r="AB89" i="115"/>
  <c r="AB88" i="115"/>
  <c r="AB87" i="115"/>
  <c r="AB86" i="115"/>
  <c r="AB85" i="115"/>
  <c r="AB84" i="115"/>
  <c r="AB83" i="115"/>
  <c r="AB82" i="115"/>
  <c r="AB81" i="115"/>
  <c r="AB80" i="115"/>
  <c r="AB79" i="115"/>
  <c r="AB78" i="115"/>
  <c r="X74" i="115"/>
  <c r="X73" i="115"/>
  <c r="X72" i="115"/>
  <c r="X71" i="115"/>
  <c r="X70" i="115"/>
  <c r="X68" i="115"/>
  <c r="X67" i="115"/>
  <c r="X66" i="115"/>
  <c r="X65" i="115"/>
  <c r="X64" i="115"/>
  <c r="X62" i="115"/>
  <c r="X61" i="115"/>
  <c r="X60" i="115"/>
  <c r="X59" i="115"/>
  <c r="X58" i="115"/>
  <c r="X57" i="115"/>
  <c r="X56" i="115"/>
  <c r="X55" i="115"/>
  <c r="X54" i="115"/>
  <c r="X53" i="115"/>
  <c r="X52" i="115"/>
  <c r="X51" i="115"/>
  <c r="X50" i="115"/>
  <c r="X49" i="115"/>
  <c r="X48" i="115"/>
  <c r="X47" i="115"/>
  <c r="X46" i="115"/>
  <c r="X45" i="115"/>
  <c r="X44" i="115"/>
  <c r="X43" i="115"/>
  <c r="X41" i="115"/>
  <c r="X40" i="115"/>
  <c r="X39" i="115"/>
  <c r="X38" i="115"/>
  <c r="X37" i="115"/>
  <c r="X36" i="115"/>
  <c r="X35" i="115"/>
  <c r="X34" i="115"/>
  <c r="X33" i="115"/>
  <c r="X32" i="115"/>
  <c r="X31" i="115"/>
  <c r="X30" i="115"/>
  <c r="X29" i="115"/>
  <c r="X28" i="115"/>
  <c r="X27" i="115"/>
  <c r="X26" i="115"/>
  <c r="X25" i="115"/>
  <c r="X24" i="115"/>
  <c r="X23" i="115"/>
  <c r="X22" i="115"/>
  <c r="U12" i="115"/>
  <c r="V12" i="115"/>
  <c r="W12" i="115"/>
  <c r="X12" i="115"/>
  <c r="U13" i="115"/>
  <c r="V13" i="115"/>
  <c r="Y13" i="115" s="1"/>
  <c r="W13" i="115"/>
  <c r="Z13" i="115" s="1"/>
  <c r="X13" i="115"/>
  <c r="J14" i="115"/>
  <c r="U14" i="115"/>
  <c r="V14" i="115"/>
  <c r="Y14" i="115" s="1"/>
  <c r="W14" i="115"/>
  <c r="Z14" i="115" s="1"/>
  <c r="X14" i="115"/>
  <c r="U15" i="115"/>
  <c r="V15" i="115"/>
  <c r="Y15" i="115" s="1"/>
  <c r="W15" i="115"/>
  <c r="Z15" i="115" s="1"/>
  <c r="X15" i="115"/>
  <c r="U16" i="115"/>
  <c r="V16" i="115"/>
  <c r="Y16" i="115" s="1"/>
  <c r="W16" i="115"/>
  <c r="Z16" i="115" s="1"/>
  <c r="X16" i="115"/>
  <c r="U17" i="115"/>
  <c r="V17" i="115"/>
  <c r="Y17" i="115" s="1"/>
  <c r="W17" i="115"/>
  <c r="Z17" i="115" s="1"/>
  <c r="X17" i="115"/>
  <c r="U18" i="115"/>
  <c r="V18" i="115"/>
  <c r="Y18" i="115" s="1"/>
  <c r="W18" i="115"/>
  <c r="Z18" i="115" s="1"/>
  <c r="X18" i="115"/>
  <c r="U19" i="115"/>
  <c r="V19" i="115"/>
  <c r="Y19" i="115" s="1"/>
  <c r="W19" i="115"/>
  <c r="Z19" i="115" s="1"/>
  <c r="X19" i="115"/>
  <c r="U20" i="115"/>
  <c r="V20" i="115"/>
  <c r="Y20" i="115" s="1"/>
  <c r="W20" i="115"/>
  <c r="Z20" i="115" s="1"/>
  <c r="X20" i="115"/>
  <c r="U21" i="115"/>
  <c r="V21" i="115"/>
  <c r="Y21" i="115" s="1"/>
  <c r="W21" i="115"/>
  <c r="Z21" i="115" s="1"/>
  <c r="X21" i="115"/>
  <c r="J46" i="115"/>
  <c r="D46" i="115"/>
  <c r="J57" i="115"/>
  <c r="D57" i="115"/>
  <c r="F57" i="115" s="1"/>
  <c r="J52" i="115"/>
  <c r="F52" i="115"/>
  <c r="D52" i="115"/>
  <c r="J22" i="115"/>
  <c r="J30" i="115"/>
  <c r="J38" i="115"/>
  <c r="D47" i="115"/>
  <c r="F47" i="115" s="1"/>
  <c r="D48" i="115"/>
  <c r="F48" i="115" s="1"/>
  <c r="D49" i="115"/>
  <c r="F49" i="115" s="1"/>
  <c r="D50" i="115"/>
  <c r="F50" i="115" s="1"/>
  <c r="D53" i="115"/>
  <c r="F53" i="115"/>
  <c r="D54" i="115"/>
  <c r="F54" i="115"/>
  <c r="D55" i="115"/>
  <c r="F55" i="115"/>
  <c r="D56" i="115"/>
  <c r="F56" i="115"/>
  <c r="D58" i="115"/>
  <c r="F58" i="115" s="1"/>
  <c r="F60" i="115"/>
  <c r="G60" i="115" s="1"/>
  <c r="L60" i="115" s="1"/>
  <c r="T78" i="115"/>
  <c r="T98" i="115" s="1"/>
  <c r="G86" i="115" s="1"/>
  <c r="H81" i="115" s="1"/>
  <c r="Y78" i="115"/>
  <c r="Y98" i="115" s="1"/>
  <c r="AA97" i="114"/>
  <c r="AA96" i="114"/>
  <c r="AA95" i="114"/>
  <c r="AA94" i="114"/>
  <c r="AA93" i="114"/>
  <c r="AA92" i="114"/>
  <c r="AA91" i="114"/>
  <c r="AA90" i="114"/>
  <c r="AA89" i="114"/>
  <c r="AA88" i="114"/>
  <c r="AA87" i="114"/>
  <c r="AA86" i="114"/>
  <c r="AA85" i="114"/>
  <c r="AA84" i="114"/>
  <c r="AA83" i="114"/>
  <c r="AA82" i="114"/>
  <c r="AA81" i="114"/>
  <c r="AA80" i="114"/>
  <c r="AA79" i="114"/>
  <c r="AA78" i="114"/>
  <c r="U74" i="114"/>
  <c r="U73" i="114"/>
  <c r="U72" i="114"/>
  <c r="U71" i="114"/>
  <c r="U70" i="114"/>
  <c r="U68" i="114"/>
  <c r="U67" i="114"/>
  <c r="U66" i="114"/>
  <c r="U65" i="114"/>
  <c r="U64" i="114"/>
  <c r="U62" i="114"/>
  <c r="U61" i="114"/>
  <c r="U60" i="114"/>
  <c r="U59" i="114"/>
  <c r="U58" i="114"/>
  <c r="U57" i="114"/>
  <c r="U56" i="114"/>
  <c r="U55" i="114"/>
  <c r="U54" i="114"/>
  <c r="U53" i="114"/>
  <c r="U52" i="114"/>
  <c r="U51" i="114"/>
  <c r="U50" i="114"/>
  <c r="U49" i="114"/>
  <c r="U48" i="114"/>
  <c r="U47" i="114"/>
  <c r="U46" i="114"/>
  <c r="U45" i="114"/>
  <c r="U44" i="114"/>
  <c r="U43" i="114"/>
  <c r="U41" i="114"/>
  <c r="U40" i="114"/>
  <c r="U39" i="114"/>
  <c r="U38" i="114"/>
  <c r="U37" i="114"/>
  <c r="U36" i="114"/>
  <c r="U35" i="114"/>
  <c r="U34" i="114"/>
  <c r="U33" i="114"/>
  <c r="U32" i="114"/>
  <c r="U31" i="114"/>
  <c r="U30" i="114"/>
  <c r="U29" i="114"/>
  <c r="U28" i="114"/>
  <c r="U27" i="114"/>
  <c r="U26" i="114"/>
  <c r="U25" i="114"/>
  <c r="U24" i="114"/>
  <c r="U23" i="114"/>
  <c r="U22" i="114"/>
  <c r="W74" i="114"/>
  <c r="Z74" i="114" s="1"/>
  <c r="V74" i="114"/>
  <c r="Y74" i="114" s="1"/>
  <c r="W73" i="114"/>
  <c r="Z73" i="114" s="1"/>
  <c r="V73" i="114"/>
  <c r="Y73" i="114" s="1"/>
  <c r="W72" i="114"/>
  <c r="Z72" i="114" s="1"/>
  <c r="V72" i="114"/>
  <c r="Y72" i="114" s="1"/>
  <c r="W71" i="114"/>
  <c r="Z71" i="114" s="1"/>
  <c r="V71" i="114"/>
  <c r="Y71" i="114" s="1"/>
  <c r="W70" i="114"/>
  <c r="V70" i="114"/>
  <c r="W68" i="114"/>
  <c r="Z68" i="114" s="1"/>
  <c r="V68" i="114"/>
  <c r="Y68" i="114" s="1"/>
  <c r="W67" i="114"/>
  <c r="Z67" i="114" s="1"/>
  <c r="V67" i="114"/>
  <c r="Y67" i="114" s="1"/>
  <c r="W66" i="114"/>
  <c r="Z66" i="114" s="1"/>
  <c r="V66" i="114"/>
  <c r="Y66" i="114" s="1"/>
  <c r="W65" i="114"/>
  <c r="Z65" i="114" s="1"/>
  <c r="V65" i="114"/>
  <c r="Y65" i="114" s="1"/>
  <c r="W64" i="114"/>
  <c r="V64" i="114"/>
  <c r="W62" i="114"/>
  <c r="Z62" i="114" s="1"/>
  <c r="V62" i="114"/>
  <c r="Y62" i="114" s="1"/>
  <c r="W61" i="114"/>
  <c r="Z61" i="114" s="1"/>
  <c r="V61" i="114"/>
  <c r="Y61" i="114" s="1"/>
  <c r="W60" i="114"/>
  <c r="Z60" i="114" s="1"/>
  <c r="V60" i="114"/>
  <c r="Y60" i="114" s="1"/>
  <c r="W59" i="114"/>
  <c r="Z59" i="114" s="1"/>
  <c r="V59" i="114"/>
  <c r="Y59" i="114" s="1"/>
  <c r="W58" i="114"/>
  <c r="Z58" i="114" s="1"/>
  <c r="V58" i="114"/>
  <c r="Y58" i="114" s="1"/>
  <c r="W57" i="114"/>
  <c r="Z57" i="114" s="1"/>
  <c r="V57" i="114"/>
  <c r="Y57" i="114" s="1"/>
  <c r="W56" i="114"/>
  <c r="Z56" i="114" s="1"/>
  <c r="V56" i="114"/>
  <c r="Y56" i="114" s="1"/>
  <c r="W55" i="114"/>
  <c r="Z55" i="114" s="1"/>
  <c r="V55" i="114"/>
  <c r="Y55" i="114" s="1"/>
  <c r="W54" i="114"/>
  <c r="Z54" i="114" s="1"/>
  <c r="V54" i="114"/>
  <c r="Y54" i="114" s="1"/>
  <c r="W53" i="114"/>
  <c r="Z53" i="114" s="1"/>
  <c r="V53" i="114"/>
  <c r="Y53" i="114" s="1"/>
  <c r="W52" i="114"/>
  <c r="Z52" i="114" s="1"/>
  <c r="V52" i="114"/>
  <c r="Y52" i="114" s="1"/>
  <c r="W51" i="114"/>
  <c r="Z51" i="114" s="1"/>
  <c r="V51" i="114"/>
  <c r="Y51" i="114" s="1"/>
  <c r="W50" i="114"/>
  <c r="Z50" i="114" s="1"/>
  <c r="V50" i="114"/>
  <c r="Y50" i="114" s="1"/>
  <c r="W49" i="114"/>
  <c r="Z49" i="114" s="1"/>
  <c r="V49" i="114"/>
  <c r="Y49" i="114" s="1"/>
  <c r="W48" i="114"/>
  <c r="Z48" i="114" s="1"/>
  <c r="V48" i="114"/>
  <c r="Y48" i="114" s="1"/>
  <c r="W47" i="114"/>
  <c r="Z47" i="114" s="1"/>
  <c r="V47" i="114"/>
  <c r="Y47" i="114" s="1"/>
  <c r="W46" i="114"/>
  <c r="Z46" i="114" s="1"/>
  <c r="V46" i="114"/>
  <c r="Y46" i="114" s="1"/>
  <c r="W45" i="114"/>
  <c r="Z45" i="114" s="1"/>
  <c r="V45" i="114"/>
  <c r="Y45" i="114" s="1"/>
  <c r="W44" i="114"/>
  <c r="Z44" i="114" s="1"/>
  <c r="V44" i="114"/>
  <c r="Y44" i="114" s="1"/>
  <c r="W43" i="114"/>
  <c r="V43" i="114"/>
  <c r="W41" i="114"/>
  <c r="Z41" i="114" s="1"/>
  <c r="V41" i="114"/>
  <c r="Y41" i="114" s="1"/>
  <c r="W40" i="114"/>
  <c r="Z40" i="114" s="1"/>
  <c r="V40" i="114"/>
  <c r="Y40" i="114" s="1"/>
  <c r="W39" i="114"/>
  <c r="Z39" i="114" s="1"/>
  <c r="V39" i="114"/>
  <c r="Y39" i="114" s="1"/>
  <c r="W38" i="114"/>
  <c r="Z38" i="114" s="1"/>
  <c r="V38" i="114"/>
  <c r="Y38" i="114" s="1"/>
  <c r="W37" i="114"/>
  <c r="Z37" i="114" s="1"/>
  <c r="V37" i="114"/>
  <c r="Y37" i="114" s="1"/>
  <c r="W36" i="114"/>
  <c r="Z36" i="114" s="1"/>
  <c r="V36" i="114"/>
  <c r="Y36" i="114" s="1"/>
  <c r="W35" i="114"/>
  <c r="Z35" i="114" s="1"/>
  <c r="V35" i="114"/>
  <c r="Y35" i="114" s="1"/>
  <c r="W34" i="114"/>
  <c r="Z34" i="114" s="1"/>
  <c r="V34" i="114"/>
  <c r="Y34" i="114" s="1"/>
  <c r="W33" i="114"/>
  <c r="Z33" i="114" s="1"/>
  <c r="V33" i="114"/>
  <c r="Y33" i="114" s="1"/>
  <c r="W32" i="114"/>
  <c r="Z32" i="114" s="1"/>
  <c r="V32" i="114"/>
  <c r="Y32" i="114" s="1"/>
  <c r="W31" i="114"/>
  <c r="Z31" i="114" s="1"/>
  <c r="V31" i="114"/>
  <c r="Y31" i="114" s="1"/>
  <c r="W30" i="114"/>
  <c r="Z30" i="114" s="1"/>
  <c r="V30" i="114"/>
  <c r="Y30" i="114" s="1"/>
  <c r="W29" i="114"/>
  <c r="Z29" i="114" s="1"/>
  <c r="V29" i="114"/>
  <c r="Y29" i="114" s="1"/>
  <c r="W28" i="114"/>
  <c r="Z28" i="114" s="1"/>
  <c r="V28" i="114"/>
  <c r="Y28" i="114" s="1"/>
  <c r="W27" i="114"/>
  <c r="Z27" i="114" s="1"/>
  <c r="V27" i="114"/>
  <c r="Y27" i="114" s="1"/>
  <c r="W26" i="114"/>
  <c r="Z26" i="114" s="1"/>
  <c r="V26" i="114"/>
  <c r="Y26" i="114" s="1"/>
  <c r="W25" i="114"/>
  <c r="Z25" i="114" s="1"/>
  <c r="V25" i="114"/>
  <c r="Y25" i="114" s="1"/>
  <c r="W24" i="114"/>
  <c r="Z24" i="114" s="1"/>
  <c r="V24" i="114"/>
  <c r="Y24" i="114" s="1"/>
  <c r="W23" i="114"/>
  <c r="Z23" i="114" s="1"/>
  <c r="V23" i="114"/>
  <c r="Y23" i="114" s="1"/>
  <c r="W22" i="114"/>
  <c r="Z22" i="114" s="1"/>
  <c r="V22" i="114"/>
  <c r="Y22" i="114" s="1"/>
  <c r="AB97" i="114"/>
  <c r="AB96" i="114"/>
  <c r="AB95" i="114"/>
  <c r="AB94" i="114"/>
  <c r="AB93" i="114"/>
  <c r="AB92" i="114"/>
  <c r="AB91" i="114"/>
  <c r="AB90" i="114"/>
  <c r="AB89" i="114"/>
  <c r="AB88" i="114"/>
  <c r="AB87" i="114"/>
  <c r="AB86" i="114"/>
  <c r="AB85" i="114"/>
  <c r="AB84" i="114"/>
  <c r="AB83" i="114"/>
  <c r="AB82" i="114"/>
  <c r="AB81" i="114"/>
  <c r="AB80" i="114"/>
  <c r="AB79" i="114"/>
  <c r="AB78" i="114"/>
  <c r="X74" i="114"/>
  <c r="X73" i="114"/>
  <c r="X72" i="114"/>
  <c r="X71" i="114"/>
  <c r="X70" i="114"/>
  <c r="X68" i="114"/>
  <c r="X67" i="114"/>
  <c r="X66" i="114"/>
  <c r="X65" i="114"/>
  <c r="X64" i="114"/>
  <c r="X62" i="114"/>
  <c r="X61" i="114"/>
  <c r="X60" i="114"/>
  <c r="X59" i="114"/>
  <c r="X58" i="114"/>
  <c r="X57" i="114"/>
  <c r="X56" i="114"/>
  <c r="X55" i="114"/>
  <c r="X54" i="114"/>
  <c r="X53" i="114"/>
  <c r="X52" i="114"/>
  <c r="X51" i="114"/>
  <c r="X50" i="114"/>
  <c r="X49" i="114"/>
  <c r="X48" i="114"/>
  <c r="X47" i="114"/>
  <c r="X46" i="114"/>
  <c r="X45" i="114"/>
  <c r="X44" i="114"/>
  <c r="X43" i="114"/>
  <c r="X41" i="114"/>
  <c r="X40" i="114"/>
  <c r="X39" i="114"/>
  <c r="X38" i="114"/>
  <c r="X37" i="114"/>
  <c r="X36" i="114"/>
  <c r="X35" i="114"/>
  <c r="X34" i="114"/>
  <c r="X33" i="114"/>
  <c r="X32" i="114"/>
  <c r="X31" i="114"/>
  <c r="X30" i="114"/>
  <c r="X29" i="114"/>
  <c r="X28" i="114"/>
  <c r="X27" i="114"/>
  <c r="X26" i="114"/>
  <c r="X25" i="114"/>
  <c r="X24" i="114"/>
  <c r="X23" i="114"/>
  <c r="X22" i="114"/>
  <c r="U12" i="114"/>
  <c r="V12" i="114"/>
  <c r="W12" i="114"/>
  <c r="X12" i="114"/>
  <c r="U13" i="114"/>
  <c r="V13" i="114"/>
  <c r="Y13" i="114" s="1"/>
  <c r="W13" i="114"/>
  <c r="Z13" i="114" s="1"/>
  <c r="X13" i="114"/>
  <c r="J14" i="114"/>
  <c r="U14" i="114"/>
  <c r="V14" i="114"/>
  <c r="Y14" i="114" s="1"/>
  <c r="W14" i="114"/>
  <c r="Z14" i="114" s="1"/>
  <c r="X14" i="114"/>
  <c r="U15" i="114"/>
  <c r="V15" i="114"/>
  <c r="Y15" i="114" s="1"/>
  <c r="W15" i="114"/>
  <c r="Z15" i="114" s="1"/>
  <c r="X15" i="114"/>
  <c r="U16" i="114"/>
  <c r="V16" i="114"/>
  <c r="Y16" i="114" s="1"/>
  <c r="W16" i="114"/>
  <c r="Z16" i="114" s="1"/>
  <c r="X16" i="114"/>
  <c r="U17" i="114"/>
  <c r="V17" i="114"/>
  <c r="Y17" i="114" s="1"/>
  <c r="W17" i="114"/>
  <c r="Z17" i="114" s="1"/>
  <c r="X17" i="114"/>
  <c r="U18" i="114"/>
  <c r="V18" i="114"/>
  <c r="Y18" i="114" s="1"/>
  <c r="W18" i="114"/>
  <c r="Z18" i="114" s="1"/>
  <c r="X18" i="114"/>
  <c r="U19" i="114"/>
  <c r="V19" i="114"/>
  <c r="Y19" i="114" s="1"/>
  <c r="W19" i="114"/>
  <c r="Z19" i="114" s="1"/>
  <c r="X19" i="114"/>
  <c r="U20" i="114"/>
  <c r="V20" i="114"/>
  <c r="Y20" i="114" s="1"/>
  <c r="W20" i="114"/>
  <c r="Z20" i="114" s="1"/>
  <c r="X20" i="114"/>
  <c r="U21" i="114"/>
  <c r="V21" i="114"/>
  <c r="Y21" i="114" s="1"/>
  <c r="W21" i="114"/>
  <c r="Z21" i="114" s="1"/>
  <c r="X21" i="114"/>
  <c r="J46" i="114"/>
  <c r="D46" i="114"/>
  <c r="J57" i="114"/>
  <c r="D57" i="114"/>
  <c r="F57" i="114" s="1"/>
  <c r="J52" i="114"/>
  <c r="F52" i="114"/>
  <c r="D52" i="114"/>
  <c r="J22" i="114"/>
  <c r="J30" i="114"/>
  <c r="J38" i="114"/>
  <c r="D47" i="114"/>
  <c r="F47" i="114" s="1"/>
  <c r="D48" i="114"/>
  <c r="F48" i="114" s="1"/>
  <c r="D49" i="114"/>
  <c r="F49" i="114" s="1"/>
  <c r="D50" i="114"/>
  <c r="F50" i="114" s="1"/>
  <c r="D53" i="114"/>
  <c r="F53" i="114"/>
  <c r="D54" i="114"/>
  <c r="F54" i="114"/>
  <c r="D55" i="114"/>
  <c r="F55" i="114"/>
  <c r="D56" i="114"/>
  <c r="F56" i="114"/>
  <c r="D58" i="114"/>
  <c r="F58" i="114" s="1"/>
  <c r="F60" i="114"/>
  <c r="G60" i="114" s="1"/>
  <c r="L60" i="114" s="1"/>
  <c r="T78" i="114"/>
  <c r="T98" i="114" s="1"/>
  <c r="G86" i="114" s="1"/>
  <c r="H81" i="114" s="1"/>
  <c r="Y78" i="114"/>
  <c r="Y98" i="114" s="1"/>
  <c r="J20" i="113"/>
  <c r="AA97" i="113"/>
  <c r="AA96" i="113"/>
  <c r="AA95" i="113"/>
  <c r="AA94" i="113"/>
  <c r="AA93" i="113"/>
  <c r="AA92" i="113"/>
  <c r="AA91" i="113"/>
  <c r="AA90" i="113"/>
  <c r="AA89" i="113"/>
  <c r="AA88" i="113"/>
  <c r="AA87" i="113"/>
  <c r="AA86" i="113"/>
  <c r="AA85" i="113"/>
  <c r="AA84" i="113"/>
  <c r="AA83" i="113"/>
  <c r="AA82" i="113"/>
  <c r="AA81" i="113"/>
  <c r="AA80" i="113"/>
  <c r="AA79" i="113"/>
  <c r="AA78" i="113"/>
  <c r="U74" i="113"/>
  <c r="U73" i="113"/>
  <c r="U72" i="113"/>
  <c r="U71" i="113"/>
  <c r="U70" i="113"/>
  <c r="U68" i="113"/>
  <c r="U67" i="113"/>
  <c r="U66" i="113"/>
  <c r="U65" i="113"/>
  <c r="U64" i="113"/>
  <c r="U62" i="113"/>
  <c r="U61" i="113"/>
  <c r="U60" i="113"/>
  <c r="U59" i="113"/>
  <c r="U58" i="113"/>
  <c r="U57" i="113"/>
  <c r="U56" i="113"/>
  <c r="U55" i="113"/>
  <c r="U54" i="113"/>
  <c r="U53" i="113"/>
  <c r="U52" i="113"/>
  <c r="U51" i="113"/>
  <c r="U50" i="113"/>
  <c r="U49" i="113"/>
  <c r="U48" i="113"/>
  <c r="U47" i="113"/>
  <c r="U46" i="113"/>
  <c r="U45" i="113"/>
  <c r="U44" i="113"/>
  <c r="U43" i="113"/>
  <c r="U41" i="113"/>
  <c r="U40" i="113"/>
  <c r="U39" i="113"/>
  <c r="U38" i="113"/>
  <c r="U37" i="113"/>
  <c r="U36" i="113"/>
  <c r="U35" i="113"/>
  <c r="U34" i="113"/>
  <c r="U33" i="113"/>
  <c r="U32" i="113"/>
  <c r="U31" i="113"/>
  <c r="U30" i="113"/>
  <c r="U29" i="113"/>
  <c r="U28" i="113"/>
  <c r="U27" i="113"/>
  <c r="U26" i="113"/>
  <c r="U25" i="113"/>
  <c r="U24" i="113"/>
  <c r="U23" i="113"/>
  <c r="U22" i="113"/>
  <c r="W74" i="113"/>
  <c r="Z74" i="113" s="1"/>
  <c r="V74" i="113"/>
  <c r="Y74" i="113" s="1"/>
  <c r="W73" i="113"/>
  <c r="Z73" i="113" s="1"/>
  <c r="V73" i="113"/>
  <c r="Y73" i="113" s="1"/>
  <c r="W72" i="113"/>
  <c r="Z72" i="113" s="1"/>
  <c r="V72" i="113"/>
  <c r="Y72" i="113" s="1"/>
  <c r="W71" i="113"/>
  <c r="Z71" i="113" s="1"/>
  <c r="V71" i="113"/>
  <c r="Y71" i="113" s="1"/>
  <c r="W70" i="113"/>
  <c r="V70" i="113"/>
  <c r="W68" i="113"/>
  <c r="Z68" i="113" s="1"/>
  <c r="V68" i="113"/>
  <c r="Y68" i="113" s="1"/>
  <c r="W67" i="113"/>
  <c r="Z67" i="113" s="1"/>
  <c r="V67" i="113"/>
  <c r="Y67" i="113" s="1"/>
  <c r="W66" i="113"/>
  <c r="Z66" i="113" s="1"/>
  <c r="V66" i="113"/>
  <c r="Y66" i="113" s="1"/>
  <c r="W65" i="113"/>
  <c r="Z65" i="113" s="1"/>
  <c r="V65" i="113"/>
  <c r="Y65" i="113" s="1"/>
  <c r="W64" i="113"/>
  <c r="V64" i="113"/>
  <c r="W62" i="113"/>
  <c r="Z62" i="113" s="1"/>
  <c r="V62" i="113"/>
  <c r="Y62" i="113" s="1"/>
  <c r="W61" i="113"/>
  <c r="Z61" i="113" s="1"/>
  <c r="V61" i="113"/>
  <c r="Y61" i="113" s="1"/>
  <c r="W60" i="113"/>
  <c r="Z60" i="113" s="1"/>
  <c r="V60" i="113"/>
  <c r="Y60" i="113" s="1"/>
  <c r="W59" i="113"/>
  <c r="Z59" i="113" s="1"/>
  <c r="V59" i="113"/>
  <c r="Y59" i="113" s="1"/>
  <c r="W58" i="113"/>
  <c r="Z58" i="113" s="1"/>
  <c r="V58" i="113"/>
  <c r="Y58" i="113" s="1"/>
  <c r="W57" i="113"/>
  <c r="Z57" i="113" s="1"/>
  <c r="V57" i="113"/>
  <c r="Y57" i="113" s="1"/>
  <c r="W56" i="113"/>
  <c r="Z56" i="113" s="1"/>
  <c r="V56" i="113"/>
  <c r="Y56" i="113" s="1"/>
  <c r="W55" i="113"/>
  <c r="Z55" i="113" s="1"/>
  <c r="V55" i="113"/>
  <c r="Y55" i="113" s="1"/>
  <c r="W54" i="113"/>
  <c r="Z54" i="113" s="1"/>
  <c r="V54" i="113"/>
  <c r="Y54" i="113" s="1"/>
  <c r="W53" i="113"/>
  <c r="Z53" i="113" s="1"/>
  <c r="V53" i="113"/>
  <c r="Y53" i="113" s="1"/>
  <c r="W52" i="113"/>
  <c r="Z52" i="113" s="1"/>
  <c r="V52" i="113"/>
  <c r="Y52" i="113" s="1"/>
  <c r="W51" i="113"/>
  <c r="Z51" i="113" s="1"/>
  <c r="V51" i="113"/>
  <c r="Y51" i="113" s="1"/>
  <c r="W50" i="113"/>
  <c r="Z50" i="113" s="1"/>
  <c r="V50" i="113"/>
  <c r="Y50" i="113" s="1"/>
  <c r="W49" i="113"/>
  <c r="Z49" i="113" s="1"/>
  <c r="V49" i="113"/>
  <c r="Y49" i="113" s="1"/>
  <c r="W48" i="113"/>
  <c r="Z48" i="113" s="1"/>
  <c r="V48" i="113"/>
  <c r="Y48" i="113" s="1"/>
  <c r="W47" i="113"/>
  <c r="Z47" i="113" s="1"/>
  <c r="V47" i="113"/>
  <c r="Y47" i="113" s="1"/>
  <c r="W46" i="113"/>
  <c r="Z46" i="113" s="1"/>
  <c r="V46" i="113"/>
  <c r="Y46" i="113" s="1"/>
  <c r="W45" i="113"/>
  <c r="Z45" i="113" s="1"/>
  <c r="V45" i="113"/>
  <c r="Y45" i="113" s="1"/>
  <c r="W44" i="113"/>
  <c r="Z44" i="113" s="1"/>
  <c r="V44" i="113"/>
  <c r="Y44" i="113" s="1"/>
  <c r="W43" i="113"/>
  <c r="V43" i="113"/>
  <c r="W41" i="113"/>
  <c r="Z41" i="113" s="1"/>
  <c r="V41" i="113"/>
  <c r="Y41" i="113" s="1"/>
  <c r="W40" i="113"/>
  <c r="Z40" i="113" s="1"/>
  <c r="V40" i="113"/>
  <c r="Y40" i="113" s="1"/>
  <c r="W39" i="113"/>
  <c r="Z39" i="113" s="1"/>
  <c r="V39" i="113"/>
  <c r="Y39" i="113" s="1"/>
  <c r="W38" i="113"/>
  <c r="Z38" i="113" s="1"/>
  <c r="V38" i="113"/>
  <c r="Y38" i="113" s="1"/>
  <c r="W37" i="113"/>
  <c r="Z37" i="113" s="1"/>
  <c r="V37" i="113"/>
  <c r="Y37" i="113" s="1"/>
  <c r="W36" i="113"/>
  <c r="Z36" i="113" s="1"/>
  <c r="V36" i="113"/>
  <c r="Y36" i="113" s="1"/>
  <c r="W35" i="113"/>
  <c r="Z35" i="113" s="1"/>
  <c r="V35" i="113"/>
  <c r="Y35" i="113" s="1"/>
  <c r="W34" i="113"/>
  <c r="Z34" i="113" s="1"/>
  <c r="V34" i="113"/>
  <c r="Y34" i="113" s="1"/>
  <c r="W33" i="113"/>
  <c r="Z33" i="113" s="1"/>
  <c r="V33" i="113"/>
  <c r="Y33" i="113" s="1"/>
  <c r="W32" i="113"/>
  <c r="Z32" i="113" s="1"/>
  <c r="V32" i="113"/>
  <c r="Y32" i="113" s="1"/>
  <c r="W31" i="113"/>
  <c r="Z31" i="113" s="1"/>
  <c r="V31" i="113"/>
  <c r="Y31" i="113" s="1"/>
  <c r="W30" i="113"/>
  <c r="Z30" i="113" s="1"/>
  <c r="V30" i="113"/>
  <c r="Y30" i="113" s="1"/>
  <c r="W29" i="113"/>
  <c r="Z29" i="113" s="1"/>
  <c r="V29" i="113"/>
  <c r="Y29" i="113" s="1"/>
  <c r="W28" i="113"/>
  <c r="Z28" i="113" s="1"/>
  <c r="V28" i="113"/>
  <c r="Y28" i="113" s="1"/>
  <c r="W27" i="113"/>
  <c r="Z27" i="113" s="1"/>
  <c r="V27" i="113"/>
  <c r="Y27" i="113" s="1"/>
  <c r="W26" i="113"/>
  <c r="Z26" i="113" s="1"/>
  <c r="V26" i="113"/>
  <c r="Y26" i="113" s="1"/>
  <c r="W25" i="113"/>
  <c r="Z25" i="113" s="1"/>
  <c r="V25" i="113"/>
  <c r="Y25" i="113" s="1"/>
  <c r="W24" i="113"/>
  <c r="Z24" i="113" s="1"/>
  <c r="V24" i="113"/>
  <c r="Y24" i="113" s="1"/>
  <c r="W23" i="113"/>
  <c r="Z23" i="113" s="1"/>
  <c r="V23" i="113"/>
  <c r="Y23" i="113" s="1"/>
  <c r="W22" i="113"/>
  <c r="Z22" i="113" s="1"/>
  <c r="V22" i="113"/>
  <c r="Y22" i="113" s="1"/>
  <c r="AB97" i="113"/>
  <c r="AB96" i="113"/>
  <c r="AB95" i="113"/>
  <c r="AB94" i="113"/>
  <c r="AB93" i="113"/>
  <c r="AB92" i="113"/>
  <c r="AB91" i="113"/>
  <c r="AB90" i="113"/>
  <c r="AB89" i="113"/>
  <c r="AB88" i="113"/>
  <c r="AB87" i="113"/>
  <c r="AB86" i="113"/>
  <c r="AB85" i="113"/>
  <c r="AB84" i="113"/>
  <c r="AB83" i="113"/>
  <c r="AB82" i="113"/>
  <c r="AB81" i="113"/>
  <c r="AB80" i="113"/>
  <c r="AB79" i="113"/>
  <c r="AB78" i="113"/>
  <c r="X74" i="113"/>
  <c r="X73" i="113"/>
  <c r="X72" i="113"/>
  <c r="X71" i="113"/>
  <c r="X70" i="113"/>
  <c r="X68" i="113"/>
  <c r="X67" i="113"/>
  <c r="X66" i="113"/>
  <c r="X65" i="113"/>
  <c r="X64" i="113"/>
  <c r="X62" i="113"/>
  <c r="X61" i="113"/>
  <c r="X60" i="113"/>
  <c r="X59" i="113"/>
  <c r="X58" i="113"/>
  <c r="X57" i="113"/>
  <c r="X56" i="113"/>
  <c r="X55" i="113"/>
  <c r="X54" i="113"/>
  <c r="X53" i="113"/>
  <c r="X52" i="113"/>
  <c r="X51" i="113"/>
  <c r="X50" i="113"/>
  <c r="X49" i="113"/>
  <c r="X48" i="113"/>
  <c r="X47" i="113"/>
  <c r="X46" i="113"/>
  <c r="X45" i="113"/>
  <c r="X44" i="113"/>
  <c r="X43" i="113"/>
  <c r="X41" i="113"/>
  <c r="X40" i="113"/>
  <c r="X39" i="113"/>
  <c r="X38" i="113"/>
  <c r="X37" i="113"/>
  <c r="X36" i="113"/>
  <c r="X35" i="113"/>
  <c r="X34" i="113"/>
  <c r="X33" i="113"/>
  <c r="X32" i="113"/>
  <c r="X31" i="113"/>
  <c r="X30" i="113"/>
  <c r="X29" i="113"/>
  <c r="X28" i="113"/>
  <c r="X27" i="113"/>
  <c r="X26" i="113"/>
  <c r="X25" i="113"/>
  <c r="X24" i="113"/>
  <c r="X23" i="113"/>
  <c r="X22" i="113"/>
  <c r="U12" i="113"/>
  <c r="V12" i="113"/>
  <c r="W12" i="113"/>
  <c r="X12" i="113"/>
  <c r="U13" i="113"/>
  <c r="V13" i="113"/>
  <c r="Y13" i="113" s="1"/>
  <c r="W13" i="113"/>
  <c r="Z13" i="113" s="1"/>
  <c r="X13" i="113"/>
  <c r="J14" i="113"/>
  <c r="U14" i="113"/>
  <c r="V14" i="113"/>
  <c r="Y14" i="113" s="1"/>
  <c r="W14" i="113"/>
  <c r="Z14" i="113" s="1"/>
  <c r="X14" i="113"/>
  <c r="U15" i="113"/>
  <c r="V15" i="113"/>
  <c r="Y15" i="113" s="1"/>
  <c r="W15" i="113"/>
  <c r="Z15" i="113" s="1"/>
  <c r="X15" i="113"/>
  <c r="U16" i="113"/>
  <c r="V16" i="113"/>
  <c r="Y16" i="113" s="1"/>
  <c r="W16" i="113"/>
  <c r="Z16" i="113" s="1"/>
  <c r="X16" i="113"/>
  <c r="U17" i="113"/>
  <c r="V17" i="113"/>
  <c r="Y17" i="113" s="1"/>
  <c r="W17" i="113"/>
  <c r="Z17" i="113" s="1"/>
  <c r="X17" i="113"/>
  <c r="U18" i="113"/>
  <c r="V18" i="113"/>
  <c r="Y18" i="113" s="1"/>
  <c r="W18" i="113"/>
  <c r="Z18" i="113" s="1"/>
  <c r="X18" i="113"/>
  <c r="U19" i="113"/>
  <c r="V19" i="113"/>
  <c r="Y19" i="113" s="1"/>
  <c r="W19" i="113"/>
  <c r="Z19" i="113" s="1"/>
  <c r="X19" i="113"/>
  <c r="U20" i="113"/>
  <c r="V20" i="113"/>
  <c r="Y20" i="113" s="1"/>
  <c r="W20" i="113"/>
  <c r="Z20" i="113" s="1"/>
  <c r="X20" i="113"/>
  <c r="U21" i="113"/>
  <c r="V21" i="113"/>
  <c r="Y21" i="113" s="1"/>
  <c r="W21" i="113"/>
  <c r="Z21" i="113" s="1"/>
  <c r="X21" i="113"/>
  <c r="J46" i="113"/>
  <c r="D46" i="113"/>
  <c r="J57" i="113"/>
  <c r="D57" i="113"/>
  <c r="F57" i="113" s="1"/>
  <c r="J52" i="113"/>
  <c r="F52" i="113"/>
  <c r="D52" i="113"/>
  <c r="J22" i="113"/>
  <c r="J30" i="113"/>
  <c r="J38" i="113"/>
  <c r="D47" i="113"/>
  <c r="F47" i="113" s="1"/>
  <c r="D48" i="113"/>
  <c r="F48" i="113" s="1"/>
  <c r="D49" i="113"/>
  <c r="F49" i="113" s="1"/>
  <c r="D50" i="113"/>
  <c r="F50" i="113" s="1"/>
  <c r="D53" i="113"/>
  <c r="F53" i="113"/>
  <c r="D54" i="113"/>
  <c r="F54" i="113"/>
  <c r="D55" i="113"/>
  <c r="F55" i="113"/>
  <c r="D56" i="113"/>
  <c r="F56" i="113"/>
  <c r="D58" i="113"/>
  <c r="F58" i="113" s="1"/>
  <c r="F60" i="113"/>
  <c r="G60" i="113" s="1"/>
  <c r="L60" i="113" s="1"/>
  <c r="T78" i="113"/>
  <c r="T98" i="113" s="1"/>
  <c r="G86" i="113" s="1"/>
  <c r="H81" i="113" s="1"/>
  <c r="Y78" i="113"/>
  <c r="Y98" i="113" s="1"/>
  <c r="B65" i="112"/>
  <c r="B71" i="112" s="1"/>
  <c r="J20" i="112"/>
  <c r="AA97" i="112"/>
  <c r="AA96" i="112"/>
  <c r="AA95" i="112"/>
  <c r="AA94" i="112"/>
  <c r="AA93" i="112"/>
  <c r="AA92" i="112"/>
  <c r="AA91" i="112"/>
  <c r="AA90" i="112"/>
  <c r="AA89" i="112"/>
  <c r="AA88" i="112"/>
  <c r="AA87" i="112"/>
  <c r="AA86" i="112"/>
  <c r="AA85" i="112"/>
  <c r="AA84" i="112"/>
  <c r="AA83" i="112"/>
  <c r="AA82" i="112"/>
  <c r="AA81" i="112"/>
  <c r="AA80" i="112"/>
  <c r="AA79" i="112"/>
  <c r="AA78" i="112"/>
  <c r="U74" i="112"/>
  <c r="U73" i="112"/>
  <c r="U72" i="112"/>
  <c r="U71" i="112"/>
  <c r="U70" i="112"/>
  <c r="U68" i="112"/>
  <c r="U67" i="112"/>
  <c r="U66" i="112"/>
  <c r="U65" i="112"/>
  <c r="U64" i="112"/>
  <c r="U62" i="112"/>
  <c r="U61" i="112"/>
  <c r="U60" i="112"/>
  <c r="U59" i="112"/>
  <c r="U58" i="112"/>
  <c r="U57" i="112"/>
  <c r="U56" i="112"/>
  <c r="U55" i="112"/>
  <c r="U54" i="112"/>
  <c r="U53" i="112"/>
  <c r="U52" i="112"/>
  <c r="U51" i="112"/>
  <c r="U50" i="112"/>
  <c r="U49" i="112"/>
  <c r="U48" i="112"/>
  <c r="U47" i="112"/>
  <c r="U46" i="112"/>
  <c r="U45" i="112"/>
  <c r="U44" i="112"/>
  <c r="U43" i="112"/>
  <c r="U41" i="112"/>
  <c r="U40" i="112"/>
  <c r="U39" i="112"/>
  <c r="U38" i="112"/>
  <c r="U37" i="112"/>
  <c r="U36" i="112"/>
  <c r="U35" i="112"/>
  <c r="U34" i="112"/>
  <c r="U33" i="112"/>
  <c r="U32" i="112"/>
  <c r="U31" i="112"/>
  <c r="U30" i="112"/>
  <c r="U29" i="112"/>
  <c r="U28" i="112"/>
  <c r="U27" i="112"/>
  <c r="U26" i="112"/>
  <c r="U25" i="112"/>
  <c r="U24" i="112"/>
  <c r="U23" i="112"/>
  <c r="U22" i="112"/>
  <c r="W74" i="112"/>
  <c r="Z74" i="112" s="1"/>
  <c r="V74" i="112"/>
  <c r="Y74" i="112" s="1"/>
  <c r="W73" i="112"/>
  <c r="Z73" i="112" s="1"/>
  <c r="V73" i="112"/>
  <c r="Y73" i="112" s="1"/>
  <c r="W72" i="112"/>
  <c r="Z72" i="112" s="1"/>
  <c r="V72" i="112"/>
  <c r="Y72" i="112" s="1"/>
  <c r="W71" i="112"/>
  <c r="Z71" i="112" s="1"/>
  <c r="V71" i="112"/>
  <c r="Y71" i="112" s="1"/>
  <c r="W70" i="112"/>
  <c r="V70" i="112"/>
  <c r="W68" i="112"/>
  <c r="Z68" i="112" s="1"/>
  <c r="V68" i="112"/>
  <c r="Y68" i="112" s="1"/>
  <c r="W67" i="112"/>
  <c r="Z67" i="112" s="1"/>
  <c r="V67" i="112"/>
  <c r="Y67" i="112" s="1"/>
  <c r="W66" i="112"/>
  <c r="Z66" i="112" s="1"/>
  <c r="V66" i="112"/>
  <c r="Y66" i="112" s="1"/>
  <c r="W65" i="112"/>
  <c r="Z65" i="112" s="1"/>
  <c r="V65" i="112"/>
  <c r="Y65" i="112" s="1"/>
  <c r="W64" i="112"/>
  <c r="V64" i="112"/>
  <c r="W62" i="112"/>
  <c r="Z62" i="112" s="1"/>
  <c r="V62" i="112"/>
  <c r="Y62" i="112" s="1"/>
  <c r="W61" i="112"/>
  <c r="Z61" i="112" s="1"/>
  <c r="V61" i="112"/>
  <c r="Y61" i="112" s="1"/>
  <c r="W60" i="112"/>
  <c r="Z60" i="112" s="1"/>
  <c r="V60" i="112"/>
  <c r="Y60" i="112" s="1"/>
  <c r="W59" i="112"/>
  <c r="Z59" i="112" s="1"/>
  <c r="V59" i="112"/>
  <c r="Y59" i="112" s="1"/>
  <c r="W58" i="112"/>
  <c r="Z58" i="112" s="1"/>
  <c r="V58" i="112"/>
  <c r="Y58" i="112" s="1"/>
  <c r="W57" i="112"/>
  <c r="Z57" i="112" s="1"/>
  <c r="V57" i="112"/>
  <c r="Y57" i="112" s="1"/>
  <c r="W56" i="112"/>
  <c r="Z56" i="112" s="1"/>
  <c r="V56" i="112"/>
  <c r="Y56" i="112" s="1"/>
  <c r="W55" i="112"/>
  <c r="Z55" i="112" s="1"/>
  <c r="V55" i="112"/>
  <c r="Y55" i="112" s="1"/>
  <c r="W54" i="112"/>
  <c r="Z54" i="112" s="1"/>
  <c r="V54" i="112"/>
  <c r="Y54" i="112" s="1"/>
  <c r="W53" i="112"/>
  <c r="Z53" i="112" s="1"/>
  <c r="V53" i="112"/>
  <c r="Y53" i="112" s="1"/>
  <c r="W52" i="112"/>
  <c r="Z52" i="112" s="1"/>
  <c r="V52" i="112"/>
  <c r="Y52" i="112" s="1"/>
  <c r="W51" i="112"/>
  <c r="Z51" i="112" s="1"/>
  <c r="V51" i="112"/>
  <c r="Y51" i="112" s="1"/>
  <c r="W50" i="112"/>
  <c r="Z50" i="112" s="1"/>
  <c r="V50" i="112"/>
  <c r="Y50" i="112" s="1"/>
  <c r="W49" i="112"/>
  <c r="Z49" i="112" s="1"/>
  <c r="V49" i="112"/>
  <c r="Y49" i="112" s="1"/>
  <c r="W48" i="112"/>
  <c r="Z48" i="112" s="1"/>
  <c r="V48" i="112"/>
  <c r="Y48" i="112" s="1"/>
  <c r="W47" i="112"/>
  <c r="Z47" i="112" s="1"/>
  <c r="V47" i="112"/>
  <c r="Y47" i="112" s="1"/>
  <c r="W46" i="112"/>
  <c r="Z46" i="112" s="1"/>
  <c r="V46" i="112"/>
  <c r="Y46" i="112" s="1"/>
  <c r="W45" i="112"/>
  <c r="Z45" i="112" s="1"/>
  <c r="V45" i="112"/>
  <c r="Y45" i="112" s="1"/>
  <c r="W44" i="112"/>
  <c r="Z44" i="112" s="1"/>
  <c r="V44" i="112"/>
  <c r="Y44" i="112" s="1"/>
  <c r="W43" i="112"/>
  <c r="V43" i="112"/>
  <c r="W41" i="112"/>
  <c r="Z41" i="112" s="1"/>
  <c r="V41" i="112"/>
  <c r="Y41" i="112" s="1"/>
  <c r="W40" i="112"/>
  <c r="Z40" i="112" s="1"/>
  <c r="V40" i="112"/>
  <c r="Y40" i="112" s="1"/>
  <c r="W39" i="112"/>
  <c r="Z39" i="112" s="1"/>
  <c r="V39" i="112"/>
  <c r="Y39" i="112" s="1"/>
  <c r="W38" i="112"/>
  <c r="Z38" i="112" s="1"/>
  <c r="V38" i="112"/>
  <c r="Y38" i="112" s="1"/>
  <c r="W37" i="112"/>
  <c r="Z37" i="112" s="1"/>
  <c r="V37" i="112"/>
  <c r="Y37" i="112" s="1"/>
  <c r="W36" i="112"/>
  <c r="Z36" i="112" s="1"/>
  <c r="V36" i="112"/>
  <c r="Y36" i="112" s="1"/>
  <c r="W35" i="112"/>
  <c r="Z35" i="112" s="1"/>
  <c r="V35" i="112"/>
  <c r="Y35" i="112" s="1"/>
  <c r="W34" i="112"/>
  <c r="Z34" i="112" s="1"/>
  <c r="V34" i="112"/>
  <c r="Y34" i="112" s="1"/>
  <c r="W33" i="112"/>
  <c r="Z33" i="112" s="1"/>
  <c r="V33" i="112"/>
  <c r="Y33" i="112" s="1"/>
  <c r="W32" i="112"/>
  <c r="Z32" i="112" s="1"/>
  <c r="V32" i="112"/>
  <c r="Y32" i="112" s="1"/>
  <c r="W31" i="112"/>
  <c r="Z31" i="112" s="1"/>
  <c r="V31" i="112"/>
  <c r="Y31" i="112" s="1"/>
  <c r="W30" i="112"/>
  <c r="Z30" i="112" s="1"/>
  <c r="V30" i="112"/>
  <c r="Y30" i="112" s="1"/>
  <c r="W29" i="112"/>
  <c r="Z29" i="112" s="1"/>
  <c r="V29" i="112"/>
  <c r="Y29" i="112" s="1"/>
  <c r="W28" i="112"/>
  <c r="Z28" i="112" s="1"/>
  <c r="V28" i="112"/>
  <c r="Y28" i="112" s="1"/>
  <c r="W27" i="112"/>
  <c r="Z27" i="112" s="1"/>
  <c r="V27" i="112"/>
  <c r="Y27" i="112" s="1"/>
  <c r="W26" i="112"/>
  <c r="Z26" i="112" s="1"/>
  <c r="V26" i="112"/>
  <c r="Y26" i="112" s="1"/>
  <c r="W25" i="112"/>
  <c r="Z25" i="112" s="1"/>
  <c r="V25" i="112"/>
  <c r="Y25" i="112" s="1"/>
  <c r="W24" i="112"/>
  <c r="Z24" i="112" s="1"/>
  <c r="V24" i="112"/>
  <c r="Y24" i="112" s="1"/>
  <c r="W23" i="112"/>
  <c r="Z23" i="112" s="1"/>
  <c r="V23" i="112"/>
  <c r="Y23" i="112" s="1"/>
  <c r="W22" i="112"/>
  <c r="Z22" i="112" s="1"/>
  <c r="V22" i="112"/>
  <c r="Y22" i="112" s="1"/>
  <c r="AB97" i="112"/>
  <c r="AB96" i="112"/>
  <c r="AB95" i="112"/>
  <c r="AB94" i="112"/>
  <c r="AB93" i="112"/>
  <c r="AB92" i="112"/>
  <c r="AB91" i="112"/>
  <c r="AB90" i="112"/>
  <c r="AB89" i="112"/>
  <c r="AB88" i="112"/>
  <c r="AB87" i="112"/>
  <c r="AB86" i="112"/>
  <c r="AB85" i="112"/>
  <c r="AB84" i="112"/>
  <c r="AB83" i="112"/>
  <c r="AB82" i="112"/>
  <c r="AB81" i="112"/>
  <c r="AB80" i="112"/>
  <c r="AB79" i="112"/>
  <c r="AB78" i="112"/>
  <c r="X74" i="112"/>
  <c r="X73" i="112"/>
  <c r="X72" i="112"/>
  <c r="X71" i="112"/>
  <c r="X70" i="112"/>
  <c r="X68" i="112"/>
  <c r="X67" i="112"/>
  <c r="X66" i="112"/>
  <c r="X65" i="112"/>
  <c r="X64" i="112"/>
  <c r="X62" i="112"/>
  <c r="X61" i="112"/>
  <c r="X60" i="112"/>
  <c r="X59" i="112"/>
  <c r="X58" i="112"/>
  <c r="X57" i="112"/>
  <c r="X56" i="112"/>
  <c r="X55" i="112"/>
  <c r="X54" i="112"/>
  <c r="X53" i="112"/>
  <c r="X52" i="112"/>
  <c r="X51" i="112"/>
  <c r="X50" i="112"/>
  <c r="X49" i="112"/>
  <c r="X48" i="112"/>
  <c r="X47" i="112"/>
  <c r="X46" i="112"/>
  <c r="X45" i="112"/>
  <c r="X44" i="112"/>
  <c r="X43" i="112"/>
  <c r="X41" i="112"/>
  <c r="X40" i="112"/>
  <c r="X39" i="112"/>
  <c r="X38" i="112"/>
  <c r="X37" i="112"/>
  <c r="X36" i="112"/>
  <c r="X35" i="112"/>
  <c r="X34" i="112"/>
  <c r="X33" i="112"/>
  <c r="X32" i="112"/>
  <c r="X31" i="112"/>
  <c r="X30" i="112"/>
  <c r="X29" i="112"/>
  <c r="X28" i="112"/>
  <c r="X27" i="112"/>
  <c r="X26" i="112"/>
  <c r="X25" i="112"/>
  <c r="X24" i="112"/>
  <c r="X23" i="112"/>
  <c r="X22" i="112"/>
  <c r="U12" i="112"/>
  <c r="V12" i="112"/>
  <c r="W12" i="112"/>
  <c r="X12" i="112"/>
  <c r="U13" i="112"/>
  <c r="V13" i="112"/>
  <c r="Y13" i="112" s="1"/>
  <c r="W13" i="112"/>
  <c r="Z13" i="112" s="1"/>
  <c r="X13" i="112"/>
  <c r="J14" i="112"/>
  <c r="U14" i="112"/>
  <c r="V14" i="112"/>
  <c r="Y14" i="112" s="1"/>
  <c r="W14" i="112"/>
  <c r="Z14" i="112" s="1"/>
  <c r="X14" i="112"/>
  <c r="U15" i="112"/>
  <c r="V15" i="112"/>
  <c r="Y15" i="112" s="1"/>
  <c r="W15" i="112"/>
  <c r="Z15" i="112" s="1"/>
  <c r="X15" i="112"/>
  <c r="U16" i="112"/>
  <c r="V16" i="112"/>
  <c r="Y16" i="112" s="1"/>
  <c r="W16" i="112"/>
  <c r="Z16" i="112" s="1"/>
  <c r="X16" i="112"/>
  <c r="U17" i="112"/>
  <c r="V17" i="112"/>
  <c r="Y17" i="112" s="1"/>
  <c r="W17" i="112"/>
  <c r="Z17" i="112" s="1"/>
  <c r="X17" i="112"/>
  <c r="U18" i="112"/>
  <c r="V18" i="112"/>
  <c r="Y18" i="112" s="1"/>
  <c r="W18" i="112"/>
  <c r="Z18" i="112" s="1"/>
  <c r="X18" i="112"/>
  <c r="U19" i="112"/>
  <c r="V19" i="112"/>
  <c r="Y19" i="112" s="1"/>
  <c r="W19" i="112"/>
  <c r="Z19" i="112" s="1"/>
  <c r="X19" i="112"/>
  <c r="U20" i="112"/>
  <c r="V20" i="112"/>
  <c r="Y20" i="112" s="1"/>
  <c r="W20" i="112"/>
  <c r="Z20" i="112" s="1"/>
  <c r="X20" i="112"/>
  <c r="U21" i="112"/>
  <c r="V21" i="112"/>
  <c r="Y21" i="112" s="1"/>
  <c r="W21" i="112"/>
  <c r="Z21" i="112" s="1"/>
  <c r="X21" i="112"/>
  <c r="J46" i="112"/>
  <c r="D46" i="112"/>
  <c r="J57" i="112"/>
  <c r="D57" i="112"/>
  <c r="F57" i="112" s="1"/>
  <c r="J52" i="112"/>
  <c r="F52" i="112"/>
  <c r="D52" i="112"/>
  <c r="J22" i="112"/>
  <c r="J30" i="112"/>
  <c r="J38" i="112"/>
  <c r="D47" i="112"/>
  <c r="F47" i="112" s="1"/>
  <c r="D48" i="112"/>
  <c r="F48" i="112" s="1"/>
  <c r="D49" i="112"/>
  <c r="F49" i="112" s="1"/>
  <c r="D50" i="112"/>
  <c r="F50" i="112" s="1"/>
  <c r="D51" i="112"/>
  <c r="F51" i="112" s="1"/>
  <c r="D53" i="112"/>
  <c r="F53" i="112"/>
  <c r="D54" i="112"/>
  <c r="F54" i="112"/>
  <c r="D55" i="112"/>
  <c r="F55" i="112"/>
  <c r="D56" i="112"/>
  <c r="F56" i="112"/>
  <c r="D58" i="112"/>
  <c r="F58" i="112" s="1"/>
  <c r="F60" i="112"/>
  <c r="G60" i="112" s="1"/>
  <c r="L60" i="112" s="1"/>
  <c r="T78" i="112"/>
  <c r="T98" i="112" s="1"/>
  <c r="G86" i="112" s="1"/>
  <c r="H81" i="112" s="1"/>
  <c r="Y78" i="112"/>
  <c r="Y98" i="112" s="1"/>
  <c r="J20" i="111"/>
  <c r="AA97" i="111"/>
  <c r="AA96" i="111"/>
  <c r="AA95" i="111"/>
  <c r="AA94" i="111"/>
  <c r="AA93" i="111"/>
  <c r="AA92" i="111"/>
  <c r="AA91" i="111"/>
  <c r="AA90" i="111"/>
  <c r="AA89" i="111"/>
  <c r="AA88" i="111"/>
  <c r="AA87" i="111"/>
  <c r="AA86" i="111"/>
  <c r="AA85" i="111"/>
  <c r="AA84" i="111"/>
  <c r="AA83" i="111"/>
  <c r="AA82" i="111"/>
  <c r="AA81" i="111"/>
  <c r="AA80" i="111"/>
  <c r="AA79" i="111"/>
  <c r="AA78" i="111"/>
  <c r="U74" i="111"/>
  <c r="U73" i="111"/>
  <c r="U72" i="111"/>
  <c r="U71" i="111"/>
  <c r="U70" i="111"/>
  <c r="U68" i="111"/>
  <c r="U67" i="111"/>
  <c r="U66" i="111"/>
  <c r="U65" i="111"/>
  <c r="U64" i="111"/>
  <c r="U62" i="111"/>
  <c r="U61" i="111"/>
  <c r="U60" i="111"/>
  <c r="U59" i="111"/>
  <c r="U58" i="111"/>
  <c r="U57" i="111"/>
  <c r="U56" i="111"/>
  <c r="U55" i="111"/>
  <c r="U54" i="111"/>
  <c r="U53" i="111"/>
  <c r="U52" i="111"/>
  <c r="U51" i="111"/>
  <c r="U50" i="111"/>
  <c r="U49" i="111"/>
  <c r="U48" i="111"/>
  <c r="U47" i="111"/>
  <c r="U46" i="111"/>
  <c r="U45" i="111"/>
  <c r="U44" i="111"/>
  <c r="U43" i="111"/>
  <c r="U41" i="111"/>
  <c r="U40" i="111"/>
  <c r="U39" i="111"/>
  <c r="U38" i="111"/>
  <c r="U37" i="111"/>
  <c r="U36" i="111"/>
  <c r="U35" i="111"/>
  <c r="U34" i="111"/>
  <c r="U33" i="111"/>
  <c r="U32" i="111"/>
  <c r="U31" i="111"/>
  <c r="U30" i="111"/>
  <c r="U29" i="111"/>
  <c r="U28" i="111"/>
  <c r="U27" i="111"/>
  <c r="U26" i="111"/>
  <c r="U25" i="111"/>
  <c r="U24" i="111"/>
  <c r="U23" i="111"/>
  <c r="U22" i="111"/>
  <c r="W74" i="111"/>
  <c r="Z74" i="111" s="1"/>
  <c r="V74" i="111"/>
  <c r="Y74" i="111" s="1"/>
  <c r="W73" i="111"/>
  <c r="Z73" i="111" s="1"/>
  <c r="V73" i="111"/>
  <c r="Y73" i="111" s="1"/>
  <c r="W72" i="111"/>
  <c r="Z72" i="111" s="1"/>
  <c r="V72" i="111"/>
  <c r="Y72" i="111" s="1"/>
  <c r="W71" i="111"/>
  <c r="Z71" i="111" s="1"/>
  <c r="V71" i="111"/>
  <c r="Y71" i="111" s="1"/>
  <c r="W70" i="111"/>
  <c r="V70" i="111"/>
  <c r="W68" i="111"/>
  <c r="Z68" i="111" s="1"/>
  <c r="V68" i="111"/>
  <c r="Y68" i="111" s="1"/>
  <c r="W67" i="111"/>
  <c r="Z67" i="111" s="1"/>
  <c r="V67" i="111"/>
  <c r="Y67" i="111" s="1"/>
  <c r="W66" i="111"/>
  <c r="Z66" i="111" s="1"/>
  <c r="V66" i="111"/>
  <c r="Y66" i="111" s="1"/>
  <c r="W65" i="111"/>
  <c r="Z65" i="111" s="1"/>
  <c r="V65" i="111"/>
  <c r="Y65" i="111" s="1"/>
  <c r="W64" i="111"/>
  <c r="V64" i="111"/>
  <c r="W62" i="111"/>
  <c r="Z62" i="111" s="1"/>
  <c r="V62" i="111"/>
  <c r="Y62" i="111" s="1"/>
  <c r="W61" i="111"/>
  <c r="Z61" i="111" s="1"/>
  <c r="V61" i="111"/>
  <c r="Y61" i="111" s="1"/>
  <c r="W60" i="111"/>
  <c r="Z60" i="111" s="1"/>
  <c r="V60" i="111"/>
  <c r="Y60" i="111" s="1"/>
  <c r="W59" i="111"/>
  <c r="Z59" i="111" s="1"/>
  <c r="V59" i="111"/>
  <c r="Y59" i="111" s="1"/>
  <c r="W58" i="111"/>
  <c r="Z58" i="111" s="1"/>
  <c r="V58" i="111"/>
  <c r="Y58" i="111" s="1"/>
  <c r="W57" i="111"/>
  <c r="Z57" i="111" s="1"/>
  <c r="V57" i="111"/>
  <c r="Y57" i="111" s="1"/>
  <c r="W56" i="111"/>
  <c r="Z56" i="111" s="1"/>
  <c r="V56" i="111"/>
  <c r="Y56" i="111" s="1"/>
  <c r="W55" i="111"/>
  <c r="Z55" i="111" s="1"/>
  <c r="V55" i="111"/>
  <c r="Y55" i="111" s="1"/>
  <c r="W54" i="111"/>
  <c r="Z54" i="111" s="1"/>
  <c r="V54" i="111"/>
  <c r="Y54" i="111" s="1"/>
  <c r="W53" i="111"/>
  <c r="Z53" i="111" s="1"/>
  <c r="V53" i="111"/>
  <c r="Y53" i="111" s="1"/>
  <c r="W52" i="111"/>
  <c r="Z52" i="111" s="1"/>
  <c r="V52" i="111"/>
  <c r="Y52" i="111" s="1"/>
  <c r="W51" i="111"/>
  <c r="Z51" i="111" s="1"/>
  <c r="V51" i="111"/>
  <c r="Y51" i="111" s="1"/>
  <c r="W50" i="111"/>
  <c r="Z50" i="111" s="1"/>
  <c r="V50" i="111"/>
  <c r="Y50" i="111" s="1"/>
  <c r="W49" i="111"/>
  <c r="Z49" i="111" s="1"/>
  <c r="V49" i="111"/>
  <c r="Y49" i="111" s="1"/>
  <c r="W48" i="111"/>
  <c r="Z48" i="111" s="1"/>
  <c r="V48" i="111"/>
  <c r="Y48" i="111" s="1"/>
  <c r="W47" i="111"/>
  <c r="Z47" i="111" s="1"/>
  <c r="V47" i="111"/>
  <c r="Y47" i="111" s="1"/>
  <c r="W46" i="111"/>
  <c r="Z46" i="111" s="1"/>
  <c r="V46" i="111"/>
  <c r="Y46" i="111" s="1"/>
  <c r="W45" i="111"/>
  <c r="Z45" i="111" s="1"/>
  <c r="V45" i="111"/>
  <c r="Y45" i="111" s="1"/>
  <c r="W44" i="111"/>
  <c r="Z44" i="111" s="1"/>
  <c r="V44" i="111"/>
  <c r="Y44" i="111" s="1"/>
  <c r="W43" i="111"/>
  <c r="V43" i="111"/>
  <c r="W41" i="111"/>
  <c r="Z41" i="111" s="1"/>
  <c r="V41" i="111"/>
  <c r="Y41" i="111" s="1"/>
  <c r="W40" i="111"/>
  <c r="Z40" i="111" s="1"/>
  <c r="V40" i="111"/>
  <c r="Y40" i="111" s="1"/>
  <c r="W39" i="111"/>
  <c r="Z39" i="111" s="1"/>
  <c r="V39" i="111"/>
  <c r="Y39" i="111" s="1"/>
  <c r="W38" i="111"/>
  <c r="Z38" i="111" s="1"/>
  <c r="V38" i="111"/>
  <c r="Y38" i="111" s="1"/>
  <c r="W37" i="111"/>
  <c r="Z37" i="111" s="1"/>
  <c r="V37" i="111"/>
  <c r="Y37" i="111" s="1"/>
  <c r="W36" i="111"/>
  <c r="Z36" i="111" s="1"/>
  <c r="V36" i="111"/>
  <c r="Y36" i="111" s="1"/>
  <c r="W35" i="111"/>
  <c r="Z35" i="111" s="1"/>
  <c r="V35" i="111"/>
  <c r="Y35" i="111" s="1"/>
  <c r="W34" i="111"/>
  <c r="Z34" i="111" s="1"/>
  <c r="V34" i="111"/>
  <c r="Y34" i="111" s="1"/>
  <c r="W33" i="111"/>
  <c r="Z33" i="111" s="1"/>
  <c r="V33" i="111"/>
  <c r="Y33" i="111" s="1"/>
  <c r="W32" i="111"/>
  <c r="Z32" i="111" s="1"/>
  <c r="V32" i="111"/>
  <c r="Y32" i="111" s="1"/>
  <c r="W31" i="111"/>
  <c r="Z31" i="111" s="1"/>
  <c r="V31" i="111"/>
  <c r="Y31" i="111" s="1"/>
  <c r="W30" i="111"/>
  <c r="Z30" i="111" s="1"/>
  <c r="V30" i="111"/>
  <c r="Y30" i="111" s="1"/>
  <c r="W29" i="111"/>
  <c r="Z29" i="111" s="1"/>
  <c r="V29" i="111"/>
  <c r="Y29" i="111" s="1"/>
  <c r="W28" i="111"/>
  <c r="Z28" i="111" s="1"/>
  <c r="V28" i="111"/>
  <c r="Y28" i="111" s="1"/>
  <c r="W27" i="111"/>
  <c r="Z27" i="111" s="1"/>
  <c r="V27" i="111"/>
  <c r="Y27" i="111" s="1"/>
  <c r="W26" i="111"/>
  <c r="Z26" i="111" s="1"/>
  <c r="V26" i="111"/>
  <c r="Y26" i="111" s="1"/>
  <c r="W25" i="111"/>
  <c r="Z25" i="111" s="1"/>
  <c r="V25" i="111"/>
  <c r="Y25" i="111" s="1"/>
  <c r="W24" i="111"/>
  <c r="Z24" i="111" s="1"/>
  <c r="V24" i="111"/>
  <c r="Y24" i="111" s="1"/>
  <c r="W23" i="111"/>
  <c r="Z23" i="111" s="1"/>
  <c r="V23" i="111"/>
  <c r="Y23" i="111" s="1"/>
  <c r="W22" i="111"/>
  <c r="Z22" i="111" s="1"/>
  <c r="V22" i="111"/>
  <c r="Y22" i="111" s="1"/>
  <c r="AB97" i="111"/>
  <c r="AB96" i="111"/>
  <c r="AB95" i="111"/>
  <c r="AB94" i="111"/>
  <c r="AB93" i="111"/>
  <c r="AB92" i="111"/>
  <c r="AB91" i="111"/>
  <c r="AB90" i="111"/>
  <c r="AB89" i="111"/>
  <c r="AB88" i="111"/>
  <c r="AB87" i="111"/>
  <c r="AB86" i="111"/>
  <c r="AB85" i="111"/>
  <c r="AB84" i="111"/>
  <c r="AB83" i="111"/>
  <c r="AB82" i="111"/>
  <c r="AB81" i="111"/>
  <c r="AB80" i="111"/>
  <c r="AB79" i="111"/>
  <c r="AB78" i="111"/>
  <c r="X74" i="111"/>
  <c r="X73" i="111"/>
  <c r="X72" i="111"/>
  <c r="X71" i="111"/>
  <c r="X70" i="111"/>
  <c r="X68" i="111"/>
  <c r="X67" i="111"/>
  <c r="X66" i="111"/>
  <c r="X65" i="111"/>
  <c r="X64" i="111"/>
  <c r="X62" i="111"/>
  <c r="X61" i="111"/>
  <c r="X60" i="111"/>
  <c r="X59" i="111"/>
  <c r="X58" i="111"/>
  <c r="X57" i="111"/>
  <c r="X56" i="111"/>
  <c r="X55" i="111"/>
  <c r="X54" i="111"/>
  <c r="X53" i="111"/>
  <c r="X52" i="111"/>
  <c r="X51" i="111"/>
  <c r="X50" i="111"/>
  <c r="X49" i="111"/>
  <c r="X48" i="111"/>
  <c r="X47" i="111"/>
  <c r="X46" i="111"/>
  <c r="X45" i="111"/>
  <c r="X44" i="111"/>
  <c r="X43" i="111"/>
  <c r="X41" i="111"/>
  <c r="X40" i="111"/>
  <c r="X39" i="111"/>
  <c r="X38" i="111"/>
  <c r="X37" i="111"/>
  <c r="X36" i="111"/>
  <c r="X35" i="111"/>
  <c r="X34" i="111"/>
  <c r="X33" i="111"/>
  <c r="X32" i="111"/>
  <c r="X31" i="111"/>
  <c r="X30" i="111"/>
  <c r="X29" i="111"/>
  <c r="X28" i="111"/>
  <c r="X27" i="111"/>
  <c r="X26" i="111"/>
  <c r="X25" i="111"/>
  <c r="X24" i="111"/>
  <c r="X23" i="111"/>
  <c r="X22" i="111"/>
  <c r="U12" i="111"/>
  <c r="V12" i="111"/>
  <c r="W12" i="111"/>
  <c r="X12" i="111"/>
  <c r="U13" i="111"/>
  <c r="V13" i="111"/>
  <c r="Y13" i="111" s="1"/>
  <c r="W13" i="111"/>
  <c r="Z13" i="111" s="1"/>
  <c r="X13" i="111"/>
  <c r="J14" i="111"/>
  <c r="U14" i="111"/>
  <c r="V14" i="111"/>
  <c r="Y14" i="111" s="1"/>
  <c r="W14" i="111"/>
  <c r="Z14" i="111" s="1"/>
  <c r="X14" i="111"/>
  <c r="U15" i="111"/>
  <c r="V15" i="111"/>
  <c r="Y15" i="111" s="1"/>
  <c r="W15" i="111"/>
  <c r="Z15" i="111" s="1"/>
  <c r="X15" i="111"/>
  <c r="U16" i="111"/>
  <c r="V16" i="111"/>
  <c r="Y16" i="111" s="1"/>
  <c r="W16" i="111"/>
  <c r="Z16" i="111" s="1"/>
  <c r="X16" i="111"/>
  <c r="U17" i="111"/>
  <c r="V17" i="111"/>
  <c r="Y17" i="111" s="1"/>
  <c r="W17" i="111"/>
  <c r="Z17" i="111" s="1"/>
  <c r="X17" i="111"/>
  <c r="U18" i="111"/>
  <c r="V18" i="111"/>
  <c r="Y18" i="111" s="1"/>
  <c r="W18" i="111"/>
  <c r="Z18" i="111" s="1"/>
  <c r="X18" i="111"/>
  <c r="U19" i="111"/>
  <c r="V19" i="111"/>
  <c r="Y19" i="111" s="1"/>
  <c r="W19" i="111"/>
  <c r="Z19" i="111" s="1"/>
  <c r="X19" i="111"/>
  <c r="U20" i="111"/>
  <c r="V20" i="111"/>
  <c r="Y20" i="111" s="1"/>
  <c r="W20" i="111"/>
  <c r="Z20" i="111" s="1"/>
  <c r="X20" i="111"/>
  <c r="U21" i="111"/>
  <c r="V21" i="111"/>
  <c r="Y21" i="111" s="1"/>
  <c r="W21" i="111"/>
  <c r="Z21" i="111" s="1"/>
  <c r="X21" i="111"/>
  <c r="J46" i="111"/>
  <c r="D46" i="111"/>
  <c r="J57" i="111"/>
  <c r="D57" i="111"/>
  <c r="F57" i="111" s="1"/>
  <c r="J52" i="111"/>
  <c r="F52" i="111"/>
  <c r="D52" i="111"/>
  <c r="J22" i="111"/>
  <c r="J30" i="111"/>
  <c r="J38" i="111"/>
  <c r="D47" i="111"/>
  <c r="F47" i="111" s="1"/>
  <c r="D48" i="111"/>
  <c r="F48" i="111" s="1"/>
  <c r="D49" i="111"/>
  <c r="F49" i="111" s="1"/>
  <c r="D50" i="111"/>
  <c r="F50" i="111" s="1"/>
  <c r="D53" i="111"/>
  <c r="F53" i="111"/>
  <c r="D54" i="111"/>
  <c r="F54" i="111"/>
  <c r="D55" i="111"/>
  <c r="F55" i="111"/>
  <c r="D58" i="111"/>
  <c r="F58" i="111" s="1"/>
  <c r="F60" i="111"/>
  <c r="G60" i="111" s="1"/>
  <c r="L60" i="111" s="1"/>
  <c r="T98" i="111"/>
  <c r="G86" i="111" s="1"/>
  <c r="H81" i="111" s="1"/>
  <c r="Y78" i="111"/>
  <c r="Y98" i="111" s="1"/>
  <c r="AA97" i="110"/>
  <c r="AA96" i="110"/>
  <c r="AA95" i="110"/>
  <c r="AA94" i="110"/>
  <c r="AA93" i="110"/>
  <c r="AA92" i="110"/>
  <c r="AA91" i="110"/>
  <c r="AA90" i="110"/>
  <c r="AA89" i="110"/>
  <c r="AA88" i="110"/>
  <c r="AA87" i="110"/>
  <c r="AA86" i="110"/>
  <c r="AA85" i="110"/>
  <c r="AA84" i="110"/>
  <c r="AA83" i="110"/>
  <c r="AA82" i="110"/>
  <c r="AA81" i="110"/>
  <c r="AA80" i="110"/>
  <c r="AA79" i="110"/>
  <c r="AA78" i="110"/>
  <c r="U74" i="110"/>
  <c r="U73" i="110"/>
  <c r="U72" i="110"/>
  <c r="U71" i="110"/>
  <c r="U70" i="110"/>
  <c r="U68" i="110"/>
  <c r="U67" i="110"/>
  <c r="U66" i="110"/>
  <c r="U65" i="110"/>
  <c r="U64" i="110"/>
  <c r="U62" i="110"/>
  <c r="U61" i="110"/>
  <c r="U60" i="110"/>
  <c r="U59" i="110"/>
  <c r="U58" i="110"/>
  <c r="U57" i="110"/>
  <c r="U56" i="110"/>
  <c r="U55" i="110"/>
  <c r="U54" i="110"/>
  <c r="U53" i="110"/>
  <c r="U52" i="110"/>
  <c r="U51" i="110"/>
  <c r="U50" i="110"/>
  <c r="U49" i="110"/>
  <c r="U48" i="110"/>
  <c r="U47" i="110"/>
  <c r="U46" i="110"/>
  <c r="U45" i="110"/>
  <c r="U44" i="110"/>
  <c r="U43" i="110"/>
  <c r="U41" i="110"/>
  <c r="U40" i="110"/>
  <c r="U39" i="110"/>
  <c r="U38" i="110"/>
  <c r="U37" i="110"/>
  <c r="U36" i="110"/>
  <c r="U35" i="110"/>
  <c r="U34" i="110"/>
  <c r="U33" i="110"/>
  <c r="U32" i="110"/>
  <c r="U31" i="110"/>
  <c r="U30" i="110"/>
  <c r="U29" i="110"/>
  <c r="U28" i="110"/>
  <c r="U27" i="110"/>
  <c r="U26" i="110"/>
  <c r="U25" i="110"/>
  <c r="U24" i="110"/>
  <c r="U23" i="110"/>
  <c r="U22" i="110"/>
  <c r="W74" i="110"/>
  <c r="Z74" i="110" s="1"/>
  <c r="V74" i="110"/>
  <c r="Y74" i="110" s="1"/>
  <c r="W73" i="110"/>
  <c r="Z73" i="110" s="1"/>
  <c r="V73" i="110"/>
  <c r="Y73" i="110" s="1"/>
  <c r="W72" i="110"/>
  <c r="Z72" i="110" s="1"/>
  <c r="V72" i="110"/>
  <c r="Y72" i="110" s="1"/>
  <c r="W71" i="110"/>
  <c r="Z71" i="110" s="1"/>
  <c r="V71" i="110"/>
  <c r="Y71" i="110" s="1"/>
  <c r="W70" i="110"/>
  <c r="V70" i="110"/>
  <c r="W68" i="110"/>
  <c r="Z68" i="110" s="1"/>
  <c r="V68" i="110"/>
  <c r="Y68" i="110" s="1"/>
  <c r="W67" i="110"/>
  <c r="Z67" i="110" s="1"/>
  <c r="V67" i="110"/>
  <c r="Y67" i="110" s="1"/>
  <c r="W66" i="110"/>
  <c r="Z66" i="110" s="1"/>
  <c r="V66" i="110"/>
  <c r="Y66" i="110" s="1"/>
  <c r="W65" i="110"/>
  <c r="Z65" i="110" s="1"/>
  <c r="V65" i="110"/>
  <c r="Y65" i="110" s="1"/>
  <c r="W64" i="110"/>
  <c r="V64" i="110"/>
  <c r="W62" i="110"/>
  <c r="Z62" i="110" s="1"/>
  <c r="V62" i="110"/>
  <c r="Y62" i="110" s="1"/>
  <c r="W61" i="110"/>
  <c r="Z61" i="110" s="1"/>
  <c r="V61" i="110"/>
  <c r="Y61" i="110" s="1"/>
  <c r="W60" i="110"/>
  <c r="Z60" i="110" s="1"/>
  <c r="V60" i="110"/>
  <c r="Y60" i="110" s="1"/>
  <c r="W59" i="110"/>
  <c r="Z59" i="110" s="1"/>
  <c r="V59" i="110"/>
  <c r="Y59" i="110" s="1"/>
  <c r="W58" i="110"/>
  <c r="Z58" i="110" s="1"/>
  <c r="V58" i="110"/>
  <c r="Y58" i="110" s="1"/>
  <c r="W57" i="110"/>
  <c r="Z57" i="110" s="1"/>
  <c r="V57" i="110"/>
  <c r="Y57" i="110" s="1"/>
  <c r="W56" i="110"/>
  <c r="Z56" i="110" s="1"/>
  <c r="V56" i="110"/>
  <c r="Y56" i="110" s="1"/>
  <c r="W55" i="110"/>
  <c r="Z55" i="110" s="1"/>
  <c r="V55" i="110"/>
  <c r="Y55" i="110" s="1"/>
  <c r="W54" i="110"/>
  <c r="Z54" i="110" s="1"/>
  <c r="V54" i="110"/>
  <c r="Y54" i="110" s="1"/>
  <c r="W53" i="110"/>
  <c r="Z53" i="110" s="1"/>
  <c r="V53" i="110"/>
  <c r="Y53" i="110" s="1"/>
  <c r="W52" i="110"/>
  <c r="Z52" i="110" s="1"/>
  <c r="V52" i="110"/>
  <c r="Y52" i="110" s="1"/>
  <c r="W51" i="110"/>
  <c r="Z51" i="110" s="1"/>
  <c r="V51" i="110"/>
  <c r="Y51" i="110" s="1"/>
  <c r="W50" i="110"/>
  <c r="Z50" i="110" s="1"/>
  <c r="V50" i="110"/>
  <c r="Y50" i="110" s="1"/>
  <c r="W49" i="110"/>
  <c r="Z49" i="110" s="1"/>
  <c r="V49" i="110"/>
  <c r="Y49" i="110" s="1"/>
  <c r="W48" i="110"/>
  <c r="Z48" i="110" s="1"/>
  <c r="V48" i="110"/>
  <c r="Y48" i="110" s="1"/>
  <c r="W47" i="110"/>
  <c r="Z47" i="110" s="1"/>
  <c r="V47" i="110"/>
  <c r="Y47" i="110" s="1"/>
  <c r="W46" i="110"/>
  <c r="Z46" i="110" s="1"/>
  <c r="V46" i="110"/>
  <c r="Y46" i="110" s="1"/>
  <c r="W45" i="110"/>
  <c r="Z45" i="110" s="1"/>
  <c r="V45" i="110"/>
  <c r="Y45" i="110" s="1"/>
  <c r="W44" i="110"/>
  <c r="Z44" i="110" s="1"/>
  <c r="V44" i="110"/>
  <c r="Y44" i="110" s="1"/>
  <c r="W43" i="110"/>
  <c r="V43" i="110"/>
  <c r="W41" i="110"/>
  <c r="Z41" i="110" s="1"/>
  <c r="V41" i="110"/>
  <c r="Y41" i="110" s="1"/>
  <c r="W40" i="110"/>
  <c r="Z40" i="110" s="1"/>
  <c r="V40" i="110"/>
  <c r="Y40" i="110" s="1"/>
  <c r="W39" i="110"/>
  <c r="Z39" i="110" s="1"/>
  <c r="V39" i="110"/>
  <c r="Y39" i="110" s="1"/>
  <c r="W38" i="110"/>
  <c r="Z38" i="110" s="1"/>
  <c r="V38" i="110"/>
  <c r="Y38" i="110" s="1"/>
  <c r="W37" i="110"/>
  <c r="Z37" i="110" s="1"/>
  <c r="V37" i="110"/>
  <c r="Y37" i="110" s="1"/>
  <c r="W36" i="110"/>
  <c r="Z36" i="110" s="1"/>
  <c r="V36" i="110"/>
  <c r="Y36" i="110" s="1"/>
  <c r="W35" i="110"/>
  <c r="Z35" i="110" s="1"/>
  <c r="V35" i="110"/>
  <c r="Y35" i="110" s="1"/>
  <c r="W34" i="110"/>
  <c r="Z34" i="110" s="1"/>
  <c r="V34" i="110"/>
  <c r="Y34" i="110" s="1"/>
  <c r="W33" i="110"/>
  <c r="Z33" i="110" s="1"/>
  <c r="V33" i="110"/>
  <c r="Y33" i="110" s="1"/>
  <c r="W32" i="110"/>
  <c r="Z32" i="110" s="1"/>
  <c r="V32" i="110"/>
  <c r="Y32" i="110" s="1"/>
  <c r="W31" i="110"/>
  <c r="Z31" i="110" s="1"/>
  <c r="V31" i="110"/>
  <c r="Y31" i="110" s="1"/>
  <c r="W30" i="110"/>
  <c r="Z30" i="110" s="1"/>
  <c r="V30" i="110"/>
  <c r="Y30" i="110" s="1"/>
  <c r="W29" i="110"/>
  <c r="Z29" i="110" s="1"/>
  <c r="V29" i="110"/>
  <c r="Y29" i="110" s="1"/>
  <c r="W28" i="110"/>
  <c r="Z28" i="110" s="1"/>
  <c r="V28" i="110"/>
  <c r="Y28" i="110" s="1"/>
  <c r="W27" i="110"/>
  <c r="Z27" i="110" s="1"/>
  <c r="V27" i="110"/>
  <c r="Y27" i="110" s="1"/>
  <c r="W26" i="110"/>
  <c r="Z26" i="110" s="1"/>
  <c r="V26" i="110"/>
  <c r="Y26" i="110" s="1"/>
  <c r="W25" i="110"/>
  <c r="Z25" i="110" s="1"/>
  <c r="V25" i="110"/>
  <c r="Y25" i="110" s="1"/>
  <c r="W24" i="110"/>
  <c r="Z24" i="110" s="1"/>
  <c r="V24" i="110"/>
  <c r="Y24" i="110" s="1"/>
  <c r="W23" i="110"/>
  <c r="Z23" i="110" s="1"/>
  <c r="V23" i="110"/>
  <c r="Y23" i="110" s="1"/>
  <c r="W22" i="110"/>
  <c r="Z22" i="110" s="1"/>
  <c r="V22" i="110"/>
  <c r="Y22" i="110" s="1"/>
  <c r="AB97" i="110"/>
  <c r="AB96" i="110"/>
  <c r="AB95" i="110"/>
  <c r="AB94" i="110"/>
  <c r="AB93" i="110"/>
  <c r="AB92" i="110"/>
  <c r="AB91" i="110"/>
  <c r="AB90" i="110"/>
  <c r="AB89" i="110"/>
  <c r="AB88" i="110"/>
  <c r="AB87" i="110"/>
  <c r="AB86" i="110"/>
  <c r="AB85" i="110"/>
  <c r="AB84" i="110"/>
  <c r="AB83" i="110"/>
  <c r="AB82" i="110"/>
  <c r="AB81" i="110"/>
  <c r="AB80" i="110"/>
  <c r="AB79" i="110"/>
  <c r="AB78" i="110"/>
  <c r="X74" i="110"/>
  <c r="X73" i="110"/>
  <c r="X72" i="110"/>
  <c r="X71" i="110"/>
  <c r="X70" i="110"/>
  <c r="X68" i="110"/>
  <c r="X67" i="110"/>
  <c r="X66" i="110"/>
  <c r="X65" i="110"/>
  <c r="X64" i="110"/>
  <c r="X62" i="110"/>
  <c r="X61" i="110"/>
  <c r="X60" i="110"/>
  <c r="X59" i="110"/>
  <c r="X58" i="110"/>
  <c r="X57" i="110"/>
  <c r="X56" i="110"/>
  <c r="X55" i="110"/>
  <c r="X54" i="110"/>
  <c r="X53" i="110"/>
  <c r="X52" i="110"/>
  <c r="X51" i="110"/>
  <c r="X50" i="110"/>
  <c r="X49" i="110"/>
  <c r="X48" i="110"/>
  <c r="X47" i="110"/>
  <c r="X46" i="110"/>
  <c r="X45" i="110"/>
  <c r="X44" i="110"/>
  <c r="X43" i="110"/>
  <c r="X41" i="110"/>
  <c r="X40" i="110"/>
  <c r="X39" i="110"/>
  <c r="X38" i="110"/>
  <c r="X37" i="110"/>
  <c r="X36" i="110"/>
  <c r="X35" i="110"/>
  <c r="X34" i="110"/>
  <c r="X33" i="110"/>
  <c r="X32" i="110"/>
  <c r="X31" i="110"/>
  <c r="X30" i="110"/>
  <c r="X29" i="110"/>
  <c r="X28" i="110"/>
  <c r="X27" i="110"/>
  <c r="X26" i="110"/>
  <c r="X25" i="110"/>
  <c r="X24" i="110"/>
  <c r="X23" i="110"/>
  <c r="X22" i="110"/>
  <c r="U12" i="110"/>
  <c r="V12" i="110"/>
  <c r="W12" i="110"/>
  <c r="X12" i="110"/>
  <c r="U13" i="110"/>
  <c r="V13" i="110"/>
  <c r="Y13" i="110" s="1"/>
  <c r="W13" i="110"/>
  <c r="Z13" i="110" s="1"/>
  <c r="X13" i="110"/>
  <c r="J14" i="110"/>
  <c r="U14" i="110"/>
  <c r="V14" i="110"/>
  <c r="Y14" i="110" s="1"/>
  <c r="W14" i="110"/>
  <c r="Z14" i="110" s="1"/>
  <c r="X14" i="110"/>
  <c r="U15" i="110"/>
  <c r="V15" i="110"/>
  <c r="Y15" i="110" s="1"/>
  <c r="W15" i="110"/>
  <c r="Z15" i="110" s="1"/>
  <c r="X15" i="110"/>
  <c r="U16" i="110"/>
  <c r="V16" i="110"/>
  <c r="Y16" i="110" s="1"/>
  <c r="W16" i="110"/>
  <c r="Z16" i="110" s="1"/>
  <c r="X16" i="110"/>
  <c r="U17" i="110"/>
  <c r="V17" i="110"/>
  <c r="Y17" i="110" s="1"/>
  <c r="W17" i="110"/>
  <c r="Z17" i="110" s="1"/>
  <c r="X17" i="110"/>
  <c r="U18" i="110"/>
  <c r="V18" i="110"/>
  <c r="Y18" i="110" s="1"/>
  <c r="W18" i="110"/>
  <c r="Z18" i="110" s="1"/>
  <c r="X18" i="110"/>
  <c r="U19" i="110"/>
  <c r="V19" i="110"/>
  <c r="Y19" i="110" s="1"/>
  <c r="W19" i="110"/>
  <c r="Z19" i="110" s="1"/>
  <c r="X19" i="110"/>
  <c r="U20" i="110"/>
  <c r="V20" i="110"/>
  <c r="Y20" i="110" s="1"/>
  <c r="W20" i="110"/>
  <c r="Z20" i="110" s="1"/>
  <c r="X20" i="110"/>
  <c r="U21" i="110"/>
  <c r="V21" i="110"/>
  <c r="Y21" i="110" s="1"/>
  <c r="W21" i="110"/>
  <c r="Z21" i="110" s="1"/>
  <c r="X21" i="110"/>
  <c r="J46" i="110"/>
  <c r="D46" i="110"/>
  <c r="J57" i="110"/>
  <c r="D57" i="110"/>
  <c r="F57" i="110" s="1"/>
  <c r="J52" i="110"/>
  <c r="F52" i="110"/>
  <c r="D52" i="110"/>
  <c r="J22" i="110"/>
  <c r="J30" i="110"/>
  <c r="J38" i="110"/>
  <c r="D47" i="110"/>
  <c r="F47" i="110" s="1"/>
  <c r="D48" i="110"/>
  <c r="F48" i="110" s="1"/>
  <c r="D49" i="110"/>
  <c r="F49" i="110" s="1"/>
  <c r="D50" i="110"/>
  <c r="F50" i="110" s="1"/>
  <c r="D53" i="110"/>
  <c r="F53" i="110"/>
  <c r="D54" i="110"/>
  <c r="F54" i="110"/>
  <c r="D55" i="110"/>
  <c r="F55" i="110"/>
  <c r="D56" i="110"/>
  <c r="F56" i="110"/>
  <c r="D58" i="110"/>
  <c r="F58" i="110" s="1"/>
  <c r="F60" i="110"/>
  <c r="G60" i="110" s="1"/>
  <c r="L60" i="110" s="1"/>
  <c r="T78" i="110"/>
  <c r="T98" i="110" s="1"/>
  <c r="G86" i="110" s="1"/>
  <c r="H81" i="110" s="1"/>
  <c r="Y78" i="110"/>
  <c r="Y98" i="110" s="1"/>
  <c r="J12" i="40"/>
  <c r="R75" i="40"/>
  <c r="B49" i="40" s="1"/>
  <c r="T75" i="40"/>
  <c r="B56" i="40" s="1"/>
  <c r="L62" i="40"/>
  <c r="L45" i="40"/>
  <c r="L12" i="40"/>
  <c r="J59" i="40"/>
  <c r="G59" i="40"/>
  <c r="L59" i="40" s="1"/>
  <c r="Z98" i="40"/>
  <c r="B55" i="40" s="1"/>
  <c r="T69" i="40"/>
  <c r="G33" i="109" l="1"/>
  <c r="E39" i="109"/>
  <c r="J20" i="114"/>
  <c r="G56" i="111"/>
  <c r="J36" i="136"/>
  <c r="I34" i="109"/>
  <c r="I31" i="109"/>
  <c r="G30" i="109"/>
  <c r="G24" i="109"/>
  <c r="J44" i="124"/>
  <c r="J20" i="120"/>
  <c r="B65" i="116"/>
  <c r="B71" i="116" s="1"/>
  <c r="G35" i="109"/>
  <c r="I30" i="109"/>
  <c r="I20" i="109"/>
  <c r="J36" i="121"/>
  <c r="J36" i="118"/>
  <c r="I17" i="109"/>
  <c r="J44" i="135"/>
  <c r="G34" i="109"/>
  <c r="I23" i="109"/>
  <c r="D51" i="120"/>
  <c r="F51" i="120" s="1"/>
  <c r="J20" i="133"/>
  <c r="J44" i="130"/>
  <c r="D51" i="127"/>
  <c r="F51" i="127" s="1"/>
  <c r="B65" i="123"/>
  <c r="B71" i="123" s="1"/>
  <c r="G17" i="109"/>
  <c r="J44" i="118"/>
  <c r="I13" i="109"/>
  <c r="I12" i="109"/>
  <c r="B65" i="127"/>
  <c r="B71" i="127" s="1"/>
  <c r="D51" i="123"/>
  <c r="F51" i="123" s="1"/>
  <c r="D51" i="116"/>
  <c r="F51" i="116" s="1"/>
  <c r="J44" i="113"/>
  <c r="G56" i="137"/>
  <c r="L56" i="137" s="1"/>
  <c r="G54" i="111"/>
  <c r="G55" i="118"/>
  <c r="G52" i="124"/>
  <c r="G52" i="117"/>
  <c r="L52" i="117" s="1"/>
  <c r="G53" i="132"/>
  <c r="C32" i="140" s="1"/>
  <c r="H32" i="140" s="1"/>
  <c r="G29" i="109"/>
  <c r="D50" i="121"/>
  <c r="F50" i="121" s="1"/>
  <c r="G54" i="112"/>
  <c r="X75" i="111"/>
  <c r="G53" i="135"/>
  <c r="C35" i="140" s="1"/>
  <c r="H35" i="140" s="1"/>
  <c r="B65" i="134"/>
  <c r="B71" i="134" s="1"/>
  <c r="J36" i="130"/>
  <c r="G53" i="130"/>
  <c r="L53" i="130" s="1"/>
  <c r="D51" i="125"/>
  <c r="F51" i="125" s="1"/>
  <c r="I29" i="109"/>
  <c r="G56" i="128"/>
  <c r="C28" i="143" s="1"/>
  <c r="H28" i="143" s="1"/>
  <c r="G56" i="118"/>
  <c r="C18" i="143" s="1"/>
  <c r="H18" i="143" s="1"/>
  <c r="D51" i="115"/>
  <c r="F51" i="115" s="1"/>
  <c r="J20" i="110"/>
  <c r="J44" i="129"/>
  <c r="G28" i="109"/>
  <c r="I28" i="109"/>
  <c r="J36" i="129"/>
  <c r="G53" i="129"/>
  <c r="G56" i="122"/>
  <c r="L56" i="122" s="1"/>
  <c r="B65" i="118"/>
  <c r="B71" i="118" s="1"/>
  <c r="D51" i="117"/>
  <c r="F51" i="117" s="1"/>
  <c r="G56" i="116"/>
  <c r="C16" i="143" s="1"/>
  <c r="H16" i="143" s="1"/>
  <c r="B65" i="110"/>
  <c r="B71" i="110" s="1"/>
  <c r="D51" i="138"/>
  <c r="F51" i="138" s="1"/>
  <c r="D51" i="137"/>
  <c r="F51" i="137" s="1"/>
  <c r="D50" i="137"/>
  <c r="F50" i="137" s="1"/>
  <c r="B65" i="137"/>
  <c r="G56" i="127"/>
  <c r="C27" i="143" s="1"/>
  <c r="H27" i="143" s="1"/>
  <c r="D51" i="121"/>
  <c r="F51" i="121" s="1"/>
  <c r="G58" i="118"/>
  <c r="L58" i="118" s="1"/>
  <c r="D51" i="118"/>
  <c r="F51" i="118" s="1"/>
  <c r="B65" i="115"/>
  <c r="B71" i="115" s="1"/>
  <c r="B65" i="113"/>
  <c r="B71" i="113" s="1"/>
  <c r="G56" i="113"/>
  <c r="L56" i="113" s="1"/>
  <c r="D51" i="136"/>
  <c r="F51" i="136" s="1"/>
  <c r="B65" i="136"/>
  <c r="D51" i="135"/>
  <c r="F51" i="135" s="1"/>
  <c r="D51" i="133"/>
  <c r="F51" i="133" s="1"/>
  <c r="AA15" i="132"/>
  <c r="D50" i="138"/>
  <c r="F50" i="138" s="1"/>
  <c r="B65" i="138"/>
  <c r="D51" i="134"/>
  <c r="F51" i="134" s="1"/>
  <c r="D50" i="133"/>
  <c r="F50" i="133" s="1"/>
  <c r="B65" i="133"/>
  <c r="B71" i="133" s="1"/>
  <c r="D51" i="132"/>
  <c r="F51" i="132" s="1"/>
  <c r="B65" i="132"/>
  <c r="B71" i="132" s="1"/>
  <c r="D51" i="131"/>
  <c r="F51" i="131" s="1"/>
  <c r="B65" i="131"/>
  <c r="B71" i="131" s="1"/>
  <c r="D51" i="129"/>
  <c r="F51" i="129" s="1"/>
  <c r="D51" i="130"/>
  <c r="F51" i="130" s="1"/>
  <c r="D50" i="128"/>
  <c r="F50" i="128" s="1"/>
  <c r="B65" i="128"/>
  <c r="B71" i="128" s="1"/>
  <c r="D51" i="128"/>
  <c r="F51" i="128" s="1"/>
  <c r="X75" i="110"/>
  <c r="G54" i="114"/>
  <c r="G54" i="115"/>
  <c r="G58" i="116"/>
  <c r="L58" i="116" s="1"/>
  <c r="G54" i="119"/>
  <c r="G54" i="120"/>
  <c r="G54" i="121"/>
  <c r="G58" i="122"/>
  <c r="L58" i="122" s="1"/>
  <c r="X75" i="122"/>
  <c r="G56" i="125"/>
  <c r="C25" i="143" s="1"/>
  <c r="H25" i="143" s="1"/>
  <c r="G53" i="134"/>
  <c r="C34" i="140" s="1"/>
  <c r="H34" i="140" s="1"/>
  <c r="G55" i="135"/>
  <c r="G54" i="135"/>
  <c r="G58" i="136"/>
  <c r="L58" i="136" s="1"/>
  <c r="X75" i="136"/>
  <c r="G58" i="137"/>
  <c r="L58" i="137" s="1"/>
  <c r="D51" i="126"/>
  <c r="F51" i="126" s="1"/>
  <c r="B65" i="126"/>
  <c r="B71" i="126" s="1"/>
  <c r="D50" i="125"/>
  <c r="F50" i="125" s="1"/>
  <c r="B65" i="125"/>
  <c r="B71" i="125" s="1"/>
  <c r="D51" i="124"/>
  <c r="F51" i="124" s="1"/>
  <c r="B65" i="124"/>
  <c r="B71" i="124" s="1"/>
  <c r="D51" i="122"/>
  <c r="F51" i="122" s="1"/>
  <c r="D50" i="122"/>
  <c r="F50" i="122" s="1"/>
  <c r="D51" i="119"/>
  <c r="F51" i="119" s="1"/>
  <c r="B65" i="119"/>
  <c r="B71" i="119" s="1"/>
  <c r="G56" i="110"/>
  <c r="L56" i="110" s="1"/>
  <c r="L56" i="111"/>
  <c r="G55" i="111"/>
  <c r="G58" i="112"/>
  <c r="L58" i="112" s="1"/>
  <c r="G56" i="112"/>
  <c r="L56" i="112" s="1"/>
  <c r="G55" i="112"/>
  <c r="G58" i="113"/>
  <c r="L58" i="113" s="1"/>
  <c r="G56" i="114"/>
  <c r="C14" i="143" s="1"/>
  <c r="H14" i="143" s="1"/>
  <c r="G55" i="114"/>
  <c r="G58" i="121"/>
  <c r="L58" i="121" s="1"/>
  <c r="X75" i="121"/>
  <c r="X75" i="124"/>
  <c r="X75" i="126"/>
  <c r="G58" i="127"/>
  <c r="L58" i="127" s="1"/>
  <c r="G58" i="128"/>
  <c r="L58" i="128" s="1"/>
  <c r="G55" i="134"/>
  <c r="G54" i="134"/>
  <c r="G49" i="139"/>
  <c r="L49" i="139" s="1"/>
  <c r="G48" i="139"/>
  <c r="G58" i="114"/>
  <c r="L58" i="114" s="1"/>
  <c r="D51" i="114"/>
  <c r="F51" i="114" s="1"/>
  <c r="B65" i="114"/>
  <c r="D51" i="113"/>
  <c r="F51" i="113" s="1"/>
  <c r="D51" i="111"/>
  <c r="F51" i="111" s="1"/>
  <c r="B65" i="111"/>
  <c r="G58" i="111"/>
  <c r="L58" i="111" s="1"/>
  <c r="D51" i="110"/>
  <c r="F51" i="110" s="1"/>
  <c r="G56" i="139"/>
  <c r="C39" i="143" s="1"/>
  <c r="H39" i="143" s="1"/>
  <c r="G54" i="139"/>
  <c r="G53" i="139"/>
  <c r="X75" i="139"/>
  <c r="D50" i="139"/>
  <c r="F50" i="139" s="1"/>
  <c r="G47" i="139"/>
  <c r="D51" i="139"/>
  <c r="F51" i="139" s="1"/>
  <c r="B65" i="139"/>
  <c r="B71" i="139" s="1"/>
  <c r="G51" i="139"/>
  <c r="C39" i="141" s="1"/>
  <c r="G51" i="138"/>
  <c r="L51" i="138" s="1"/>
  <c r="G56" i="138"/>
  <c r="C38" i="143" s="1"/>
  <c r="H38" i="143" s="1"/>
  <c r="G54" i="138"/>
  <c r="G53" i="138"/>
  <c r="L53" i="138" s="1"/>
  <c r="X75" i="138"/>
  <c r="G49" i="138"/>
  <c r="B38" i="143" s="1"/>
  <c r="G48" i="138"/>
  <c r="B38" i="142" s="1"/>
  <c r="G47" i="138"/>
  <c r="L47" i="138" s="1"/>
  <c r="G56" i="123"/>
  <c r="L56" i="123" s="1"/>
  <c r="G55" i="130"/>
  <c r="G54" i="130"/>
  <c r="X75" i="135"/>
  <c r="G49" i="136"/>
  <c r="B36" i="143" s="1"/>
  <c r="G48" i="136"/>
  <c r="B36" i="142" s="1"/>
  <c r="G58" i="139"/>
  <c r="L58" i="139" s="1"/>
  <c r="G54" i="117"/>
  <c r="X75" i="117"/>
  <c r="G58" i="120"/>
  <c r="L58" i="120" s="1"/>
  <c r="G56" i="120"/>
  <c r="L56" i="120" s="1"/>
  <c r="G55" i="120"/>
  <c r="G58" i="125"/>
  <c r="L58" i="125" s="1"/>
  <c r="X75" i="125"/>
  <c r="G58" i="126"/>
  <c r="L58" i="126" s="1"/>
  <c r="G56" i="126"/>
  <c r="L56" i="126" s="1"/>
  <c r="G54" i="126"/>
  <c r="G53" i="126"/>
  <c r="L53" i="126" s="1"/>
  <c r="G55" i="129"/>
  <c r="G54" i="129"/>
  <c r="G58" i="138"/>
  <c r="L58" i="138" s="1"/>
  <c r="G54" i="137"/>
  <c r="G53" i="137"/>
  <c r="C37" i="140" s="1"/>
  <c r="H37" i="140" s="1"/>
  <c r="X75" i="137"/>
  <c r="G49" i="137"/>
  <c r="B37" i="143" s="1"/>
  <c r="G48" i="137"/>
  <c r="G47" i="137"/>
  <c r="L47" i="137" s="1"/>
  <c r="G50" i="136"/>
  <c r="L50" i="136" s="1"/>
  <c r="G47" i="136"/>
  <c r="B36" i="140" s="1"/>
  <c r="G56" i="136"/>
  <c r="L56" i="136" s="1"/>
  <c r="G54" i="136"/>
  <c r="G53" i="136"/>
  <c r="D50" i="135"/>
  <c r="F50" i="135" s="1"/>
  <c r="B65" i="135"/>
  <c r="B71" i="135" s="1"/>
  <c r="G55" i="133"/>
  <c r="G54" i="133"/>
  <c r="G53" i="133"/>
  <c r="L53" i="133" s="1"/>
  <c r="G55" i="131"/>
  <c r="G54" i="131"/>
  <c r="G53" i="131"/>
  <c r="C31" i="140" s="1"/>
  <c r="H31" i="140" s="1"/>
  <c r="D50" i="130"/>
  <c r="F50" i="130" s="1"/>
  <c r="B65" i="130"/>
  <c r="B71" i="130" s="1"/>
  <c r="D50" i="129"/>
  <c r="F50" i="129" s="1"/>
  <c r="B65" i="129"/>
  <c r="B71" i="129" s="1"/>
  <c r="G54" i="128"/>
  <c r="G53" i="128"/>
  <c r="C28" i="140" s="1"/>
  <c r="H28" i="140" s="1"/>
  <c r="X75" i="128"/>
  <c r="G49" i="128"/>
  <c r="G48" i="128"/>
  <c r="G47" i="128"/>
  <c r="B28" i="140" s="1"/>
  <c r="G54" i="127"/>
  <c r="G53" i="127"/>
  <c r="L53" i="127" s="1"/>
  <c r="X75" i="127"/>
  <c r="G50" i="127"/>
  <c r="B27" i="141" s="1"/>
  <c r="G49" i="127"/>
  <c r="B27" i="143" s="1"/>
  <c r="G48" i="127"/>
  <c r="G47" i="127"/>
  <c r="B27" i="140" s="1"/>
  <c r="G50" i="126"/>
  <c r="L50" i="126" s="1"/>
  <c r="G49" i="126"/>
  <c r="L49" i="126" s="1"/>
  <c r="G48" i="126"/>
  <c r="L48" i="126" s="1"/>
  <c r="G47" i="126"/>
  <c r="B26" i="140" s="1"/>
  <c r="G58" i="110"/>
  <c r="L58" i="110" s="1"/>
  <c r="G55" i="110"/>
  <c r="G54" i="110"/>
  <c r="G53" i="110"/>
  <c r="C10" i="140" s="1"/>
  <c r="H10" i="140" s="1"/>
  <c r="G49" i="111"/>
  <c r="L49" i="111" s="1"/>
  <c r="G48" i="111"/>
  <c r="B11" i="142" s="1"/>
  <c r="G55" i="113"/>
  <c r="D13" i="141" s="1"/>
  <c r="J13" i="141" s="1"/>
  <c r="G54" i="113"/>
  <c r="G58" i="117"/>
  <c r="L58" i="117" s="1"/>
  <c r="G56" i="117"/>
  <c r="C17" i="143" s="1"/>
  <c r="H17" i="143" s="1"/>
  <c r="G55" i="117"/>
  <c r="G48" i="120"/>
  <c r="L48" i="120" s="1"/>
  <c r="G58" i="123"/>
  <c r="L58" i="123" s="1"/>
  <c r="X75" i="123"/>
  <c r="G58" i="124"/>
  <c r="L58" i="124" s="1"/>
  <c r="G55" i="126"/>
  <c r="L55" i="126" s="1"/>
  <c r="G55" i="127"/>
  <c r="G55" i="128"/>
  <c r="L55" i="128" s="1"/>
  <c r="G56" i="129"/>
  <c r="C29" i="143" s="1"/>
  <c r="H29" i="143" s="1"/>
  <c r="G52" i="129"/>
  <c r="X63" i="129"/>
  <c r="X69" i="129"/>
  <c r="AB98" i="129"/>
  <c r="G56" i="130"/>
  <c r="C30" i="143" s="1"/>
  <c r="H30" i="143" s="1"/>
  <c r="G52" i="130"/>
  <c r="C30" i="34" s="1"/>
  <c r="H30" i="34" s="1"/>
  <c r="X63" i="130"/>
  <c r="X69" i="130"/>
  <c r="AB98" i="130"/>
  <c r="G56" i="131"/>
  <c r="C31" i="143" s="1"/>
  <c r="H31" i="143" s="1"/>
  <c r="G52" i="131"/>
  <c r="C31" i="34" s="1"/>
  <c r="H31" i="34" s="1"/>
  <c r="X63" i="131"/>
  <c r="X69" i="131"/>
  <c r="AB98" i="131"/>
  <c r="G56" i="132"/>
  <c r="C32" i="143" s="1"/>
  <c r="H32" i="143" s="1"/>
  <c r="C32" i="34"/>
  <c r="H32" i="34" s="1"/>
  <c r="X63" i="132"/>
  <c r="X69" i="132"/>
  <c r="AB98" i="132"/>
  <c r="G56" i="133"/>
  <c r="L56" i="133" s="1"/>
  <c r="G52" i="133"/>
  <c r="C33" i="34" s="1"/>
  <c r="H33" i="34" s="1"/>
  <c r="X63" i="133"/>
  <c r="X69" i="133"/>
  <c r="AB98" i="133"/>
  <c r="G56" i="134"/>
  <c r="C34" i="143" s="1"/>
  <c r="H34" i="143" s="1"/>
  <c r="G52" i="134"/>
  <c r="C34" i="34" s="1"/>
  <c r="H34" i="34" s="1"/>
  <c r="X63" i="134"/>
  <c r="X69" i="134"/>
  <c r="AB98" i="134"/>
  <c r="G56" i="135"/>
  <c r="C35" i="143" s="1"/>
  <c r="H35" i="143" s="1"/>
  <c r="G52" i="135"/>
  <c r="C35" i="34" s="1"/>
  <c r="H35" i="34" s="1"/>
  <c r="G55" i="136"/>
  <c r="L55" i="136" s="1"/>
  <c r="G55" i="137"/>
  <c r="L55" i="137" s="1"/>
  <c r="G55" i="138"/>
  <c r="G55" i="139"/>
  <c r="L55" i="139" s="1"/>
  <c r="G58" i="115"/>
  <c r="L58" i="115" s="1"/>
  <c r="G56" i="115"/>
  <c r="L56" i="115" s="1"/>
  <c r="G55" i="115"/>
  <c r="G55" i="116"/>
  <c r="G54" i="116"/>
  <c r="G53" i="121"/>
  <c r="L53" i="121" s="1"/>
  <c r="G55" i="125"/>
  <c r="G54" i="125"/>
  <c r="G53" i="125"/>
  <c r="C25" i="140" s="1"/>
  <c r="H25" i="140" s="1"/>
  <c r="G49" i="125"/>
  <c r="L49" i="125" s="1"/>
  <c r="G48" i="125"/>
  <c r="B25" i="142" s="1"/>
  <c r="G47" i="125"/>
  <c r="B25" i="140" s="1"/>
  <c r="G56" i="124"/>
  <c r="C24" i="143" s="1"/>
  <c r="H24" i="143" s="1"/>
  <c r="G55" i="124"/>
  <c r="G54" i="124"/>
  <c r="G53" i="124"/>
  <c r="L53" i="124" s="1"/>
  <c r="G50" i="124"/>
  <c r="B24" i="141" s="1"/>
  <c r="G49" i="124"/>
  <c r="B24" i="143" s="1"/>
  <c r="G48" i="124"/>
  <c r="L48" i="124" s="1"/>
  <c r="G47" i="124"/>
  <c r="L47" i="124" s="1"/>
  <c r="G55" i="123"/>
  <c r="G54" i="123"/>
  <c r="G53" i="123"/>
  <c r="C23" i="140" s="1"/>
  <c r="H23" i="140" s="1"/>
  <c r="G50" i="123"/>
  <c r="L50" i="123" s="1"/>
  <c r="G49" i="123"/>
  <c r="L49" i="123" s="1"/>
  <c r="G48" i="123"/>
  <c r="L48" i="123" s="1"/>
  <c r="G47" i="123"/>
  <c r="B23" i="140" s="1"/>
  <c r="G55" i="122"/>
  <c r="G54" i="122"/>
  <c r="G53" i="122"/>
  <c r="C22" i="140" s="1"/>
  <c r="H22" i="140" s="1"/>
  <c r="G49" i="122"/>
  <c r="B22" i="143" s="1"/>
  <c r="G48" i="122"/>
  <c r="G47" i="122"/>
  <c r="B22" i="140" s="1"/>
  <c r="B65" i="122"/>
  <c r="G56" i="121"/>
  <c r="C21" i="143" s="1"/>
  <c r="H21" i="143" s="1"/>
  <c r="G55" i="121"/>
  <c r="G49" i="121"/>
  <c r="B21" i="143" s="1"/>
  <c r="G48" i="121"/>
  <c r="B21" i="142" s="1"/>
  <c r="G47" i="121"/>
  <c r="L47" i="121" s="1"/>
  <c r="B65" i="121"/>
  <c r="B71" i="121" s="1"/>
  <c r="D50" i="120"/>
  <c r="F50" i="120" s="1"/>
  <c r="B65" i="120"/>
  <c r="G51" i="120"/>
  <c r="C20" i="141" s="1"/>
  <c r="G53" i="120"/>
  <c r="C20" i="140" s="1"/>
  <c r="H20" i="140" s="1"/>
  <c r="X75" i="120"/>
  <c r="G49" i="120"/>
  <c r="B20" i="143" s="1"/>
  <c r="G47" i="120"/>
  <c r="L47" i="120" s="1"/>
  <c r="G53" i="119"/>
  <c r="L53" i="119" s="1"/>
  <c r="X75" i="119"/>
  <c r="G50" i="119"/>
  <c r="B19" i="141" s="1"/>
  <c r="G49" i="119"/>
  <c r="L49" i="119" s="1"/>
  <c r="G48" i="119"/>
  <c r="L48" i="119" s="1"/>
  <c r="G47" i="119"/>
  <c r="L47" i="119" s="1"/>
  <c r="G56" i="119"/>
  <c r="C19" i="143" s="1"/>
  <c r="H19" i="143" s="1"/>
  <c r="G55" i="119"/>
  <c r="G53" i="118"/>
  <c r="C18" i="140" s="1"/>
  <c r="H18" i="140" s="1"/>
  <c r="X75" i="118"/>
  <c r="G50" i="118"/>
  <c r="L50" i="118" s="1"/>
  <c r="G49" i="118"/>
  <c r="L49" i="118" s="1"/>
  <c r="G48" i="118"/>
  <c r="B18" i="142" s="1"/>
  <c r="G47" i="118"/>
  <c r="B18" i="140" s="1"/>
  <c r="D50" i="117"/>
  <c r="F50" i="117" s="1"/>
  <c r="B65" i="117"/>
  <c r="B71" i="117" s="1"/>
  <c r="G53" i="117"/>
  <c r="L53" i="117" s="1"/>
  <c r="G49" i="117"/>
  <c r="L49" i="117" s="1"/>
  <c r="G48" i="117"/>
  <c r="L48" i="117" s="1"/>
  <c r="G47" i="117"/>
  <c r="L47" i="117" s="1"/>
  <c r="G53" i="116"/>
  <c r="L53" i="116" s="1"/>
  <c r="X75" i="116"/>
  <c r="G50" i="116"/>
  <c r="B16" i="141" s="1"/>
  <c r="G49" i="116"/>
  <c r="B16" i="143" s="1"/>
  <c r="G48" i="116"/>
  <c r="B16" i="142" s="1"/>
  <c r="G47" i="116"/>
  <c r="L47" i="116" s="1"/>
  <c r="G53" i="115"/>
  <c r="C15" i="140" s="1"/>
  <c r="H15" i="140" s="1"/>
  <c r="X75" i="115"/>
  <c r="G50" i="115"/>
  <c r="B15" i="141" s="1"/>
  <c r="G49" i="115"/>
  <c r="L49" i="115" s="1"/>
  <c r="G48" i="115"/>
  <c r="G47" i="115"/>
  <c r="B15" i="140" s="1"/>
  <c r="G53" i="114"/>
  <c r="C14" i="140" s="1"/>
  <c r="H14" i="140" s="1"/>
  <c r="X75" i="114"/>
  <c r="G50" i="114"/>
  <c r="B14" i="141" s="1"/>
  <c r="G49" i="114"/>
  <c r="L49" i="114" s="1"/>
  <c r="G48" i="114"/>
  <c r="B14" i="142" s="1"/>
  <c r="G47" i="114"/>
  <c r="L47" i="114" s="1"/>
  <c r="G53" i="113"/>
  <c r="C13" i="140" s="1"/>
  <c r="H13" i="140" s="1"/>
  <c r="X75" i="113"/>
  <c r="G49" i="113"/>
  <c r="L49" i="113" s="1"/>
  <c r="G48" i="113"/>
  <c r="B13" i="142" s="1"/>
  <c r="G47" i="113"/>
  <c r="B13" i="140" s="1"/>
  <c r="G50" i="113"/>
  <c r="B13" i="141" s="1"/>
  <c r="G51" i="112"/>
  <c r="C12" i="141" s="1"/>
  <c r="G53" i="112"/>
  <c r="L53" i="112" s="1"/>
  <c r="X75" i="112"/>
  <c r="G50" i="112"/>
  <c r="L50" i="112" s="1"/>
  <c r="G49" i="112"/>
  <c r="B12" i="143" s="1"/>
  <c r="G48" i="112"/>
  <c r="L48" i="112" s="1"/>
  <c r="G47" i="112"/>
  <c r="B12" i="140" s="1"/>
  <c r="G53" i="111"/>
  <c r="L53" i="111" s="1"/>
  <c r="G47" i="111"/>
  <c r="B11" i="140" s="1"/>
  <c r="G50" i="111"/>
  <c r="L50" i="111" s="1"/>
  <c r="G50" i="110"/>
  <c r="B10" i="141" s="1"/>
  <c r="G49" i="110"/>
  <c r="L49" i="110" s="1"/>
  <c r="G48" i="110"/>
  <c r="G47" i="110"/>
  <c r="L47" i="110" s="1"/>
  <c r="L53" i="110"/>
  <c r="C11" i="140"/>
  <c r="H11" i="140" s="1"/>
  <c r="L53" i="114"/>
  <c r="C17" i="140"/>
  <c r="H17" i="140" s="1"/>
  <c r="L53" i="125"/>
  <c r="L53" i="128"/>
  <c r="L54" i="129"/>
  <c r="C29" i="142"/>
  <c r="H29" i="142" s="1"/>
  <c r="L54" i="130"/>
  <c r="C30" i="142"/>
  <c r="H30" i="142" s="1"/>
  <c r="L54" i="131"/>
  <c r="C31" i="142"/>
  <c r="H31" i="142" s="1"/>
  <c r="L54" i="132"/>
  <c r="C32" i="142"/>
  <c r="H32" i="142" s="1"/>
  <c r="L54" i="133"/>
  <c r="C33" i="142"/>
  <c r="H33" i="142" s="1"/>
  <c r="L54" i="134"/>
  <c r="C34" i="142"/>
  <c r="H34" i="142" s="1"/>
  <c r="L54" i="135"/>
  <c r="C35" i="142"/>
  <c r="H35" i="142" s="1"/>
  <c r="L53" i="136"/>
  <c r="C36" i="140"/>
  <c r="H36" i="140" s="1"/>
  <c r="L53" i="137"/>
  <c r="L53" i="139"/>
  <c r="C39" i="140"/>
  <c r="H39" i="140" s="1"/>
  <c r="L55" i="110"/>
  <c r="D10" i="141"/>
  <c r="J10" i="141" s="1"/>
  <c r="L55" i="111"/>
  <c r="D11" i="141"/>
  <c r="J11" i="141" s="1"/>
  <c r="L55" i="112"/>
  <c r="D12" i="141"/>
  <c r="J12" i="141" s="1"/>
  <c r="L55" i="113"/>
  <c r="L55" i="114"/>
  <c r="D14" i="141"/>
  <c r="J14" i="141" s="1"/>
  <c r="L55" i="115"/>
  <c r="D15" i="141"/>
  <c r="J15" i="141" s="1"/>
  <c r="L55" i="116"/>
  <c r="D16" i="141"/>
  <c r="J16" i="141" s="1"/>
  <c r="L55" i="117"/>
  <c r="D17" i="141"/>
  <c r="J17" i="141" s="1"/>
  <c r="L55" i="118"/>
  <c r="D18" i="141"/>
  <c r="J18" i="141" s="1"/>
  <c r="L55" i="119"/>
  <c r="D19" i="141"/>
  <c r="J19" i="141" s="1"/>
  <c r="L55" i="120"/>
  <c r="D20" i="141"/>
  <c r="J20" i="141" s="1"/>
  <c r="L55" i="121"/>
  <c r="D21" i="141"/>
  <c r="J21" i="141" s="1"/>
  <c r="L55" i="122"/>
  <c r="D22" i="141"/>
  <c r="J22" i="141" s="1"/>
  <c r="L55" i="123"/>
  <c r="D23" i="141"/>
  <c r="J23" i="141" s="1"/>
  <c r="L55" i="124"/>
  <c r="D24" i="141"/>
  <c r="J24" i="141" s="1"/>
  <c r="L55" i="125"/>
  <c r="D25" i="141"/>
  <c r="J25" i="141" s="1"/>
  <c r="D26" i="141"/>
  <c r="J26" i="141" s="1"/>
  <c r="L55" i="127"/>
  <c r="D27" i="141"/>
  <c r="J27" i="141" s="1"/>
  <c r="D28" i="141"/>
  <c r="J28" i="141" s="1"/>
  <c r="L56" i="130"/>
  <c r="D36" i="141"/>
  <c r="J36" i="141" s="1"/>
  <c r="D37" i="141"/>
  <c r="J37" i="141" s="1"/>
  <c r="L55" i="138"/>
  <c r="D38" i="141"/>
  <c r="J38" i="141" s="1"/>
  <c r="D39" i="141"/>
  <c r="J39" i="141" s="1"/>
  <c r="L54" i="121"/>
  <c r="C21" i="142"/>
  <c r="H21" i="142" s="1"/>
  <c r="L48" i="121"/>
  <c r="L54" i="122"/>
  <c r="C22" i="142"/>
  <c r="H22" i="142" s="1"/>
  <c r="L48" i="122"/>
  <c r="B22" i="142"/>
  <c r="L54" i="123"/>
  <c r="C23" i="142"/>
  <c r="H23" i="142" s="1"/>
  <c r="B23" i="142"/>
  <c r="L54" i="124"/>
  <c r="C24" i="142"/>
  <c r="H24" i="142" s="1"/>
  <c r="B24" i="142"/>
  <c r="L54" i="125"/>
  <c r="C25" i="142"/>
  <c r="H25" i="142" s="1"/>
  <c r="L54" i="126"/>
  <c r="C26" i="142"/>
  <c r="H26" i="142" s="1"/>
  <c r="B26" i="142"/>
  <c r="L54" i="127"/>
  <c r="C27" i="142"/>
  <c r="H27" i="142" s="1"/>
  <c r="L48" i="127"/>
  <c r="B27" i="142"/>
  <c r="L54" i="128"/>
  <c r="C28" i="142"/>
  <c r="H28" i="142" s="1"/>
  <c r="L48" i="128"/>
  <c r="B28" i="142"/>
  <c r="G58" i="129"/>
  <c r="L58" i="129" s="1"/>
  <c r="G49" i="129"/>
  <c r="G48" i="129"/>
  <c r="G47" i="129"/>
  <c r="X75" i="129"/>
  <c r="G58" i="130"/>
  <c r="L58" i="130" s="1"/>
  <c r="G49" i="130"/>
  <c r="G48" i="130"/>
  <c r="G47" i="130"/>
  <c r="X75" i="130"/>
  <c r="G58" i="131"/>
  <c r="L58" i="131" s="1"/>
  <c r="G50" i="131"/>
  <c r="G49" i="131"/>
  <c r="G48" i="131"/>
  <c r="G47" i="131"/>
  <c r="X75" i="131"/>
  <c r="G58" i="132"/>
  <c r="L58" i="132" s="1"/>
  <c r="G50" i="132"/>
  <c r="G49" i="132"/>
  <c r="G48" i="132"/>
  <c r="G47" i="132"/>
  <c r="X75" i="132"/>
  <c r="G58" i="133"/>
  <c r="L58" i="133" s="1"/>
  <c r="G49" i="133"/>
  <c r="G48" i="133"/>
  <c r="G47" i="133"/>
  <c r="X75" i="133"/>
  <c r="G58" i="134"/>
  <c r="L58" i="134" s="1"/>
  <c r="G50" i="134"/>
  <c r="G49" i="134"/>
  <c r="G48" i="134"/>
  <c r="G47" i="134"/>
  <c r="X75" i="134"/>
  <c r="G58" i="135"/>
  <c r="L58" i="135" s="1"/>
  <c r="G49" i="135"/>
  <c r="G48" i="135"/>
  <c r="G47" i="135"/>
  <c r="C36" i="143"/>
  <c r="H36" i="143" s="1"/>
  <c r="L54" i="136"/>
  <c r="C36" i="142"/>
  <c r="H36" i="142" s="1"/>
  <c r="L48" i="136"/>
  <c r="L54" i="137"/>
  <c r="C37" i="142"/>
  <c r="H37" i="142" s="1"/>
  <c r="L48" i="137"/>
  <c r="B37" i="142"/>
  <c r="L54" i="138"/>
  <c r="C38" i="142"/>
  <c r="H38" i="142" s="1"/>
  <c r="L56" i="139"/>
  <c r="L54" i="139"/>
  <c r="C39" i="142"/>
  <c r="H39" i="142" s="1"/>
  <c r="L48" i="139"/>
  <c r="B39" i="142"/>
  <c r="L47" i="139"/>
  <c r="B39" i="140"/>
  <c r="L54" i="110"/>
  <c r="C10" i="142"/>
  <c r="H10" i="142" s="1"/>
  <c r="L48" i="110"/>
  <c r="B10" i="142"/>
  <c r="L54" i="111"/>
  <c r="C11" i="142"/>
  <c r="H11" i="142" s="1"/>
  <c r="L48" i="111"/>
  <c r="L54" i="112"/>
  <c r="C12" i="142"/>
  <c r="H12" i="142" s="1"/>
  <c r="L54" i="113"/>
  <c r="C13" i="142"/>
  <c r="H13" i="142" s="1"/>
  <c r="L48" i="113"/>
  <c r="L54" i="114"/>
  <c r="C14" i="142"/>
  <c r="H14" i="142" s="1"/>
  <c r="L48" i="114"/>
  <c r="L54" i="115"/>
  <c r="C15" i="142"/>
  <c r="H15" i="142" s="1"/>
  <c r="L48" i="115"/>
  <c r="B15" i="142"/>
  <c r="L54" i="116"/>
  <c r="C16" i="142"/>
  <c r="H16" i="142" s="1"/>
  <c r="L54" i="117"/>
  <c r="C17" i="142"/>
  <c r="H17" i="142" s="1"/>
  <c r="B17" i="142"/>
  <c r="L54" i="118"/>
  <c r="C18" i="142"/>
  <c r="H18" i="142" s="1"/>
  <c r="L48" i="118"/>
  <c r="L54" i="119"/>
  <c r="C19" i="142"/>
  <c r="H19" i="142" s="1"/>
  <c r="L54" i="120"/>
  <c r="C20" i="142"/>
  <c r="H20" i="142" s="1"/>
  <c r="B20" i="142"/>
  <c r="G52" i="110"/>
  <c r="C10" i="34" s="1"/>
  <c r="H10" i="34" s="1"/>
  <c r="X63" i="110"/>
  <c r="X69" i="110"/>
  <c r="AB98" i="110"/>
  <c r="G52" i="111"/>
  <c r="C11" i="34" s="1"/>
  <c r="H11" i="34" s="1"/>
  <c r="X63" i="111"/>
  <c r="X69" i="111"/>
  <c r="AB98" i="111"/>
  <c r="G52" i="112"/>
  <c r="X63" i="112"/>
  <c r="X69" i="112"/>
  <c r="AB98" i="112"/>
  <c r="G52" i="113"/>
  <c r="X63" i="113"/>
  <c r="X69" i="113"/>
  <c r="AB98" i="113"/>
  <c r="G52" i="114"/>
  <c r="C14" i="34" s="1"/>
  <c r="H14" i="34" s="1"/>
  <c r="X63" i="114"/>
  <c r="X69" i="114"/>
  <c r="AB98" i="114"/>
  <c r="G52" i="115"/>
  <c r="X63" i="115"/>
  <c r="X69" i="115"/>
  <c r="AB98" i="115"/>
  <c r="G52" i="116"/>
  <c r="X63" i="116"/>
  <c r="X69" i="116"/>
  <c r="AB98" i="116"/>
  <c r="C17" i="34"/>
  <c r="H17" i="34" s="1"/>
  <c r="X63" i="117"/>
  <c r="X69" i="117"/>
  <c r="AB98" i="117"/>
  <c r="G52" i="118"/>
  <c r="X63" i="118"/>
  <c r="X69" i="118"/>
  <c r="AB98" i="118"/>
  <c r="G52" i="119"/>
  <c r="C19" i="34" s="1"/>
  <c r="H19" i="34" s="1"/>
  <c r="X63" i="119"/>
  <c r="X69" i="119"/>
  <c r="AB98" i="119"/>
  <c r="G52" i="120"/>
  <c r="X63" i="120"/>
  <c r="X69" i="120"/>
  <c r="AB98" i="120"/>
  <c r="G52" i="121"/>
  <c r="X63" i="121"/>
  <c r="X69" i="121"/>
  <c r="AB98" i="121"/>
  <c r="G52" i="122"/>
  <c r="X63" i="122"/>
  <c r="X69" i="122"/>
  <c r="AB98" i="122"/>
  <c r="G52" i="123"/>
  <c r="H69" i="123" s="1"/>
  <c r="X63" i="123"/>
  <c r="X69" i="123"/>
  <c r="AB98" i="123"/>
  <c r="X63" i="124"/>
  <c r="X69" i="124"/>
  <c r="AB98" i="124"/>
  <c r="G52" i="125"/>
  <c r="X63" i="125"/>
  <c r="X69" i="125"/>
  <c r="AB98" i="125"/>
  <c r="G52" i="126"/>
  <c r="X63" i="126"/>
  <c r="X69" i="126"/>
  <c r="AB98" i="126"/>
  <c r="G52" i="127"/>
  <c r="X63" i="127"/>
  <c r="X69" i="127"/>
  <c r="AB98" i="127"/>
  <c r="G52" i="128"/>
  <c r="X63" i="128"/>
  <c r="X69" i="128"/>
  <c r="AB98" i="128"/>
  <c r="L55" i="129"/>
  <c r="D29" i="141"/>
  <c r="J29" i="141" s="1"/>
  <c r="L53" i="129"/>
  <c r="C29" i="140"/>
  <c r="H29" i="140" s="1"/>
  <c r="L55" i="130"/>
  <c r="D30" i="141"/>
  <c r="J30" i="141" s="1"/>
  <c r="C30" i="140"/>
  <c r="H30" i="140" s="1"/>
  <c r="L55" i="131"/>
  <c r="D31" i="141"/>
  <c r="J31" i="141" s="1"/>
  <c r="L53" i="131"/>
  <c r="L55" i="132"/>
  <c r="D32" i="141"/>
  <c r="J32" i="141" s="1"/>
  <c r="L53" i="132"/>
  <c r="L55" i="133"/>
  <c r="D33" i="141"/>
  <c r="J33" i="141" s="1"/>
  <c r="L55" i="134"/>
  <c r="D34" i="141"/>
  <c r="J34" i="141" s="1"/>
  <c r="L53" i="134"/>
  <c r="L55" i="135"/>
  <c r="D35" i="141"/>
  <c r="J35" i="141" s="1"/>
  <c r="L53" i="135"/>
  <c r="X63" i="135"/>
  <c r="X69" i="135"/>
  <c r="AB98" i="135"/>
  <c r="G52" i="136"/>
  <c r="C36" i="34" s="1"/>
  <c r="H36" i="34" s="1"/>
  <c r="X63" i="136"/>
  <c r="X69" i="136"/>
  <c r="AB98" i="136"/>
  <c r="G52" i="137"/>
  <c r="C37" i="34" s="1"/>
  <c r="H37" i="34" s="1"/>
  <c r="X63" i="137"/>
  <c r="X69" i="137"/>
  <c r="AB98" i="137"/>
  <c r="G52" i="138"/>
  <c r="C38" i="34" s="1"/>
  <c r="H38" i="34" s="1"/>
  <c r="X63" i="138"/>
  <c r="X69" i="138"/>
  <c r="AB98" i="138"/>
  <c r="G52" i="139"/>
  <c r="C39" i="34" s="1"/>
  <c r="H39" i="34" s="1"/>
  <c r="X63" i="139"/>
  <c r="X69" i="139"/>
  <c r="AB98" i="139"/>
  <c r="H69" i="139"/>
  <c r="G57" i="139"/>
  <c r="L57" i="139" s="1"/>
  <c r="F46" i="139"/>
  <c r="AA21" i="139"/>
  <c r="AA20" i="139"/>
  <c r="AA19" i="139"/>
  <c r="AA18" i="139"/>
  <c r="AA17" i="139"/>
  <c r="AA16" i="139"/>
  <c r="AA15" i="139"/>
  <c r="AA14" i="139"/>
  <c r="AA13" i="139"/>
  <c r="X42" i="139"/>
  <c r="W42" i="139"/>
  <c r="Z12" i="139"/>
  <c r="Z42" i="139" s="1"/>
  <c r="V42" i="139"/>
  <c r="Y12" i="139"/>
  <c r="Y42" i="139" s="1"/>
  <c r="U42" i="139"/>
  <c r="AA12" i="139"/>
  <c r="V63" i="139"/>
  <c r="Y43" i="139"/>
  <c r="Y63" i="139" s="1"/>
  <c r="W63" i="139"/>
  <c r="Z43" i="139"/>
  <c r="Z63" i="139" s="1"/>
  <c r="V69" i="139"/>
  <c r="Y64" i="139"/>
  <c r="Y69" i="139" s="1"/>
  <c r="W69" i="139"/>
  <c r="Z64" i="139"/>
  <c r="Z69" i="139" s="1"/>
  <c r="V75" i="139"/>
  <c r="Y70" i="139"/>
  <c r="Y75" i="139" s="1"/>
  <c r="W75" i="139"/>
  <c r="Z70" i="139"/>
  <c r="Z75" i="139" s="1"/>
  <c r="AA22" i="139"/>
  <c r="AA23" i="139"/>
  <c r="AA24" i="139"/>
  <c r="AA25" i="139"/>
  <c r="AA26" i="139"/>
  <c r="AA27" i="139"/>
  <c r="AA28" i="139"/>
  <c r="AA29" i="139"/>
  <c r="AA30" i="139"/>
  <c r="AA31" i="139"/>
  <c r="AA32" i="139"/>
  <c r="AA33" i="139"/>
  <c r="AA34" i="139"/>
  <c r="AA35" i="139"/>
  <c r="AA36" i="139"/>
  <c r="AA37" i="139"/>
  <c r="AA38" i="139"/>
  <c r="AA39" i="139"/>
  <c r="AA40" i="139"/>
  <c r="AA41" i="139"/>
  <c r="U63" i="139"/>
  <c r="AA43" i="139"/>
  <c r="AA44" i="139"/>
  <c r="AA45" i="139"/>
  <c r="AA46" i="139"/>
  <c r="AA47" i="139"/>
  <c r="AA48" i="139"/>
  <c r="AA49" i="139"/>
  <c r="AA50" i="139"/>
  <c r="AA51" i="139"/>
  <c r="AA52" i="139"/>
  <c r="AA53" i="139"/>
  <c r="AA54" i="139"/>
  <c r="AA55" i="139"/>
  <c r="AA56" i="139"/>
  <c r="AA57" i="139"/>
  <c r="AA58" i="139"/>
  <c r="AA59" i="139"/>
  <c r="AA60" i="139"/>
  <c r="AA61" i="139"/>
  <c r="AA62" i="139"/>
  <c r="U69" i="139"/>
  <c r="AA64" i="139"/>
  <c r="AA65" i="139"/>
  <c r="AA66" i="139"/>
  <c r="AA67" i="139"/>
  <c r="AA68" i="139"/>
  <c r="U75" i="139"/>
  <c r="AA70" i="139"/>
  <c r="AA71" i="139"/>
  <c r="AA72" i="139"/>
  <c r="AA73" i="139"/>
  <c r="AA74" i="139"/>
  <c r="AA98" i="139"/>
  <c r="AC78" i="139"/>
  <c r="AC79" i="139"/>
  <c r="AC80" i="139"/>
  <c r="AC81" i="139"/>
  <c r="AC82" i="139"/>
  <c r="AC83" i="139"/>
  <c r="AC84" i="139"/>
  <c r="AC85" i="139"/>
  <c r="AC86" i="139"/>
  <c r="AC87" i="139"/>
  <c r="AC88" i="139"/>
  <c r="AC89" i="139"/>
  <c r="AC90" i="139"/>
  <c r="AC91" i="139"/>
  <c r="AC92" i="139"/>
  <c r="AC93" i="139"/>
  <c r="AC94" i="139"/>
  <c r="AC95" i="139"/>
  <c r="AC96" i="139"/>
  <c r="AC97" i="139"/>
  <c r="G57" i="138"/>
  <c r="L57" i="138" s="1"/>
  <c r="F46" i="138"/>
  <c r="AA21" i="138"/>
  <c r="AA20" i="138"/>
  <c r="AA19" i="138"/>
  <c r="AA18" i="138"/>
  <c r="AA17" i="138"/>
  <c r="AA16" i="138"/>
  <c r="AA15" i="138"/>
  <c r="AA14" i="138"/>
  <c r="AA13" i="138"/>
  <c r="X42" i="138"/>
  <c r="W42" i="138"/>
  <c r="Z12" i="138"/>
  <c r="Z42" i="138" s="1"/>
  <c r="V42" i="138"/>
  <c r="Y12" i="138"/>
  <c r="Y42" i="138" s="1"/>
  <c r="U42" i="138"/>
  <c r="AA12" i="138"/>
  <c r="V63" i="138"/>
  <c r="Y43" i="138"/>
  <c r="Y63" i="138" s="1"/>
  <c r="W63" i="138"/>
  <c r="Z43" i="138"/>
  <c r="Z63" i="138" s="1"/>
  <c r="V69" i="138"/>
  <c r="Y64" i="138"/>
  <c r="Y69" i="138" s="1"/>
  <c r="W69" i="138"/>
  <c r="Z64" i="138"/>
  <c r="Z69" i="138" s="1"/>
  <c r="V75" i="138"/>
  <c r="Y70" i="138"/>
  <c r="Y75" i="138" s="1"/>
  <c r="W75" i="138"/>
  <c r="Z70" i="138"/>
  <c r="Z75" i="138" s="1"/>
  <c r="AA22" i="138"/>
  <c r="AA23" i="138"/>
  <c r="AA24" i="138"/>
  <c r="AA25" i="138"/>
  <c r="AA26" i="138"/>
  <c r="AA27" i="138"/>
  <c r="AA28" i="138"/>
  <c r="AA29" i="138"/>
  <c r="AA30" i="138"/>
  <c r="AA31" i="138"/>
  <c r="AA32" i="138"/>
  <c r="AA33" i="138"/>
  <c r="AA34" i="138"/>
  <c r="AA35" i="138"/>
  <c r="AA36" i="138"/>
  <c r="AA37" i="138"/>
  <c r="AA38" i="138"/>
  <c r="AA39" i="138"/>
  <c r="AA40" i="138"/>
  <c r="AA41" i="138"/>
  <c r="U63" i="138"/>
  <c r="AA43" i="138"/>
  <c r="AA44" i="138"/>
  <c r="AA45" i="138"/>
  <c r="AA46" i="138"/>
  <c r="AA47" i="138"/>
  <c r="AA48" i="138"/>
  <c r="AA49" i="138"/>
  <c r="AA50" i="138"/>
  <c r="AA51" i="138"/>
  <c r="AA52" i="138"/>
  <c r="AA53" i="138"/>
  <c r="AA54" i="138"/>
  <c r="AA55" i="138"/>
  <c r="AA56" i="138"/>
  <c r="AA57" i="138"/>
  <c r="AA58" i="138"/>
  <c r="AA59" i="138"/>
  <c r="AA60" i="138"/>
  <c r="AA61" i="138"/>
  <c r="AA62" i="138"/>
  <c r="U69" i="138"/>
  <c r="AA64" i="138"/>
  <c r="AA65" i="138"/>
  <c r="AA66" i="138"/>
  <c r="AA67" i="138"/>
  <c r="AA68" i="138"/>
  <c r="U75" i="138"/>
  <c r="AA70" i="138"/>
  <c r="AA71" i="138"/>
  <c r="AA72" i="138"/>
  <c r="AA73" i="138"/>
  <c r="AA74" i="138"/>
  <c r="AA98" i="138"/>
  <c r="AC78" i="138"/>
  <c r="AC79" i="138"/>
  <c r="AC80" i="138"/>
  <c r="AC81" i="138"/>
  <c r="AC82" i="138"/>
  <c r="AC83" i="138"/>
  <c r="AC84" i="138"/>
  <c r="AC85" i="138"/>
  <c r="AC86" i="138"/>
  <c r="AC87" i="138"/>
  <c r="AC88" i="138"/>
  <c r="AC89" i="138"/>
  <c r="AC90" i="138"/>
  <c r="AC91" i="138"/>
  <c r="AC92" i="138"/>
  <c r="AC93" i="138"/>
  <c r="AC94" i="138"/>
  <c r="AC95" i="138"/>
  <c r="AC96" i="138"/>
  <c r="AC97" i="138"/>
  <c r="G57" i="137"/>
  <c r="L57" i="137" s="1"/>
  <c r="F46" i="137"/>
  <c r="AA21" i="137"/>
  <c r="AA20" i="137"/>
  <c r="AA19" i="137"/>
  <c r="AA18" i="137"/>
  <c r="AA17" i="137"/>
  <c r="AA16" i="137"/>
  <c r="AA15" i="137"/>
  <c r="AA14" i="137"/>
  <c r="AA13" i="137"/>
  <c r="X42" i="137"/>
  <c r="W42" i="137"/>
  <c r="Z12" i="137"/>
  <c r="Z42" i="137" s="1"/>
  <c r="V42" i="137"/>
  <c r="Y12" i="137"/>
  <c r="Y42" i="137" s="1"/>
  <c r="U42" i="137"/>
  <c r="AA12" i="137"/>
  <c r="V63" i="137"/>
  <c r="Y43" i="137"/>
  <c r="Y63" i="137" s="1"/>
  <c r="W63" i="137"/>
  <c r="Z43" i="137"/>
  <c r="Z63" i="137" s="1"/>
  <c r="V69" i="137"/>
  <c r="Y64" i="137"/>
  <c r="Y69" i="137" s="1"/>
  <c r="W69" i="137"/>
  <c r="Z64" i="137"/>
  <c r="Z69" i="137" s="1"/>
  <c r="V75" i="137"/>
  <c r="Y70" i="137"/>
  <c r="Y75" i="137" s="1"/>
  <c r="W75" i="137"/>
  <c r="Z70" i="137"/>
  <c r="Z75" i="137" s="1"/>
  <c r="AA22" i="137"/>
  <c r="AA23" i="137"/>
  <c r="AA24" i="137"/>
  <c r="AA25" i="137"/>
  <c r="AA26" i="137"/>
  <c r="AA27" i="137"/>
  <c r="AA28" i="137"/>
  <c r="AA29" i="137"/>
  <c r="AA30" i="137"/>
  <c r="AA31" i="137"/>
  <c r="AA32" i="137"/>
  <c r="AA33" i="137"/>
  <c r="AA34" i="137"/>
  <c r="AA35" i="137"/>
  <c r="AA36" i="137"/>
  <c r="AA37" i="137"/>
  <c r="AA38" i="137"/>
  <c r="AA39" i="137"/>
  <c r="AA40" i="137"/>
  <c r="AA41" i="137"/>
  <c r="U63" i="137"/>
  <c r="AA43" i="137"/>
  <c r="AA44" i="137"/>
  <c r="AA45" i="137"/>
  <c r="AA46" i="137"/>
  <c r="AA47" i="137"/>
  <c r="AA48" i="137"/>
  <c r="AA49" i="137"/>
  <c r="AA50" i="137"/>
  <c r="AA51" i="137"/>
  <c r="AA52" i="137"/>
  <c r="AA53" i="137"/>
  <c r="AA54" i="137"/>
  <c r="AA55" i="137"/>
  <c r="AA56" i="137"/>
  <c r="AA57" i="137"/>
  <c r="AA58" i="137"/>
  <c r="AA59" i="137"/>
  <c r="AA60" i="137"/>
  <c r="AA61" i="137"/>
  <c r="AA62" i="137"/>
  <c r="U69" i="137"/>
  <c r="AA64" i="137"/>
  <c r="AA65" i="137"/>
  <c r="AA66" i="137"/>
  <c r="AA67" i="137"/>
  <c r="AA68" i="137"/>
  <c r="U75" i="137"/>
  <c r="AA70" i="137"/>
  <c r="AA71" i="137"/>
  <c r="AA72" i="137"/>
  <c r="AA73" i="137"/>
  <c r="AA74" i="137"/>
  <c r="AA98" i="137"/>
  <c r="AC78" i="137"/>
  <c r="AC79" i="137"/>
  <c r="AC80" i="137"/>
  <c r="AC81" i="137"/>
  <c r="AC82" i="137"/>
  <c r="AC83" i="137"/>
  <c r="AC84" i="137"/>
  <c r="AC85" i="137"/>
  <c r="AC86" i="137"/>
  <c r="AC87" i="137"/>
  <c r="AC88" i="137"/>
  <c r="AC89" i="137"/>
  <c r="AC90" i="137"/>
  <c r="AC91" i="137"/>
  <c r="AC92" i="137"/>
  <c r="AC93" i="137"/>
  <c r="AC94" i="137"/>
  <c r="AC95" i="137"/>
  <c r="AC96" i="137"/>
  <c r="AC97" i="137"/>
  <c r="H69" i="136"/>
  <c r="L52" i="136"/>
  <c r="G57" i="136"/>
  <c r="L57" i="136" s="1"/>
  <c r="F46" i="136"/>
  <c r="AA21" i="136"/>
  <c r="AA20" i="136"/>
  <c r="AA19" i="136"/>
  <c r="AA18" i="136"/>
  <c r="AA17" i="136"/>
  <c r="AA16" i="136"/>
  <c r="AA15" i="136"/>
  <c r="AA14" i="136"/>
  <c r="AA13" i="136"/>
  <c r="X42" i="136"/>
  <c r="W42" i="136"/>
  <c r="Z12" i="136"/>
  <c r="Z42" i="136" s="1"/>
  <c r="V42" i="136"/>
  <c r="Y12" i="136"/>
  <c r="Y42" i="136" s="1"/>
  <c r="U42" i="136"/>
  <c r="AA12" i="136"/>
  <c r="V63" i="136"/>
  <c r="Y43" i="136"/>
  <c r="Y63" i="136" s="1"/>
  <c r="W63" i="136"/>
  <c r="Z43" i="136"/>
  <c r="Z63" i="136" s="1"/>
  <c r="V69" i="136"/>
  <c r="Y64" i="136"/>
  <c r="Y69" i="136" s="1"/>
  <c r="W69" i="136"/>
  <c r="Z64" i="136"/>
  <c r="Z69" i="136" s="1"/>
  <c r="V75" i="136"/>
  <c r="Y70" i="136"/>
  <c r="Y75" i="136" s="1"/>
  <c r="W75" i="136"/>
  <c r="Z70" i="136"/>
  <c r="Z75" i="136" s="1"/>
  <c r="AA22" i="136"/>
  <c r="AA23" i="136"/>
  <c r="AA24" i="136"/>
  <c r="AA25" i="136"/>
  <c r="AA26" i="136"/>
  <c r="AA27" i="136"/>
  <c r="AA28" i="136"/>
  <c r="AA29" i="136"/>
  <c r="AA30" i="136"/>
  <c r="AA31" i="136"/>
  <c r="AA32" i="136"/>
  <c r="AA33" i="136"/>
  <c r="AA34" i="136"/>
  <c r="AA35" i="136"/>
  <c r="AA36" i="136"/>
  <c r="AA37" i="136"/>
  <c r="AA38" i="136"/>
  <c r="AA39" i="136"/>
  <c r="AA40" i="136"/>
  <c r="AA41" i="136"/>
  <c r="U63" i="136"/>
  <c r="AA43" i="136"/>
  <c r="AA44" i="136"/>
  <c r="AA45" i="136"/>
  <c r="AA46" i="136"/>
  <c r="AA47" i="136"/>
  <c r="AA48" i="136"/>
  <c r="AA49" i="136"/>
  <c r="AA50" i="136"/>
  <c r="AA51" i="136"/>
  <c r="AA52" i="136"/>
  <c r="AA53" i="136"/>
  <c r="AA54" i="136"/>
  <c r="AA55" i="136"/>
  <c r="AA56" i="136"/>
  <c r="AA57" i="136"/>
  <c r="AA58" i="136"/>
  <c r="AA59" i="136"/>
  <c r="AA60" i="136"/>
  <c r="AA61" i="136"/>
  <c r="AA62" i="136"/>
  <c r="U69" i="136"/>
  <c r="AA64" i="136"/>
  <c r="AA65" i="136"/>
  <c r="AA66" i="136"/>
  <c r="AA67" i="136"/>
  <c r="AA68" i="136"/>
  <c r="U75" i="136"/>
  <c r="AA70" i="136"/>
  <c r="AA71" i="136"/>
  <c r="AA72" i="136"/>
  <c r="AA73" i="136"/>
  <c r="AA74" i="136"/>
  <c r="AA98" i="136"/>
  <c r="AC78" i="136"/>
  <c r="AC79" i="136"/>
  <c r="AC80" i="136"/>
  <c r="AC81" i="136"/>
  <c r="AC82" i="136"/>
  <c r="AC83" i="136"/>
  <c r="AC84" i="136"/>
  <c r="AC85" i="136"/>
  <c r="AC86" i="136"/>
  <c r="AC87" i="136"/>
  <c r="AC88" i="136"/>
  <c r="AC89" i="136"/>
  <c r="AC90" i="136"/>
  <c r="AC91" i="136"/>
  <c r="AC92" i="136"/>
  <c r="AC93" i="136"/>
  <c r="AC94" i="136"/>
  <c r="AC95" i="136"/>
  <c r="AC96" i="136"/>
  <c r="AC97" i="136"/>
  <c r="L52" i="135"/>
  <c r="G57" i="135"/>
  <c r="L57" i="135" s="1"/>
  <c r="F46" i="135"/>
  <c r="AA21" i="135"/>
  <c r="AA20" i="135"/>
  <c r="AA19" i="135"/>
  <c r="AA18" i="135"/>
  <c r="AA17" i="135"/>
  <c r="AA16" i="135"/>
  <c r="AA15" i="135"/>
  <c r="AA14" i="135"/>
  <c r="AA13" i="135"/>
  <c r="X42" i="135"/>
  <c r="W42" i="135"/>
  <c r="Z12" i="135"/>
  <c r="Z42" i="135" s="1"/>
  <c r="V42" i="135"/>
  <c r="Y12" i="135"/>
  <c r="Y42" i="135" s="1"/>
  <c r="U42" i="135"/>
  <c r="AA12" i="135"/>
  <c r="V63" i="135"/>
  <c r="Y43" i="135"/>
  <c r="Y63" i="135" s="1"/>
  <c r="W63" i="135"/>
  <c r="Z43" i="135"/>
  <c r="Z63" i="135" s="1"/>
  <c r="V69" i="135"/>
  <c r="Y64" i="135"/>
  <c r="Y69" i="135" s="1"/>
  <c r="W69" i="135"/>
  <c r="Z64" i="135"/>
  <c r="Z69" i="135" s="1"/>
  <c r="V75" i="135"/>
  <c r="Y70" i="135"/>
  <c r="Y75" i="135" s="1"/>
  <c r="W75" i="135"/>
  <c r="Z70" i="135"/>
  <c r="Z75" i="135" s="1"/>
  <c r="AA22" i="135"/>
  <c r="AA23" i="135"/>
  <c r="AA24" i="135"/>
  <c r="AA25" i="135"/>
  <c r="AA26" i="135"/>
  <c r="AA27" i="135"/>
  <c r="AA28" i="135"/>
  <c r="AA29" i="135"/>
  <c r="AA30" i="135"/>
  <c r="AA31" i="135"/>
  <c r="AA32" i="135"/>
  <c r="AA33" i="135"/>
  <c r="AA34" i="135"/>
  <c r="AA35" i="135"/>
  <c r="AA36" i="135"/>
  <c r="AA37" i="135"/>
  <c r="AA38" i="135"/>
  <c r="AA39" i="135"/>
  <c r="AA40" i="135"/>
  <c r="AA41" i="135"/>
  <c r="U63" i="135"/>
  <c r="AA43" i="135"/>
  <c r="AA44" i="135"/>
  <c r="AA45" i="135"/>
  <c r="AA46" i="135"/>
  <c r="AA47" i="135"/>
  <c r="AA48" i="135"/>
  <c r="AA49" i="135"/>
  <c r="AA50" i="135"/>
  <c r="AA51" i="135"/>
  <c r="AA52" i="135"/>
  <c r="AA53" i="135"/>
  <c r="AA54" i="135"/>
  <c r="AA55" i="135"/>
  <c r="AA56" i="135"/>
  <c r="AA57" i="135"/>
  <c r="AA58" i="135"/>
  <c r="AA59" i="135"/>
  <c r="AA60" i="135"/>
  <c r="AA61" i="135"/>
  <c r="AA62" i="135"/>
  <c r="U69" i="135"/>
  <c r="AA64" i="135"/>
  <c r="AA65" i="135"/>
  <c r="AA66" i="135"/>
  <c r="AA67" i="135"/>
  <c r="AA68" i="135"/>
  <c r="U75" i="135"/>
  <c r="AA70" i="135"/>
  <c r="AA71" i="135"/>
  <c r="AA72" i="135"/>
  <c r="AA73" i="135"/>
  <c r="AA74" i="135"/>
  <c r="AA98" i="135"/>
  <c r="AC78" i="135"/>
  <c r="AC79" i="135"/>
  <c r="AC80" i="135"/>
  <c r="AC81" i="135"/>
  <c r="AC82" i="135"/>
  <c r="AC83" i="135"/>
  <c r="AC84" i="135"/>
  <c r="AC85" i="135"/>
  <c r="AC86" i="135"/>
  <c r="AC87" i="135"/>
  <c r="AC88" i="135"/>
  <c r="AC89" i="135"/>
  <c r="AC90" i="135"/>
  <c r="AC91" i="135"/>
  <c r="AC92" i="135"/>
  <c r="AC93" i="135"/>
  <c r="AC94" i="135"/>
  <c r="AC95" i="135"/>
  <c r="AC96" i="135"/>
  <c r="AC97" i="135"/>
  <c r="G57" i="134"/>
  <c r="L57" i="134" s="1"/>
  <c r="F46" i="134"/>
  <c r="AA21" i="134"/>
  <c r="AA20" i="134"/>
  <c r="AA19" i="134"/>
  <c r="AA18" i="134"/>
  <c r="AA17" i="134"/>
  <c r="AA16" i="134"/>
  <c r="AA15" i="134"/>
  <c r="AA14" i="134"/>
  <c r="AA13" i="134"/>
  <c r="X42" i="134"/>
  <c r="W42" i="134"/>
  <c r="Z12" i="134"/>
  <c r="Z42" i="134" s="1"/>
  <c r="V42" i="134"/>
  <c r="Y12" i="134"/>
  <c r="Y42" i="134" s="1"/>
  <c r="U42" i="134"/>
  <c r="AA12" i="134"/>
  <c r="V63" i="134"/>
  <c r="Y43" i="134"/>
  <c r="Y63" i="134" s="1"/>
  <c r="W63" i="134"/>
  <c r="Z43" i="134"/>
  <c r="Z63" i="134" s="1"/>
  <c r="V69" i="134"/>
  <c r="Y64" i="134"/>
  <c r="Y69" i="134" s="1"/>
  <c r="W69" i="134"/>
  <c r="Z64" i="134"/>
  <c r="Z69" i="134" s="1"/>
  <c r="V75" i="134"/>
  <c r="Y70" i="134"/>
  <c r="Y75" i="134" s="1"/>
  <c r="W75" i="134"/>
  <c r="Z70" i="134"/>
  <c r="Z75" i="134" s="1"/>
  <c r="AA22" i="134"/>
  <c r="AA23" i="134"/>
  <c r="AA24" i="134"/>
  <c r="AA25" i="134"/>
  <c r="AA26" i="134"/>
  <c r="AA27" i="134"/>
  <c r="AA28" i="134"/>
  <c r="AA29" i="134"/>
  <c r="AA30" i="134"/>
  <c r="AA31" i="134"/>
  <c r="AA32" i="134"/>
  <c r="AA33" i="134"/>
  <c r="AA34" i="134"/>
  <c r="AA35" i="134"/>
  <c r="AA36" i="134"/>
  <c r="AA37" i="134"/>
  <c r="AA38" i="134"/>
  <c r="AA39" i="134"/>
  <c r="AA40" i="134"/>
  <c r="AA41" i="134"/>
  <c r="U63" i="134"/>
  <c r="AA43" i="134"/>
  <c r="AA44" i="134"/>
  <c r="AA45" i="134"/>
  <c r="AA46" i="134"/>
  <c r="AA47" i="134"/>
  <c r="AA48" i="134"/>
  <c r="AA49" i="134"/>
  <c r="AA50" i="134"/>
  <c r="AA51" i="134"/>
  <c r="AA52" i="134"/>
  <c r="AA53" i="134"/>
  <c r="AA54" i="134"/>
  <c r="AA55" i="134"/>
  <c r="AA56" i="134"/>
  <c r="AA57" i="134"/>
  <c r="AA58" i="134"/>
  <c r="AA59" i="134"/>
  <c r="AA60" i="134"/>
  <c r="AA61" i="134"/>
  <c r="AA62" i="134"/>
  <c r="U69" i="134"/>
  <c r="AA64" i="134"/>
  <c r="AA65" i="134"/>
  <c r="AA66" i="134"/>
  <c r="AA67" i="134"/>
  <c r="AA68" i="134"/>
  <c r="U75" i="134"/>
  <c r="AA70" i="134"/>
  <c r="AA71" i="134"/>
  <c r="AA72" i="134"/>
  <c r="AA73" i="134"/>
  <c r="AA74" i="134"/>
  <c r="AA98" i="134"/>
  <c r="AC78" i="134"/>
  <c r="AC79" i="134"/>
  <c r="AC80" i="134"/>
  <c r="AC81" i="134"/>
  <c r="AC82" i="134"/>
  <c r="AC83" i="134"/>
  <c r="AC84" i="134"/>
  <c r="AC85" i="134"/>
  <c r="AC86" i="134"/>
  <c r="AC87" i="134"/>
  <c r="AC88" i="134"/>
  <c r="AC89" i="134"/>
  <c r="AC90" i="134"/>
  <c r="AC91" i="134"/>
  <c r="AC92" i="134"/>
  <c r="AC93" i="134"/>
  <c r="AC94" i="134"/>
  <c r="AC95" i="134"/>
  <c r="AC96" i="134"/>
  <c r="AC97" i="134"/>
  <c r="H69" i="133"/>
  <c r="G57" i="133"/>
  <c r="L57" i="133" s="1"/>
  <c r="F46" i="133"/>
  <c r="AA21" i="133"/>
  <c r="AA20" i="133"/>
  <c r="AA19" i="133"/>
  <c r="AA18" i="133"/>
  <c r="AA17" i="133"/>
  <c r="AA16" i="133"/>
  <c r="AA15" i="133"/>
  <c r="AA14" i="133"/>
  <c r="AA13" i="133"/>
  <c r="X42" i="133"/>
  <c r="W42" i="133"/>
  <c r="Z12" i="133"/>
  <c r="Z42" i="133" s="1"/>
  <c r="V42" i="133"/>
  <c r="Y12" i="133"/>
  <c r="Y42" i="133" s="1"/>
  <c r="U42" i="133"/>
  <c r="AA12" i="133"/>
  <c r="V63" i="133"/>
  <c r="Y43" i="133"/>
  <c r="Y63" i="133" s="1"/>
  <c r="W63" i="133"/>
  <c r="Z43" i="133"/>
  <c r="Z63" i="133" s="1"/>
  <c r="V69" i="133"/>
  <c r="Y64" i="133"/>
  <c r="Y69" i="133" s="1"/>
  <c r="W69" i="133"/>
  <c r="Z64" i="133"/>
  <c r="Z69" i="133" s="1"/>
  <c r="V75" i="133"/>
  <c r="Y70" i="133"/>
  <c r="Y75" i="133" s="1"/>
  <c r="W75" i="133"/>
  <c r="Z70" i="133"/>
  <c r="Z75" i="133" s="1"/>
  <c r="AA22" i="133"/>
  <c r="AA23" i="133"/>
  <c r="AA24" i="133"/>
  <c r="AA25" i="133"/>
  <c r="AA26" i="133"/>
  <c r="AA27" i="133"/>
  <c r="AA28" i="133"/>
  <c r="AA29" i="133"/>
  <c r="AA30" i="133"/>
  <c r="AA31" i="133"/>
  <c r="AA32" i="133"/>
  <c r="AA33" i="133"/>
  <c r="AA34" i="133"/>
  <c r="AA35" i="133"/>
  <c r="AA36" i="133"/>
  <c r="AA37" i="133"/>
  <c r="AA38" i="133"/>
  <c r="AA39" i="133"/>
  <c r="AA40" i="133"/>
  <c r="AA41" i="133"/>
  <c r="U63" i="133"/>
  <c r="AA43" i="133"/>
  <c r="AA44" i="133"/>
  <c r="AA45" i="133"/>
  <c r="AA46" i="133"/>
  <c r="AA47" i="133"/>
  <c r="AA48" i="133"/>
  <c r="AA49" i="133"/>
  <c r="AA50" i="133"/>
  <c r="AA51" i="133"/>
  <c r="AA52" i="133"/>
  <c r="AA53" i="133"/>
  <c r="AA54" i="133"/>
  <c r="AA55" i="133"/>
  <c r="AA56" i="133"/>
  <c r="AA57" i="133"/>
  <c r="AA58" i="133"/>
  <c r="AA59" i="133"/>
  <c r="AA60" i="133"/>
  <c r="AA61" i="133"/>
  <c r="AA62" i="133"/>
  <c r="U69" i="133"/>
  <c r="AA64" i="133"/>
  <c r="AA65" i="133"/>
  <c r="AA66" i="133"/>
  <c r="AA67" i="133"/>
  <c r="AA68" i="133"/>
  <c r="U75" i="133"/>
  <c r="AA70" i="133"/>
  <c r="AA71" i="133"/>
  <c r="AA72" i="133"/>
  <c r="AA73" i="133"/>
  <c r="AA74" i="133"/>
  <c r="AA98" i="133"/>
  <c r="AC78" i="133"/>
  <c r="AC79" i="133"/>
  <c r="AC80" i="133"/>
  <c r="AC81" i="133"/>
  <c r="AC82" i="133"/>
  <c r="AC83" i="133"/>
  <c r="AC84" i="133"/>
  <c r="AC85" i="133"/>
  <c r="AC86" i="133"/>
  <c r="AC87" i="133"/>
  <c r="AC88" i="133"/>
  <c r="AC89" i="133"/>
  <c r="AC90" i="133"/>
  <c r="AC91" i="133"/>
  <c r="AC92" i="133"/>
  <c r="AC93" i="133"/>
  <c r="AC94" i="133"/>
  <c r="AC95" i="133"/>
  <c r="AC96" i="133"/>
  <c r="AC97" i="133"/>
  <c r="G57" i="132"/>
  <c r="L57" i="132" s="1"/>
  <c r="F46" i="132"/>
  <c r="AA21" i="132"/>
  <c r="AA20" i="132"/>
  <c r="AA19" i="132"/>
  <c r="AA18" i="132"/>
  <c r="AA17" i="132"/>
  <c r="AA16" i="132"/>
  <c r="AA14" i="132"/>
  <c r="AA13" i="132"/>
  <c r="X42" i="132"/>
  <c r="W42" i="132"/>
  <c r="Z12" i="132"/>
  <c r="Z42" i="132" s="1"/>
  <c r="V42" i="132"/>
  <c r="Y12" i="132"/>
  <c r="Y42" i="132" s="1"/>
  <c r="U42" i="132"/>
  <c r="AA12" i="132"/>
  <c r="V63" i="132"/>
  <c r="Y43" i="132"/>
  <c r="Y63" i="132" s="1"/>
  <c r="W63" i="132"/>
  <c r="Z43" i="132"/>
  <c r="Z63" i="132" s="1"/>
  <c r="V69" i="132"/>
  <c r="Y64" i="132"/>
  <c r="Y69" i="132" s="1"/>
  <c r="W69" i="132"/>
  <c r="Z64" i="132"/>
  <c r="Z69" i="132" s="1"/>
  <c r="V75" i="132"/>
  <c r="Y70" i="132"/>
  <c r="Y75" i="132" s="1"/>
  <c r="W75" i="132"/>
  <c r="Z70" i="132"/>
  <c r="Z75" i="132" s="1"/>
  <c r="AA22" i="132"/>
  <c r="AA23" i="132"/>
  <c r="AA24" i="132"/>
  <c r="AA25" i="132"/>
  <c r="AA26" i="132"/>
  <c r="AA27" i="132"/>
  <c r="AA28" i="132"/>
  <c r="AA29" i="132"/>
  <c r="AA30" i="132"/>
  <c r="AA31" i="132"/>
  <c r="AA32" i="132"/>
  <c r="AA33" i="132"/>
  <c r="AA34" i="132"/>
  <c r="AA35" i="132"/>
  <c r="AA36" i="132"/>
  <c r="AA37" i="132"/>
  <c r="AA38" i="132"/>
  <c r="AA39" i="132"/>
  <c r="AA40" i="132"/>
  <c r="AA41" i="132"/>
  <c r="U63" i="132"/>
  <c r="AA43" i="132"/>
  <c r="AA44" i="132"/>
  <c r="AA45" i="132"/>
  <c r="AA46" i="132"/>
  <c r="AA47" i="132"/>
  <c r="AA48" i="132"/>
  <c r="AA49" i="132"/>
  <c r="AA50" i="132"/>
  <c r="AA51" i="132"/>
  <c r="AA52" i="132"/>
  <c r="AA53" i="132"/>
  <c r="AA54" i="132"/>
  <c r="AA55" i="132"/>
  <c r="AA56" i="132"/>
  <c r="AA57" i="132"/>
  <c r="AA58" i="132"/>
  <c r="AA59" i="132"/>
  <c r="AA60" i="132"/>
  <c r="AA61" i="132"/>
  <c r="AA62" i="132"/>
  <c r="U69" i="132"/>
  <c r="AA64" i="132"/>
  <c r="AA65" i="132"/>
  <c r="AA66" i="132"/>
  <c r="AA67" i="132"/>
  <c r="AA68" i="132"/>
  <c r="U75" i="132"/>
  <c r="AA70" i="132"/>
  <c r="AA71" i="132"/>
  <c r="AA72" i="132"/>
  <c r="AA73" i="132"/>
  <c r="AA74" i="132"/>
  <c r="AA98" i="132"/>
  <c r="AC78" i="132"/>
  <c r="AC79" i="132"/>
  <c r="AC80" i="132"/>
  <c r="AC81" i="132"/>
  <c r="AC82" i="132"/>
  <c r="AC83" i="132"/>
  <c r="AC84" i="132"/>
  <c r="AC85" i="132"/>
  <c r="AC86" i="132"/>
  <c r="AC87" i="132"/>
  <c r="AC88" i="132"/>
  <c r="AC89" i="132"/>
  <c r="AC90" i="132"/>
  <c r="AC91" i="132"/>
  <c r="AC92" i="132"/>
  <c r="AC93" i="132"/>
  <c r="AC94" i="132"/>
  <c r="AC95" i="132"/>
  <c r="AC96" i="132"/>
  <c r="AC97" i="132"/>
  <c r="G57" i="131"/>
  <c r="L57" i="131" s="1"/>
  <c r="F46" i="131"/>
  <c r="AA21" i="131"/>
  <c r="AA20" i="131"/>
  <c r="AA19" i="131"/>
  <c r="AA18" i="131"/>
  <c r="AA17" i="131"/>
  <c r="AA16" i="131"/>
  <c r="AA15" i="131"/>
  <c r="AA14" i="131"/>
  <c r="AA13" i="131"/>
  <c r="X42" i="131"/>
  <c r="W42" i="131"/>
  <c r="Z12" i="131"/>
  <c r="Z42" i="131" s="1"/>
  <c r="V42" i="131"/>
  <c r="Y12" i="131"/>
  <c r="Y42" i="131" s="1"/>
  <c r="U42" i="131"/>
  <c r="AA12" i="131"/>
  <c r="V63" i="131"/>
  <c r="Y43" i="131"/>
  <c r="Y63" i="131" s="1"/>
  <c r="W63" i="131"/>
  <c r="Z43" i="131"/>
  <c r="Z63" i="131" s="1"/>
  <c r="V69" i="131"/>
  <c r="Y64" i="131"/>
  <c r="Y69" i="131" s="1"/>
  <c r="W69" i="131"/>
  <c r="Z64" i="131"/>
  <c r="Z69" i="131" s="1"/>
  <c r="V75" i="131"/>
  <c r="Y70" i="131"/>
  <c r="Y75" i="131" s="1"/>
  <c r="W75" i="131"/>
  <c r="Z70" i="131"/>
  <c r="Z75" i="131" s="1"/>
  <c r="AA22" i="131"/>
  <c r="AA23" i="131"/>
  <c r="AA24" i="131"/>
  <c r="AA25" i="131"/>
  <c r="AA26" i="131"/>
  <c r="AA27" i="131"/>
  <c r="AA28" i="131"/>
  <c r="AA29" i="131"/>
  <c r="AA30" i="131"/>
  <c r="AA31" i="131"/>
  <c r="AA32" i="131"/>
  <c r="AA33" i="131"/>
  <c r="AA34" i="131"/>
  <c r="AA35" i="131"/>
  <c r="AA36" i="131"/>
  <c r="AA37" i="131"/>
  <c r="AA38" i="131"/>
  <c r="AA39" i="131"/>
  <c r="AA40" i="131"/>
  <c r="AA41" i="131"/>
  <c r="U63" i="131"/>
  <c r="AA43" i="131"/>
  <c r="AA44" i="131"/>
  <c r="AA45" i="131"/>
  <c r="AA46" i="131"/>
  <c r="AA47" i="131"/>
  <c r="AA48" i="131"/>
  <c r="AA49" i="131"/>
  <c r="AA50" i="131"/>
  <c r="AA51" i="131"/>
  <c r="AA52" i="131"/>
  <c r="AA53" i="131"/>
  <c r="AA54" i="131"/>
  <c r="AA55" i="131"/>
  <c r="AA56" i="131"/>
  <c r="AA57" i="131"/>
  <c r="AA58" i="131"/>
  <c r="AA59" i="131"/>
  <c r="AA60" i="131"/>
  <c r="AA61" i="131"/>
  <c r="AA62" i="131"/>
  <c r="U69" i="131"/>
  <c r="AA64" i="131"/>
  <c r="AA65" i="131"/>
  <c r="AA66" i="131"/>
  <c r="AA67" i="131"/>
  <c r="AA68" i="131"/>
  <c r="U75" i="131"/>
  <c r="AA70" i="131"/>
  <c r="AA71" i="131"/>
  <c r="AA72" i="131"/>
  <c r="AA73" i="131"/>
  <c r="AA74" i="131"/>
  <c r="AA98" i="131"/>
  <c r="AC78" i="131"/>
  <c r="AC79" i="131"/>
  <c r="AC80" i="131"/>
  <c r="AC81" i="131"/>
  <c r="AC82" i="131"/>
  <c r="AC83" i="131"/>
  <c r="AC84" i="131"/>
  <c r="AC85" i="131"/>
  <c r="AC86" i="131"/>
  <c r="AC87" i="131"/>
  <c r="AC88" i="131"/>
  <c r="AC89" i="131"/>
  <c r="AC90" i="131"/>
  <c r="AC91" i="131"/>
  <c r="AC92" i="131"/>
  <c r="AC93" i="131"/>
  <c r="AC94" i="131"/>
  <c r="AC95" i="131"/>
  <c r="AC96" i="131"/>
  <c r="AC97" i="131"/>
  <c r="G57" i="130"/>
  <c r="L57" i="130" s="1"/>
  <c r="F46" i="130"/>
  <c r="AA21" i="130"/>
  <c r="AA20" i="130"/>
  <c r="AA19" i="130"/>
  <c r="AA18" i="130"/>
  <c r="AA17" i="130"/>
  <c r="AA16" i="130"/>
  <c r="AA15" i="130"/>
  <c r="AA14" i="130"/>
  <c r="AA13" i="130"/>
  <c r="X42" i="130"/>
  <c r="W42" i="130"/>
  <c r="Z42" i="130"/>
  <c r="V42" i="130"/>
  <c r="Y12" i="130"/>
  <c r="Y42" i="130" s="1"/>
  <c r="U42" i="130"/>
  <c r="AA12" i="130"/>
  <c r="V63" i="130"/>
  <c r="Y43" i="130"/>
  <c r="Y63" i="130" s="1"/>
  <c r="W63" i="130"/>
  <c r="Z43" i="130"/>
  <c r="Z63" i="130" s="1"/>
  <c r="V69" i="130"/>
  <c r="Y64" i="130"/>
  <c r="Y69" i="130" s="1"/>
  <c r="W69" i="130"/>
  <c r="Z64" i="130"/>
  <c r="Z69" i="130" s="1"/>
  <c r="V75" i="130"/>
  <c r="Y70" i="130"/>
  <c r="Y75" i="130" s="1"/>
  <c r="W75" i="130"/>
  <c r="Z70" i="130"/>
  <c r="Z75" i="130" s="1"/>
  <c r="AA22" i="130"/>
  <c r="AA23" i="130"/>
  <c r="AA24" i="130"/>
  <c r="AA25" i="130"/>
  <c r="AA26" i="130"/>
  <c r="AA27" i="130"/>
  <c r="AA28" i="130"/>
  <c r="AA29" i="130"/>
  <c r="AA30" i="130"/>
  <c r="AA31" i="130"/>
  <c r="AA32" i="130"/>
  <c r="AA33" i="130"/>
  <c r="AA34" i="130"/>
  <c r="AA35" i="130"/>
  <c r="AA36" i="130"/>
  <c r="AA37" i="130"/>
  <c r="AA38" i="130"/>
  <c r="AA39" i="130"/>
  <c r="AA40" i="130"/>
  <c r="AA41" i="130"/>
  <c r="U63" i="130"/>
  <c r="AA43" i="130"/>
  <c r="AA44" i="130"/>
  <c r="AA45" i="130"/>
  <c r="AA46" i="130"/>
  <c r="AA47" i="130"/>
  <c r="AA48" i="130"/>
  <c r="AA49" i="130"/>
  <c r="AA50" i="130"/>
  <c r="AA51" i="130"/>
  <c r="AA52" i="130"/>
  <c r="AA53" i="130"/>
  <c r="AA54" i="130"/>
  <c r="AA55" i="130"/>
  <c r="AA56" i="130"/>
  <c r="AA57" i="130"/>
  <c r="AA58" i="130"/>
  <c r="AA59" i="130"/>
  <c r="AA60" i="130"/>
  <c r="AA61" i="130"/>
  <c r="AA62" i="130"/>
  <c r="U69" i="130"/>
  <c r="AA64" i="130"/>
  <c r="AA65" i="130"/>
  <c r="AA66" i="130"/>
  <c r="AA67" i="130"/>
  <c r="AA68" i="130"/>
  <c r="U75" i="130"/>
  <c r="AA70" i="130"/>
  <c r="AA71" i="130"/>
  <c r="AA72" i="130"/>
  <c r="AA73" i="130"/>
  <c r="AA74" i="130"/>
  <c r="AA98" i="130"/>
  <c r="AC78" i="130"/>
  <c r="AC79" i="130"/>
  <c r="AC80" i="130"/>
  <c r="AC81" i="130"/>
  <c r="AC82" i="130"/>
  <c r="AC83" i="130"/>
  <c r="AC84" i="130"/>
  <c r="AC85" i="130"/>
  <c r="AC86" i="130"/>
  <c r="AC87" i="130"/>
  <c r="AC88" i="130"/>
  <c r="AC89" i="130"/>
  <c r="AC90" i="130"/>
  <c r="AC91" i="130"/>
  <c r="AC92" i="130"/>
  <c r="AC93" i="130"/>
  <c r="AC94" i="130"/>
  <c r="AC95" i="130"/>
  <c r="AC96" i="130"/>
  <c r="AC97" i="130"/>
  <c r="G57" i="129"/>
  <c r="L57" i="129" s="1"/>
  <c r="F46" i="129"/>
  <c r="AA21" i="129"/>
  <c r="AA20" i="129"/>
  <c r="AA19" i="129"/>
  <c r="AA18" i="129"/>
  <c r="AA17" i="129"/>
  <c r="AA16" i="129"/>
  <c r="AA15" i="129"/>
  <c r="AA14" i="129"/>
  <c r="AA13" i="129"/>
  <c r="X42" i="129"/>
  <c r="W42" i="129"/>
  <c r="Z12" i="129"/>
  <c r="Z42" i="129" s="1"/>
  <c r="V42" i="129"/>
  <c r="Y12" i="129"/>
  <c r="Y42" i="129" s="1"/>
  <c r="U42" i="129"/>
  <c r="AA12" i="129"/>
  <c r="V63" i="129"/>
  <c r="Y43" i="129"/>
  <c r="Y63" i="129" s="1"/>
  <c r="W63" i="129"/>
  <c r="Z43" i="129"/>
  <c r="Z63" i="129" s="1"/>
  <c r="V69" i="129"/>
  <c r="Y64" i="129"/>
  <c r="Y69" i="129" s="1"/>
  <c r="W69" i="129"/>
  <c r="Z64" i="129"/>
  <c r="Z69" i="129" s="1"/>
  <c r="V75" i="129"/>
  <c r="Y70" i="129"/>
  <c r="Y75" i="129" s="1"/>
  <c r="W75" i="129"/>
  <c r="Z70" i="129"/>
  <c r="Z75" i="129" s="1"/>
  <c r="AA22" i="129"/>
  <c r="AA23" i="129"/>
  <c r="AA24" i="129"/>
  <c r="AA25" i="129"/>
  <c r="AA26" i="129"/>
  <c r="AA27" i="129"/>
  <c r="AA28" i="129"/>
  <c r="AA29" i="129"/>
  <c r="AA30" i="129"/>
  <c r="AA31" i="129"/>
  <c r="AA32" i="129"/>
  <c r="AA33" i="129"/>
  <c r="AA34" i="129"/>
  <c r="AA35" i="129"/>
  <c r="AA36" i="129"/>
  <c r="AA37" i="129"/>
  <c r="AA38" i="129"/>
  <c r="AA39" i="129"/>
  <c r="AA40" i="129"/>
  <c r="AA41" i="129"/>
  <c r="U63" i="129"/>
  <c r="AA43" i="129"/>
  <c r="AA44" i="129"/>
  <c r="AA45" i="129"/>
  <c r="AA46" i="129"/>
  <c r="AA47" i="129"/>
  <c r="AA48" i="129"/>
  <c r="AA49" i="129"/>
  <c r="AA50" i="129"/>
  <c r="AA51" i="129"/>
  <c r="AA52" i="129"/>
  <c r="AA53" i="129"/>
  <c r="AA54" i="129"/>
  <c r="AA55" i="129"/>
  <c r="AA56" i="129"/>
  <c r="AA57" i="129"/>
  <c r="AA58" i="129"/>
  <c r="AA59" i="129"/>
  <c r="AA60" i="129"/>
  <c r="AA61" i="129"/>
  <c r="AA62" i="129"/>
  <c r="U69" i="129"/>
  <c r="AA64" i="129"/>
  <c r="AA65" i="129"/>
  <c r="AA66" i="129"/>
  <c r="AA67" i="129"/>
  <c r="AA68" i="129"/>
  <c r="U75" i="129"/>
  <c r="AA70" i="129"/>
  <c r="AA71" i="129"/>
  <c r="AA72" i="129"/>
  <c r="AA73" i="129"/>
  <c r="AA74" i="129"/>
  <c r="AA98" i="129"/>
  <c r="AC78" i="129"/>
  <c r="AC79" i="129"/>
  <c r="AC80" i="129"/>
  <c r="AC81" i="129"/>
  <c r="AC82" i="129"/>
  <c r="AC83" i="129"/>
  <c r="AC84" i="129"/>
  <c r="AC85" i="129"/>
  <c r="AC86" i="129"/>
  <c r="AC87" i="129"/>
  <c r="AC88" i="129"/>
  <c r="AC89" i="129"/>
  <c r="AC90" i="129"/>
  <c r="AC91" i="129"/>
  <c r="AC92" i="129"/>
  <c r="AC93" i="129"/>
  <c r="AC94" i="129"/>
  <c r="AC95" i="129"/>
  <c r="AC96" i="129"/>
  <c r="AC97" i="129"/>
  <c r="H69" i="128"/>
  <c r="G57" i="128"/>
  <c r="L57" i="128" s="1"/>
  <c r="F46" i="128"/>
  <c r="AA21" i="128"/>
  <c r="AA20" i="128"/>
  <c r="AA19" i="128"/>
  <c r="AA18" i="128"/>
  <c r="AA17" i="128"/>
  <c r="AA16" i="128"/>
  <c r="AA15" i="128"/>
  <c r="AA14" i="128"/>
  <c r="AA13" i="128"/>
  <c r="X42" i="128"/>
  <c r="W42" i="128"/>
  <c r="Z12" i="128"/>
  <c r="Z42" i="128" s="1"/>
  <c r="V42" i="128"/>
  <c r="Y12" i="128"/>
  <c r="Y42" i="128" s="1"/>
  <c r="U42" i="128"/>
  <c r="AA12" i="128"/>
  <c r="V63" i="128"/>
  <c r="Y43" i="128"/>
  <c r="Y63" i="128" s="1"/>
  <c r="W63" i="128"/>
  <c r="Z43" i="128"/>
  <c r="Z63" i="128" s="1"/>
  <c r="V69" i="128"/>
  <c r="Y64" i="128"/>
  <c r="Y69" i="128" s="1"/>
  <c r="W69" i="128"/>
  <c r="Z64" i="128"/>
  <c r="Z69" i="128" s="1"/>
  <c r="V75" i="128"/>
  <c r="Y70" i="128"/>
  <c r="Y75" i="128" s="1"/>
  <c r="W75" i="128"/>
  <c r="Z70" i="128"/>
  <c r="Z75" i="128" s="1"/>
  <c r="AA22" i="128"/>
  <c r="AA23" i="128"/>
  <c r="AA24" i="128"/>
  <c r="AA25" i="128"/>
  <c r="AA26" i="128"/>
  <c r="AA27" i="128"/>
  <c r="AA28" i="128"/>
  <c r="AA29" i="128"/>
  <c r="AA30" i="128"/>
  <c r="AA31" i="128"/>
  <c r="AA32" i="128"/>
  <c r="AA33" i="128"/>
  <c r="AA34" i="128"/>
  <c r="AA35" i="128"/>
  <c r="AA36" i="128"/>
  <c r="AA37" i="128"/>
  <c r="AA38" i="128"/>
  <c r="AA39" i="128"/>
  <c r="AA40" i="128"/>
  <c r="AA41" i="128"/>
  <c r="U63" i="128"/>
  <c r="AA43" i="128"/>
  <c r="AA44" i="128"/>
  <c r="AA45" i="128"/>
  <c r="AA46" i="128"/>
  <c r="AA47" i="128"/>
  <c r="AA48" i="128"/>
  <c r="AA49" i="128"/>
  <c r="AA50" i="128"/>
  <c r="AA51" i="128"/>
  <c r="AA52" i="128"/>
  <c r="AA53" i="128"/>
  <c r="AA54" i="128"/>
  <c r="AA55" i="128"/>
  <c r="AA56" i="128"/>
  <c r="AA57" i="128"/>
  <c r="AA58" i="128"/>
  <c r="AA59" i="128"/>
  <c r="AA60" i="128"/>
  <c r="AA61" i="128"/>
  <c r="AA62" i="128"/>
  <c r="U69" i="128"/>
  <c r="AA64" i="128"/>
  <c r="AA65" i="128"/>
  <c r="AA66" i="128"/>
  <c r="AA67" i="128"/>
  <c r="AA68" i="128"/>
  <c r="U75" i="128"/>
  <c r="AA70" i="128"/>
  <c r="AA71" i="128"/>
  <c r="AA72" i="128"/>
  <c r="AA73" i="128"/>
  <c r="AA74" i="128"/>
  <c r="AA98" i="128"/>
  <c r="AC78" i="128"/>
  <c r="AC79" i="128"/>
  <c r="AC80" i="128"/>
  <c r="AC81" i="128"/>
  <c r="AC82" i="128"/>
  <c r="AC83" i="128"/>
  <c r="AC84" i="128"/>
  <c r="AC85" i="128"/>
  <c r="AC86" i="128"/>
  <c r="AC87" i="128"/>
  <c r="AC88" i="128"/>
  <c r="AC89" i="128"/>
  <c r="AC90" i="128"/>
  <c r="AC91" i="128"/>
  <c r="AC92" i="128"/>
  <c r="AC93" i="128"/>
  <c r="AC94" i="128"/>
  <c r="AC95" i="128"/>
  <c r="AC96" i="128"/>
  <c r="AC97" i="128"/>
  <c r="H69" i="127"/>
  <c r="G57" i="127"/>
  <c r="L57" i="127" s="1"/>
  <c r="F46" i="127"/>
  <c r="AA21" i="127"/>
  <c r="AA20" i="127"/>
  <c r="AA19" i="127"/>
  <c r="AA18" i="127"/>
  <c r="AA17" i="127"/>
  <c r="AA16" i="127"/>
  <c r="AA15" i="127"/>
  <c r="AA14" i="127"/>
  <c r="AA13" i="127"/>
  <c r="X42" i="127"/>
  <c r="W42" i="127"/>
  <c r="Z12" i="127"/>
  <c r="Z42" i="127" s="1"/>
  <c r="V42" i="127"/>
  <c r="Y12" i="127"/>
  <c r="Y42" i="127" s="1"/>
  <c r="U42" i="127"/>
  <c r="AA12" i="127"/>
  <c r="V63" i="127"/>
  <c r="Y43" i="127"/>
  <c r="Y63" i="127" s="1"/>
  <c r="W63" i="127"/>
  <c r="Z43" i="127"/>
  <c r="Z63" i="127" s="1"/>
  <c r="V69" i="127"/>
  <c r="Y64" i="127"/>
  <c r="Y69" i="127" s="1"/>
  <c r="W69" i="127"/>
  <c r="Z64" i="127"/>
  <c r="Z69" i="127" s="1"/>
  <c r="V75" i="127"/>
  <c r="Y70" i="127"/>
  <c r="Y75" i="127" s="1"/>
  <c r="W75" i="127"/>
  <c r="Z70" i="127"/>
  <c r="Z75" i="127" s="1"/>
  <c r="AA22" i="127"/>
  <c r="AA23" i="127"/>
  <c r="AA24" i="127"/>
  <c r="AA25" i="127"/>
  <c r="AA26" i="127"/>
  <c r="AA27" i="127"/>
  <c r="AA28" i="127"/>
  <c r="AA29" i="127"/>
  <c r="AA30" i="127"/>
  <c r="AA31" i="127"/>
  <c r="AA32" i="127"/>
  <c r="AA33" i="127"/>
  <c r="AA34" i="127"/>
  <c r="AA35" i="127"/>
  <c r="AA36" i="127"/>
  <c r="AA37" i="127"/>
  <c r="AA38" i="127"/>
  <c r="AA39" i="127"/>
  <c r="AA40" i="127"/>
  <c r="AA41" i="127"/>
  <c r="U63" i="127"/>
  <c r="AA43" i="127"/>
  <c r="AA44" i="127"/>
  <c r="AA45" i="127"/>
  <c r="AA46" i="127"/>
  <c r="AA47" i="127"/>
  <c r="AA48" i="127"/>
  <c r="AA49" i="127"/>
  <c r="AA50" i="127"/>
  <c r="AA51" i="127"/>
  <c r="AA52" i="127"/>
  <c r="AA53" i="127"/>
  <c r="AA54" i="127"/>
  <c r="AA55" i="127"/>
  <c r="AA56" i="127"/>
  <c r="AA57" i="127"/>
  <c r="AA58" i="127"/>
  <c r="AA59" i="127"/>
  <c r="AA60" i="127"/>
  <c r="AA61" i="127"/>
  <c r="AA62" i="127"/>
  <c r="U69" i="127"/>
  <c r="AA64" i="127"/>
  <c r="AA65" i="127"/>
  <c r="AA66" i="127"/>
  <c r="AA67" i="127"/>
  <c r="AA68" i="127"/>
  <c r="U75" i="127"/>
  <c r="AA70" i="127"/>
  <c r="AA71" i="127"/>
  <c r="AA72" i="127"/>
  <c r="AA73" i="127"/>
  <c r="AA74" i="127"/>
  <c r="AA98" i="127"/>
  <c r="AC78" i="127"/>
  <c r="AC79" i="127"/>
  <c r="AC80" i="127"/>
  <c r="AC81" i="127"/>
  <c r="AC82" i="127"/>
  <c r="AC83" i="127"/>
  <c r="AC84" i="127"/>
  <c r="AC85" i="127"/>
  <c r="AC86" i="127"/>
  <c r="AC87" i="127"/>
  <c r="AC88" i="127"/>
  <c r="AC89" i="127"/>
  <c r="AC90" i="127"/>
  <c r="AC91" i="127"/>
  <c r="AC92" i="127"/>
  <c r="AC93" i="127"/>
  <c r="AC94" i="127"/>
  <c r="AC95" i="127"/>
  <c r="AC96" i="127"/>
  <c r="AC97" i="127"/>
  <c r="G57" i="126"/>
  <c r="L57" i="126" s="1"/>
  <c r="F46" i="126"/>
  <c r="AA21" i="126"/>
  <c r="AA20" i="126"/>
  <c r="AA19" i="126"/>
  <c r="AA18" i="126"/>
  <c r="AA17" i="126"/>
  <c r="AA16" i="126"/>
  <c r="AA15" i="126"/>
  <c r="AA14" i="126"/>
  <c r="AA13" i="126"/>
  <c r="X42" i="126"/>
  <c r="W42" i="126"/>
  <c r="Z12" i="126"/>
  <c r="Z42" i="126" s="1"/>
  <c r="V42" i="126"/>
  <c r="Y12" i="126"/>
  <c r="Y42" i="126" s="1"/>
  <c r="U42" i="126"/>
  <c r="AA12" i="126"/>
  <c r="V63" i="126"/>
  <c r="Y43" i="126"/>
  <c r="Y63" i="126" s="1"/>
  <c r="W63" i="126"/>
  <c r="Z43" i="126"/>
  <c r="Z63" i="126" s="1"/>
  <c r="V69" i="126"/>
  <c r="Y64" i="126"/>
  <c r="Y69" i="126" s="1"/>
  <c r="W69" i="126"/>
  <c r="Z64" i="126"/>
  <c r="Z69" i="126" s="1"/>
  <c r="V75" i="126"/>
  <c r="Y70" i="126"/>
  <c r="Y75" i="126" s="1"/>
  <c r="W75" i="126"/>
  <c r="Z70" i="126"/>
  <c r="Z75" i="126" s="1"/>
  <c r="AA22" i="126"/>
  <c r="AA23" i="126"/>
  <c r="AA24" i="126"/>
  <c r="AA25" i="126"/>
  <c r="AA26" i="126"/>
  <c r="AA27" i="126"/>
  <c r="AA28" i="126"/>
  <c r="AA29" i="126"/>
  <c r="AA30" i="126"/>
  <c r="AA31" i="126"/>
  <c r="AA32" i="126"/>
  <c r="AA33" i="126"/>
  <c r="AA34" i="126"/>
  <c r="AA35" i="126"/>
  <c r="AA36" i="126"/>
  <c r="AA37" i="126"/>
  <c r="AA38" i="126"/>
  <c r="AA39" i="126"/>
  <c r="AA40" i="126"/>
  <c r="AA41" i="126"/>
  <c r="U63" i="126"/>
  <c r="AA43" i="126"/>
  <c r="AA44" i="126"/>
  <c r="AA45" i="126"/>
  <c r="AA46" i="126"/>
  <c r="AA47" i="126"/>
  <c r="AA48" i="126"/>
  <c r="AA49" i="126"/>
  <c r="AA50" i="126"/>
  <c r="AA51" i="126"/>
  <c r="AA52" i="126"/>
  <c r="AA53" i="126"/>
  <c r="AA54" i="126"/>
  <c r="AA55" i="126"/>
  <c r="AA56" i="126"/>
  <c r="AA57" i="126"/>
  <c r="AA58" i="126"/>
  <c r="AA59" i="126"/>
  <c r="AA60" i="126"/>
  <c r="AA61" i="126"/>
  <c r="AA62" i="126"/>
  <c r="U69" i="126"/>
  <c r="AA64" i="126"/>
  <c r="AA65" i="126"/>
  <c r="AA66" i="126"/>
  <c r="AA67" i="126"/>
  <c r="AA68" i="126"/>
  <c r="U75" i="126"/>
  <c r="AA70" i="126"/>
  <c r="AA71" i="126"/>
  <c r="AA72" i="126"/>
  <c r="AA73" i="126"/>
  <c r="AA74" i="126"/>
  <c r="AA98" i="126"/>
  <c r="AC78" i="126"/>
  <c r="AC79" i="126"/>
  <c r="AC80" i="126"/>
  <c r="AC81" i="126"/>
  <c r="AC82" i="126"/>
  <c r="AC83" i="126"/>
  <c r="AC84" i="126"/>
  <c r="AC85" i="126"/>
  <c r="AC86" i="126"/>
  <c r="AC87" i="126"/>
  <c r="AC88" i="126"/>
  <c r="AC89" i="126"/>
  <c r="AC90" i="126"/>
  <c r="AC91" i="126"/>
  <c r="AC92" i="126"/>
  <c r="AC93" i="126"/>
  <c r="AC94" i="126"/>
  <c r="AC95" i="126"/>
  <c r="AC96" i="126"/>
  <c r="AC97" i="126"/>
  <c r="G57" i="125"/>
  <c r="L57" i="125" s="1"/>
  <c r="F46" i="125"/>
  <c r="AA21" i="125"/>
  <c r="AA20" i="125"/>
  <c r="AA19" i="125"/>
  <c r="AA18" i="125"/>
  <c r="AA17" i="125"/>
  <c r="AA16" i="125"/>
  <c r="AA15" i="125"/>
  <c r="AA14" i="125"/>
  <c r="AA13" i="125"/>
  <c r="X42" i="125"/>
  <c r="W42" i="125"/>
  <c r="Z12" i="125"/>
  <c r="Z42" i="125" s="1"/>
  <c r="V42" i="125"/>
  <c r="Y12" i="125"/>
  <c r="Y42" i="125" s="1"/>
  <c r="U42" i="125"/>
  <c r="AA12" i="125"/>
  <c r="V63" i="125"/>
  <c r="Y43" i="125"/>
  <c r="Y63" i="125" s="1"/>
  <c r="W63" i="125"/>
  <c r="Z43" i="125"/>
  <c r="Z63" i="125" s="1"/>
  <c r="V69" i="125"/>
  <c r="Y64" i="125"/>
  <c r="Y69" i="125" s="1"/>
  <c r="W69" i="125"/>
  <c r="Z64" i="125"/>
  <c r="Z69" i="125" s="1"/>
  <c r="V75" i="125"/>
  <c r="Y70" i="125"/>
  <c r="Y75" i="125" s="1"/>
  <c r="W75" i="125"/>
  <c r="Z70" i="125"/>
  <c r="Z75" i="125" s="1"/>
  <c r="AA22" i="125"/>
  <c r="AA23" i="125"/>
  <c r="AA24" i="125"/>
  <c r="AA25" i="125"/>
  <c r="AA26" i="125"/>
  <c r="AA27" i="125"/>
  <c r="AA28" i="125"/>
  <c r="AA29" i="125"/>
  <c r="AA30" i="125"/>
  <c r="AA31" i="125"/>
  <c r="AA32" i="125"/>
  <c r="AA33" i="125"/>
  <c r="AA34" i="125"/>
  <c r="AA35" i="125"/>
  <c r="AA36" i="125"/>
  <c r="AA37" i="125"/>
  <c r="AA38" i="125"/>
  <c r="AA39" i="125"/>
  <c r="AA40" i="125"/>
  <c r="AA41" i="125"/>
  <c r="U63" i="125"/>
  <c r="AA43" i="125"/>
  <c r="AA44" i="125"/>
  <c r="AA45" i="125"/>
  <c r="AA46" i="125"/>
  <c r="AA47" i="125"/>
  <c r="AA48" i="125"/>
  <c r="AA49" i="125"/>
  <c r="AA50" i="125"/>
  <c r="AA51" i="125"/>
  <c r="AA52" i="125"/>
  <c r="AA53" i="125"/>
  <c r="AA54" i="125"/>
  <c r="AA55" i="125"/>
  <c r="AA56" i="125"/>
  <c r="AA57" i="125"/>
  <c r="AA58" i="125"/>
  <c r="AA59" i="125"/>
  <c r="AA60" i="125"/>
  <c r="AA61" i="125"/>
  <c r="AA62" i="125"/>
  <c r="U69" i="125"/>
  <c r="AA64" i="125"/>
  <c r="AA65" i="125"/>
  <c r="AA66" i="125"/>
  <c r="AA67" i="125"/>
  <c r="AA68" i="125"/>
  <c r="U75" i="125"/>
  <c r="AA70" i="125"/>
  <c r="AA71" i="125"/>
  <c r="AA72" i="125"/>
  <c r="AA73" i="125"/>
  <c r="AA74" i="125"/>
  <c r="AA98" i="125"/>
  <c r="AC78" i="125"/>
  <c r="AC79" i="125"/>
  <c r="AC80" i="125"/>
  <c r="AC81" i="125"/>
  <c r="AC82" i="125"/>
  <c r="AC83" i="125"/>
  <c r="AC84" i="125"/>
  <c r="AC85" i="125"/>
  <c r="AC86" i="125"/>
  <c r="AC87" i="125"/>
  <c r="AC88" i="125"/>
  <c r="AC89" i="125"/>
  <c r="AC90" i="125"/>
  <c r="AC91" i="125"/>
  <c r="AC92" i="125"/>
  <c r="AC93" i="125"/>
  <c r="AC94" i="125"/>
  <c r="AC95" i="125"/>
  <c r="AC96" i="125"/>
  <c r="AC97" i="125"/>
  <c r="G57" i="124"/>
  <c r="L57" i="124" s="1"/>
  <c r="F46" i="124"/>
  <c r="AA21" i="124"/>
  <c r="AA20" i="124"/>
  <c r="AA19" i="124"/>
  <c r="AA18" i="124"/>
  <c r="AA17" i="124"/>
  <c r="AA16" i="124"/>
  <c r="AA15" i="124"/>
  <c r="AA14" i="124"/>
  <c r="AA13" i="124"/>
  <c r="X42" i="124"/>
  <c r="W42" i="124"/>
  <c r="Z12" i="124"/>
  <c r="Z42" i="124" s="1"/>
  <c r="V42" i="124"/>
  <c r="Y12" i="124"/>
  <c r="Y42" i="124" s="1"/>
  <c r="U42" i="124"/>
  <c r="AA12" i="124"/>
  <c r="V63" i="124"/>
  <c r="Y43" i="124"/>
  <c r="Y63" i="124" s="1"/>
  <c r="W63" i="124"/>
  <c r="Z43" i="124"/>
  <c r="Z63" i="124" s="1"/>
  <c r="V69" i="124"/>
  <c r="Y64" i="124"/>
  <c r="Y69" i="124" s="1"/>
  <c r="W69" i="124"/>
  <c r="Z64" i="124"/>
  <c r="Z69" i="124" s="1"/>
  <c r="V75" i="124"/>
  <c r="Y70" i="124"/>
  <c r="Y75" i="124" s="1"/>
  <c r="W75" i="124"/>
  <c r="Z70" i="124"/>
  <c r="Z75" i="124" s="1"/>
  <c r="AA22" i="124"/>
  <c r="AA23" i="124"/>
  <c r="AA24" i="124"/>
  <c r="AA25" i="124"/>
  <c r="AA26" i="124"/>
  <c r="AA27" i="124"/>
  <c r="AA28" i="124"/>
  <c r="AA29" i="124"/>
  <c r="AA30" i="124"/>
  <c r="AA31" i="124"/>
  <c r="AA32" i="124"/>
  <c r="AA33" i="124"/>
  <c r="AA34" i="124"/>
  <c r="AA35" i="124"/>
  <c r="AA36" i="124"/>
  <c r="AA37" i="124"/>
  <c r="AA38" i="124"/>
  <c r="AA39" i="124"/>
  <c r="AA40" i="124"/>
  <c r="AA41" i="124"/>
  <c r="U63" i="124"/>
  <c r="AA43" i="124"/>
  <c r="AA44" i="124"/>
  <c r="AA45" i="124"/>
  <c r="AA46" i="124"/>
  <c r="AA47" i="124"/>
  <c r="AA48" i="124"/>
  <c r="AA49" i="124"/>
  <c r="AA50" i="124"/>
  <c r="AA51" i="124"/>
  <c r="AA52" i="124"/>
  <c r="AA53" i="124"/>
  <c r="AA54" i="124"/>
  <c r="AA55" i="124"/>
  <c r="AA56" i="124"/>
  <c r="AA57" i="124"/>
  <c r="AA58" i="124"/>
  <c r="AA59" i="124"/>
  <c r="AA60" i="124"/>
  <c r="AA61" i="124"/>
  <c r="AA62" i="124"/>
  <c r="U69" i="124"/>
  <c r="AA64" i="124"/>
  <c r="AA65" i="124"/>
  <c r="AA66" i="124"/>
  <c r="AA67" i="124"/>
  <c r="AA68" i="124"/>
  <c r="U75" i="124"/>
  <c r="AA70" i="124"/>
  <c r="AA71" i="124"/>
  <c r="AA72" i="124"/>
  <c r="AA73" i="124"/>
  <c r="AA74" i="124"/>
  <c r="AA98" i="124"/>
  <c r="AC78" i="124"/>
  <c r="AC79" i="124"/>
  <c r="AC80" i="124"/>
  <c r="AC81" i="124"/>
  <c r="AC82" i="124"/>
  <c r="AC83" i="124"/>
  <c r="AC84" i="124"/>
  <c r="AC85" i="124"/>
  <c r="AC86" i="124"/>
  <c r="AC87" i="124"/>
  <c r="AC88" i="124"/>
  <c r="AC89" i="124"/>
  <c r="AC90" i="124"/>
  <c r="AC91" i="124"/>
  <c r="AC92" i="124"/>
  <c r="AC93" i="124"/>
  <c r="AC94" i="124"/>
  <c r="AC95" i="124"/>
  <c r="AC96" i="124"/>
  <c r="AC97" i="124"/>
  <c r="G57" i="123"/>
  <c r="L57" i="123" s="1"/>
  <c r="F46" i="123"/>
  <c r="AA21" i="123"/>
  <c r="AA20" i="123"/>
  <c r="AA19" i="123"/>
  <c r="AA18" i="123"/>
  <c r="AA17" i="123"/>
  <c r="AA16" i="123"/>
  <c r="AA15" i="123"/>
  <c r="AA14" i="123"/>
  <c r="AA13" i="123"/>
  <c r="X42" i="123"/>
  <c r="W42" i="123"/>
  <c r="Z12" i="123"/>
  <c r="Z42" i="123" s="1"/>
  <c r="V42" i="123"/>
  <c r="Y12" i="123"/>
  <c r="Y42" i="123" s="1"/>
  <c r="U42" i="123"/>
  <c r="AA12" i="123"/>
  <c r="V63" i="123"/>
  <c r="Y43" i="123"/>
  <c r="Y63" i="123" s="1"/>
  <c r="W63" i="123"/>
  <c r="Z43" i="123"/>
  <c r="Z63" i="123" s="1"/>
  <c r="V69" i="123"/>
  <c r="Y64" i="123"/>
  <c r="Y69" i="123" s="1"/>
  <c r="W69" i="123"/>
  <c r="Z64" i="123"/>
  <c r="Z69" i="123" s="1"/>
  <c r="V75" i="123"/>
  <c r="Y70" i="123"/>
  <c r="Y75" i="123" s="1"/>
  <c r="W75" i="123"/>
  <c r="Z70" i="123"/>
  <c r="Z75" i="123" s="1"/>
  <c r="AA22" i="123"/>
  <c r="AA23" i="123"/>
  <c r="AA24" i="123"/>
  <c r="AA25" i="123"/>
  <c r="AA26" i="123"/>
  <c r="AA27" i="123"/>
  <c r="AA28" i="123"/>
  <c r="AA29" i="123"/>
  <c r="AA30" i="123"/>
  <c r="AA31" i="123"/>
  <c r="AA32" i="123"/>
  <c r="AA33" i="123"/>
  <c r="AA34" i="123"/>
  <c r="AA35" i="123"/>
  <c r="AA36" i="123"/>
  <c r="AA37" i="123"/>
  <c r="AA38" i="123"/>
  <c r="AA39" i="123"/>
  <c r="AA40" i="123"/>
  <c r="AA41" i="123"/>
  <c r="U63" i="123"/>
  <c r="AA43" i="123"/>
  <c r="AA44" i="123"/>
  <c r="AA45" i="123"/>
  <c r="AA46" i="123"/>
  <c r="AA47" i="123"/>
  <c r="AA48" i="123"/>
  <c r="AA49" i="123"/>
  <c r="AA50" i="123"/>
  <c r="AA51" i="123"/>
  <c r="AA52" i="123"/>
  <c r="AA53" i="123"/>
  <c r="AA54" i="123"/>
  <c r="AA55" i="123"/>
  <c r="AA56" i="123"/>
  <c r="AA57" i="123"/>
  <c r="AA58" i="123"/>
  <c r="AA59" i="123"/>
  <c r="AA60" i="123"/>
  <c r="AA61" i="123"/>
  <c r="AA62" i="123"/>
  <c r="U69" i="123"/>
  <c r="AA64" i="123"/>
  <c r="AA65" i="123"/>
  <c r="AA66" i="123"/>
  <c r="AA67" i="123"/>
  <c r="AA68" i="123"/>
  <c r="U75" i="123"/>
  <c r="AA70" i="123"/>
  <c r="AA71" i="123"/>
  <c r="AA72" i="123"/>
  <c r="AA73" i="123"/>
  <c r="AA74" i="123"/>
  <c r="AA98" i="123"/>
  <c r="AC78" i="123"/>
  <c r="AC79" i="123"/>
  <c r="AC80" i="123"/>
  <c r="AC81" i="123"/>
  <c r="AC82" i="123"/>
  <c r="AC83" i="123"/>
  <c r="AC84" i="123"/>
  <c r="AC85" i="123"/>
  <c r="AC86" i="123"/>
  <c r="AC87" i="123"/>
  <c r="AC88" i="123"/>
  <c r="AC89" i="123"/>
  <c r="AC90" i="123"/>
  <c r="AC91" i="123"/>
  <c r="AC92" i="123"/>
  <c r="AC93" i="123"/>
  <c r="AC94" i="123"/>
  <c r="AC95" i="123"/>
  <c r="AC96" i="123"/>
  <c r="AC97" i="123"/>
  <c r="G57" i="122"/>
  <c r="L57" i="122" s="1"/>
  <c r="F46" i="122"/>
  <c r="AA21" i="122"/>
  <c r="AA20" i="122"/>
  <c r="AA19" i="122"/>
  <c r="AA18" i="122"/>
  <c r="AA17" i="122"/>
  <c r="AA16" i="122"/>
  <c r="AA15" i="122"/>
  <c r="AA14" i="122"/>
  <c r="AA13" i="122"/>
  <c r="X42" i="122"/>
  <c r="W42" i="122"/>
  <c r="Z12" i="122"/>
  <c r="Z42" i="122" s="1"/>
  <c r="V42" i="122"/>
  <c r="Y12" i="122"/>
  <c r="Y42" i="122" s="1"/>
  <c r="U42" i="122"/>
  <c r="AA12" i="122"/>
  <c r="V63" i="122"/>
  <c r="Y43" i="122"/>
  <c r="Y63" i="122" s="1"/>
  <c r="W63" i="122"/>
  <c r="Z43" i="122"/>
  <c r="Z63" i="122" s="1"/>
  <c r="V69" i="122"/>
  <c r="Y64" i="122"/>
  <c r="Y69" i="122" s="1"/>
  <c r="W69" i="122"/>
  <c r="Z64" i="122"/>
  <c r="Z69" i="122" s="1"/>
  <c r="V75" i="122"/>
  <c r="Y70" i="122"/>
  <c r="Y75" i="122" s="1"/>
  <c r="W75" i="122"/>
  <c r="Z70" i="122"/>
  <c r="Z75" i="122" s="1"/>
  <c r="AA22" i="122"/>
  <c r="AA23" i="122"/>
  <c r="AA24" i="122"/>
  <c r="AA25" i="122"/>
  <c r="AA26" i="122"/>
  <c r="AA27" i="122"/>
  <c r="AA28" i="122"/>
  <c r="AA29" i="122"/>
  <c r="AA30" i="122"/>
  <c r="AA31" i="122"/>
  <c r="AA32" i="122"/>
  <c r="AA33" i="122"/>
  <c r="AA34" i="122"/>
  <c r="AA35" i="122"/>
  <c r="AA36" i="122"/>
  <c r="AA37" i="122"/>
  <c r="AA38" i="122"/>
  <c r="AA39" i="122"/>
  <c r="AA40" i="122"/>
  <c r="AA41" i="122"/>
  <c r="U63" i="122"/>
  <c r="AA43" i="122"/>
  <c r="AA44" i="122"/>
  <c r="AA45" i="122"/>
  <c r="AA46" i="122"/>
  <c r="AA47" i="122"/>
  <c r="AA48" i="122"/>
  <c r="AA49" i="122"/>
  <c r="AA50" i="122"/>
  <c r="AA51" i="122"/>
  <c r="AA52" i="122"/>
  <c r="AA53" i="122"/>
  <c r="AA54" i="122"/>
  <c r="AA55" i="122"/>
  <c r="AA56" i="122"/>
  <c r="AA57" i="122"/>
  <c r="AA58" i="122"/>
  <c r="AA59" i="122"/>
  <c r="AA60" i="122"/>
  <c r="AA61" i="122"/>
  <c r="AA62" i="122"/>
  <c r="U69" i="122"/>
  <c r="AA64" i="122"/>
  <c r="AA65" i="122"/>
  <c r="AA66" i="122"/>
  <c r="AA67" i="122"/>
  <c r="AA68" i="122"/>
  <c r="U75" i="122"/>
  <c r="AA70" i="122"/>
  <c r="AA71" i="122"/>
  <c r="AA72" i="122"/>
  <c r="AA73" i="122"/>
  <c r="AA74" i="122"/>
  <c r="AA98" i="122"/>
  <c r="AC78" i="122"/>
  <c r="AC79" i="122"/>
  <c r="AC80" i="122"/>
  <c r="AC81" i="122"/>
  <c r="AC82" i="122"/>
  <c r="AC83" i="122"/>
  <c r="AC84" i="122"/>
  <c r="AC85" i="122"/>
  <c r="AC86" i="122"/>
  <c r="AC87" i="122"/>
  <c r="AC88" i="122"/>
  <c r="AC89" i="122"/>
  <c r="AC90" i="122"/>
  <c r="AC91" i="122"/>
  <c r="AC92" i="122"/>
  <c r="AC93" i="122"/>
  <c r="AC94" i="122"/>
  <c r="AC95" i="122"/>
  <c r="AC96" i="122"/>
  <c r="AC97" i="122"/>
  <c r="G57" i="121"/>
  <c r="L57" i="121" s="1"/>
  <c r="F46" i="121"/>
  <c r="AA21" i="121"/>
  <c r="AA20" i="121"/>
  <c r="AA19" i="121"/>
  <c r="AA18" i="121"/>
  <c r="AA17" i="121"/>
  <c r="AA16" i="121"/>
  <c r="AA15" i="121"/>
  <c r="AA14" i="121"/>
  <c r="AA13" i="121"/>
  <c r="X42" i="121"/>
  <c r="W42" i="121"/>
  <c r="Z12" i="121"/>
  <c r="Z42" i="121" s="1"/>
  <c r="V42" i="121"/>
  <c r="Y12" i="121"/>
  <c r="Y42" i="121" s="1"/>
  <c r="U42" i="121"/>
  <c r="AA12" i="121"/>
  <c r="V63" i="121"/>
  <c r="Y43" i="121"/>
  <c r="Y63" i="121" s="1"/>
  <c r="W63" i="121"/>
  <c r="Z43" i="121"/>
  <c r="Z63" i="121" s="1"/>
  <c r="V69" i="121"/>
  <c r="Y64" i="121"/>
  <c r="Y69" i="121" s="1"/>
  <c r="W69" i="121"/>
  <c r="Z64" i="121"/>
  <c r="Z69" i="121" s="1"/>
  <c r="V75" i="121"/>
  <c r="Y70" i="121"/>
  <c r="Y75" i="121" s="1"/>
  <c r="W75" i="121"/>
  <c r="Z70" i="121"/>
  <c r="Z75" i="121" s="1"/>
  <c r="AA22" i="121"/>
  <c r="AA23" i="121"/>
  <c r="AA24" i="121"/>
  <c r="AA25" i="121"/>
  <c r="AA26" i="121"/>
  <c r="AA27" i="121"/>
  <c r="AA28" i="121"/>
  <c r="AA29" i="121"/>
  <c r="AA30" i="121"/>
  <c r="AA31" i="121"/>
  <c r="AA32" i="121"/>
  <c r="AA33" i="121"/>
  <c r="AA34" i="121"/>
  <c r="AA35" i="121"/>
  <c r="AA36" i="121"/>
  <c r="AA37" i="121"/>
  <c r="AA38" i="121"/>
  <c r="AA39" i="121"/>
  <c r="AA40" i="121"/>
  <c r="AA41" i="121"/>
  <c r="U63" i="121"/>
  <c r="AA43" i="121"/>
  <c r="AA44" i="121"/>
  <c r="AA45" i="121"/>
  <c r="AA46" i="121"/>
  <c r="AA47" i="121"/>
  <c r="AA48" i="121"/>
  <c r="AA49" i="121"/>
  <c r="AA50" i="121"/>
  <c r="AA51" i="121"/>
  <c r="AA52" i="121"/>
  <c r="AA53" i="121"/>
  <c r="AA54" i="121"/>
  <c r="AA55" i="121"/>
  <c r="AA56" i="121"/>
  <c r="AA57" i="121"/>
  <c r="AA58" i="121"/>
  <c r="AA59" i="121"/>
  <c r="AA60" i="121"/>
  <c r="AA61" i="121"/>
  <c r="AA62" i="121"/>
  <c r="U69" i="121"/>
  <c r="AA64" i="121"/>
  <c r="AA65" i="121"/>
  <c r="AA66" i="121"/>
  <c r="AA67" i="121"/>
  <c r="AA68" i="121"/>
  <c r="U75" i="121"/>
  <c r="AA70" i="121"/>
  <c r="AA71" i="121"/>
  <c r="AA72" i="121"/>
  <c r="AA73" i="121"/>
  <c r="AA74" i="121"/>
  <c r="AA98" i="121"/>
  <c r="AC78" i="121"/>
  <c r="AC79" i="121"/>
  <c r="AC80" i="121"/>
  <c r="AC81" i="121"/>
  <c r="AC82" i="121"/>
  <c r="AC83" i="121"/>
  <c r="AC84" i="121"/>
  <c r="AC85" i="121"/>
  <c r="AC86" i="121"/>
  <c r="AC87" i="121"/>
  <c r="AC88" i="121"/>
  <c r="AC89" i="121"/>
  <c r="AC90" i="121"/>
  <c r="AC91" i="121"/>
  <c r="AC92" i="121"/>
  <c r="AC93" i="121"/>
  <c r="AC94" i="121"/>
  <c r="AC95" i="121"/>
  <c r="AC96" i="121"/>
  <c r="AC97" i="121"/>
  <c r="G57" i="120"/>
  <c r="L57" i="120" s="1"/>
  <c r="F46" i="120"/>
  <c r="AA21" i="120"/>
  <c r="AA20" i="120"/>
  <c r="AA19" i="120"/>
  <c r="AA18" i="120"/>
  <c r="AA17" i="120"/>
  <c r="AA16" i="120"/>
  <c r="AA15" i="120"/>
  <c r="AA14" i="120"/>
  <c r="AA13" i="120"/>
  <c r="X42" i="120"/>
  <c r="W42" i="120"/>
  <c r="Z12" i="120"/>
  <c r="Z42" i="120" s="1"/>
  <c r="V42" i="120"/>
  <c r="Y12" i="120"/>
  <c r="Y42" i="120" s="1"/>
  <c r="U42" i="120"/>
  <c r="AA12" i="120"/>
  <c r="V63" i="120"/>
  <c r="Y43" i="120"/>
  <c r="Y63" i="120" s="1"/>
  <c r="W63" i="120"/>
  <c r="Z43" i="120"/>
  <c r="Z63" i="120" s="1"/>
  <c r="V69" i="120"/>
  <c r="Y64" i="120"/>
  <c r="Y69" i="120" s="1"/>
  <c r="W69" i="120"/>
  <c r="Z64" i="120"/>
  <c r="Z69" i="120" s="1"/>
  <c r="V75" i="120"/>
  <c r="Y70" i="120"/>
  <c r="Y75" i="120" s="1"/>
  <c r="W75" i="120"/>
  <c r="Z70" i="120"/>
  <c r="Z75" i="120" s="1"/>
  <c r="AA22" i="120"/>
  <c r="AA23" i="120"/>
  <c r="AA24" i="120"/>
  <c r="AA25" i="120"/>
  <c r="AA26" i="120"/>
  <c r="AA27" i="120"/>
  <c r="AA28" i="120"/>
  <c r="AA29" i="120"/>
  <c r="AA30" i="120"/>
  <c r="AA31" i="120"/>
  <c r="AA32" i="120"/>
  <c r="AA33" i="120"/>
  <c r="AA34" i="120"/>
  <c r="AA35" i="120"/>
  <c r="AA36" i="120"/>
  <c r="AA37" i="120"/>
  <c r="AA38" i="120"/>
  <c r="AA39" i="120"/>
  <c r="AA40" i="120"/>
  <c r="AA41" i="120"/>
  <c r="U63" i="120"/>
  <c r="AA43" i="120"/>
  <c r="AA44" i="120"/>
  <c r="AA45" i="120"/>
  <c r="AA46" i="120"/>
  <c r="AA47" i="120"/>
  <c r="AA48" i="120"/>
  <c r="AA49" i="120"/>
  <c r="AA50" i="120"/>
  <c r="AA51" i="120"/>
  <c r="AA52" i="120"/>
  <c r="AA53" i="120"/>
  <c r="AA54" i="120"/>
  <c r="AA55" i="120"/>
  <c r="AA56" i="120"/>
  <c r="AA57" i="120"/>
  <c r="AA58" i="120"/>
  <c r="AA59" i="120"/>
  <c r="AA60" i="120"/>
  <c r="AA61" i="120"/>
  <c r="AA62" i="120"/>
  <c r="U69" i="120"/>
  <c r="AA64" i="120"/>
  <c r="AA65" i="120"/>
  <c r="AA66" i="120"/>
  <c r="AA67" i="120"/>
  <c r="AA68" i="120"/>
  <c r="U75" i="120"/>
  <c r="AA70" i="120"/>
  <c r="AA71" i="120"/>
  <c r="AA72" i="120"/>
  <c r="AA73" i="120"/>
  <c r="AA74" i="120"/>
  <c r="AA98" i="120"/>
  <c r="AC78" i="120"/>
  <c r="AC79" i="120"/>
  <c r="AC80" i="120"/>
  <c r="AC81" i="120"/>
  <c r="AC82" i="120"/>
  <c r="AC83" i="120"/>
  <c r="AC84" i="120"/>
  <c r="AC85" i="120"/>
  <c r="AC86" i="120"/>
  <c r="AC87" i="120"/>
  <c r="AC88" i="120"/>
  <c r="AC89" i="120"/>
  <c r="AC90" i="120"/>
  <c r="AC91" i="120"/>
  <c r="AC92" i="120"/>
  <c r="AC93" i="120"/>
  <c r="AC94" i="120"/>
  <c r="AC95" i="120"/>
  <c r="AC96" i="120"/>
  <c r="AC97" i="120"/>
  <c r="G57" i="119"/>
  <c r="L57" i="119" s="1"/>
  <c r="F46" i="119"/>
  <c r="AA21" i="119"/>
  <c r="AA20" i="119"/>
  <c r="AA19" i="119"/>
  <c r="AA18" i="119"/>
  <c r="AA17" i="119"/>
  <c r="AA16" i="119"/>
  <c r="AA15" i="119"/>
  <c r="AA14" i="119"/>
  <c r="AA13" i="119"/>
  <c r="X42" i="119"/>
  <c r="W42" i="119"/>
  <c r="Z12" i="119"/>
  <c r="Z42" i="119" s="1"/>
  <c r="V42" i="119"/>
  <c r="Y12" i="119"/>
  <c r="Y42" i="119" s="1"/>
  <c r="U42" i="119"/>
  <c r="AA12" i="119"/>
  <c r="V63" i="119"/>
  <c r="Y43" i="119"/>
  <c r="Y63" i="119" s="1"/>
  <c r="W63" i="119"/>
  <c r="Z43" i="119"/>
  <c r="Z63" i="119" s="1"/>
  <c r="V69" i="119"/>
  <c r="Y64" i="119"/>
  <c r="Y69" i="119" s="1"/>
  <c r="W69" i="119"/>
  <c r="Z64" i="119"/>
  <c r="Z69" i="119" s="1"/>
  <c r="V75" i="119"/>
  <c r="Y70" i="119"/>
  <c r="Y75" i="119" s="1"/>
  <c r="W75" i="119"/>
  <c r="Z70" i="119"/>
  <c r="Z75" i="119" s="1"/>
  <c r="AA22" i="119"/>
  <c r="AA23" i="119"/>
  <c r="AA24" i="119"/>
  <c r="AA25" i="119"/>
  <c r="AA26" i="119"/>
  <c r="AA27" i="119"/>
  <c r="AA28" i="119"/>
  <c r="AA29" i="119"/>
  <c r="AA30" i="119"/>
  <c r="AA31" i="119"/>
  <c r="AA32" i="119"/>
  <c r="AA33" i="119"/>
  <c r="AA34" i="119"/>
  <c r="AA35" i="119"/>
  <c r="AA36" i="119"/>
  <c r="AA37" i="119"/>
  <c r="AA38" i="119"/>
  <c r="AA39" i="119"/>
  <c r="AA40" i="119"/>
  <c r="AA41" i="119"/>
  <c r="U63" i="119"/>
  <c r="AA43" i="119"/>
  <c r="AA44" i="119"/>
  <c r="AA45" i="119"/>
  <c r="AA46" i="119"/>
  <c r="AA47" i="119"/>
  <c r="AA48" i="119"/>
  <c r="AA49" i="119"/>
  <c r="AA50" i="119"/>
  <c r="AA51" i="119"/>
  <c r="AA52" i="119"/>
  <c r="AA53" i="119"/>
  <c r="AA54" i="119"/>
  <c r="AA55" i="119"/>
  <c r="AA56" i="119"/>
  <c r="AA57" i="119"/>
  <c r="AA58" i="119"/>
  <c r="AA59" i="119"/>
  <c r="AA60" i="119"/>
  <c r="AA61" i="119"/>
  <c r="AA62" i="119"/>
  <c r="U69" i="119"/>
  <c r="AA64" i="119"/>
  <c r="AA65" i="119"/>
  <c r="AA66" i="119"/>
  <c r="AA67" i="119"/>
  <c r="AA68" i="119"/>
  <c r="U75" i="119"/>
  <c r="AA70" i="119"/>
  <c r="AA71" i="119"/>
  <c r="AA72" i="119"/>
  <c r="AA73" i="119"/>
  <c r="AA74" i="119"/>
  <c r="AA98" i="119"/>
  <c r="AC78" i="119"/>
  <c r="AC79" i="119"/>
  <c r="AC80" i="119"/>
  <c r="AC81" i="119"/>
  <c r="AC82" i="119"/>
  <c r="AC83" i="119"/>
  <c r="AC84" i="119"/>
  <c r="AC85" i="119"/>
  <c r="AC86" i="119"/>
  <c r="AC87" i="119"/>
  <c r="AC88" i="119"/>
  <c r="AC89" i="119"/>
  <c r="AC90" i="119"/>
  <c r="AC91" i="119"/>
  <c r="AC92" i="119"/>
  <c r="AC93" i="119"/>
  <c r="AC94" i="119"/>
  <c r="AC95" i="119"/>
  <c r="AC96" i="119"/>
  <c r="AC97" i="119"/>
  <c r="G57" i="118"/>
  <c r="L57" i="118" s="1"/>
  <c r="F46" i="118"/>
  <c r="AA21" i="118"/>
  <c r="AA20" i="118"/>
  <c r="AA19" i="118"/>
  <c r="AA18" i="118"/>
  <c r="AA17" i="118"/>
  <c r="AA16" i="118"/>
  <c r="AA15" i="118"/>
  <c r="AA14" i="118"/>
  <c r="AA13" i="118"/>
  <c r="X42" i="118"/>
  <c r="W42" i="118"/>
  <c r="Z12" i="118"/>
  <c r="Z42" i="118" s="1"/>
  <c r="V42" i="118"/>
  <c r="Y12" i="118"/>
  <c r="Y42" i="118" s="1"/>
  <c r="U42" i="118"/>
  <c r="AA12" i="118"/>
  <c r="V63" i="118"/>
  <c r="Y43" i="118"/>
  <c r="Y63" i="118" s="1"/>
  <c r="W63" i="118"/>
  <c r="Z43" i="118"/>
  <c r="Z63" i="118" s="1"/>
  <c r="V69" i="118"/>
  <c r="Y64" i="118"/>
  <c r="Y69" i="118" s="1"/>
  <c r="W69" i="118"/>
  <c r="Z64" i="118"/>
  <c r="Z69" i="118" s="1"/>
  <c r="V75" i="118"/>
  <c r="Y70" i="118"/>
  <c r="Y75" i="118" s="1"/>
  <c r="W75" i="118"/>
  <c r="Z70" i="118"/>
  <c r="Z75" i="118" s="1"/>
  <c r="AA22" i="118"/>
  <c r="AA23" i="118"/>
  <c r="AA24" i="118"/>
  <c r="AA25" i="118"/>
  <c r="AA26" i="118"/>
  <c r="AA27" i="118"/>
  <c r="AA28" i="118"/>
  <c r="AA29" i="118"/>
  <c r="AA30" i="118"/>
  <c r="AA31" i="118"/>
  <c r="AA32" i="118"/>
  <c r="AA33" i="118"/>
  <c r="AA34" i="118"/>
  <c r="AA35" i="118"/>
  <c r="AA36" i="118"/>
  <c r="AA37" i="118"/>
  <c r="AA38" i="118"/>
  <c r="AA39" i="118"/>
  <c r="AA40" i="118"/>
  <c r="AA41" i="118"/>
  <c r="U63" i="118"/>
  <c r="AA43" i="118"/>
  <c r="AA44" i="118"/>
  <c r="AA45" i="118"/>
  <c r="AA46" i="118"/>
  <c r="AA47" i="118"/>
  <c r="AA48" i="118"/>
  <c r="AA49" i="118"/>
  <c r="AA50" i="118"/>
  <c r="AA51" i="118"/>
  <c r="AA52" i="118"/>
  <c r="AA53" i="118"/>
  <c r="AA54" i="118"/>
  <c r="AA55" i="118"/>
  <c r="AA56" i="118"/>
  <c r="AA57" i="118"/>
  <c r="AA58" i="118"/>
  <c r="AA59" i="118"/>
  <c r="AA60" i="118"/>
  <c r="AA61" i="118"/>
  <c r="AA62" i="118"/>
  <c r="U69" i="118"/>
  <c r="AA64" i="118"/>
  <c r="AA65" i="118"/>
  <c r="AA66" i="118"/>
  <c r="AA67" i="118"/>
  <c r="AA68" i="118"/>
  <c r="U75" i="118"/>
  <c r="AA70" i="118"/>
  <c r="AA71" i="118"/>
  <c r="AA72" i="118"/>
  <c r="AA73" i="118"/>
  <c r="AA74" i="118"/>
  <c r="AA98" i="118"/>
  <c r="AC78" i="118"/>
  <c r="AC79" i="118"/>
  <c r="AC80" i="118"/>
  <c r="AC81" i="118"/>
  <c r="AC82" i="118"/>
  <c r="AC83" i="118"/>
  <c r="AC84" i="118"/>
  <c r="AC85" i="118"/>
  <c r="AC86" i="118"/>
  <c r="AC87" i="118"/>
  <c r="AC88" i="118"/>
  <c r="AC89" i="118"/>
  <c r="AC90" i="118"/>
  <c r="AC91" i="118"/>
  <c r="AC92" i="118"/>
  <c r="AC93" i="118"/>
  <c r="AC94" i="118"/>
  <c r="AC95" i="118"/>
  <c r="AC96" i="118"/>
  <c r="AC97" i="118"/>
  <c r="G57" i="117"/>
  <c r="L57" i="117" s="1"/>
  <c r="F46" i="117"/>
  <c r="AA21" i="117"/>
  <c r="AA20" i="117"/>
  <c r="AA19" i="117"/>
  <c r="AA18" i="117"/>
  <c r="AA17" i="117"/>
  <c r="AA16" i="117"/>
  <c r="AA15" i="117"/>
  <c r="AA14" i="117"/>
  <c r="AA13" i="117"/>
  <c r="X42" i="117"/>
  <c r="W42" i="117"/>
  <c r="Z12" i="117"/>
  <c r="Z42" i="117" s="1"/>
  <c r="V42" i="117"/>
  <c r="Y12" i="117"/>
  <c r="Y42" i="117" s="1"/>
  <c r="U42" i="117"/>
  <c r="AA12" i="117"/>
  <c r="V63" i="117"/>
  <c r="Y43" i="117"/>
  <c r="Y63" i="117" s="1"/>
  <c r="W63" i="117"/>
  <c r="Z43" i="117"/>
  <c r="Z63" i="117" s="1"/>
  <c r="V69" i="117"/>
  <c r="Y64" i="117"/>
  <c r="Y69" i="117" s="1"/>
  <c r="W69" i="117"/>
  <c r="Z64" i="117"/>
  <c r="Z69" i="117" s="1"/>
  <c r="V75" i="117"/>
  <c r="Y70" i="117"/>
  <c r="Y75" i="117" s="1"/>
  <c r="W75" i="117"/>
  <c r="Z70" i="117"/>
  <c r="Z75" i="117" s="1"/>
  <c r="AA22" i="117"/>
  <c r="AA23" i="117"/>
  <c r="AA24" i="117"/>
  <c r="AA25" i="117"/>
  <c r="AA26" i="117"/>
  <c r="AA27" i="117"/>
  <c r="AA28" i="117"/>
  <c r="AA29" i="117"/>
  <c r="AA30" i="117"/>
  <c r="AA31" i="117"/>
  <c r="AA32" i="117"/>
  <c r="AA33" i="117"/>
  <c r="AA34" i="117"/>
  <c r="AA35" i="117"/>
  <c r="AA36" i="117"/>
  <c r="AA37" i="117"/>
  <c r="AA38" i="117"/>
  <c r="AA39" i="117"/>
  <c r="AA40" i="117"/>
  <c r="AA41" i="117"/>
  <c r="U63" i="117"/>
  <c r="AA43" i="117"/>
  <c r="AA44" i="117"/>
  <c r="AA45" i="117"/>
  <c r="AA46" i="117"/>
  <c r="AA47" i="117"/>
  <c r="AA48" i="117"/>
  <c r="AA49" i="117"/>
  <c r="AA50" i="117"/>
  <c r="AA51" i="117"/>
  <c r="AA52" i="117"/>
  <c r="AA53" i="117"/>
  <c r="AA54" i="117"/>
  <c r="AA55" i="117"/>
  <c r="AA56" i="117"/>
  <c r="AA57" i="117"/>
  <c r="AA58" i="117"/>
  <c r="AA59" i="117"/>
  <c r="AA60" i="117"/>
  <c r="AA61" i="117"/>
  <c r="AA62" i="117"/>
  <c r="U69" i="117"/>
  <c r="AA64" i="117"/>
  <c r="AA65" i="117"/>
  <c r="AA66" i="117"/>
  <c r="AA67" i="117"/>
  <c r="AA68" i="117"/>
  <c r="U75" i="117"/>
  <c r="AA70" i="117"/>
  <c r="AA71" i="117"/>
  <c r="AA72" i="117"/>
  <c r="AA73" i="117"/>
  <c r="AA74" i="117"/>
  <c r="AA98" i="117"/>
  <c r="AC78" i="117"/>
  <c r="AC79" i="117"/>
  <c r="AC80" i="117"/>
  <c r="AC81" i="117"/>
  <c r="AC82" i="117"/>
  <c r="AC83" i="117"/>
  <c r="AC84" i="117"/>
  <c r="AC85" i="117"/>
  <c r="AC86" i="117"/>
  <c r="AC87" i="117"/>
  <c r="AC88" i="117"/>
  <c r="AC89" i="117"/>
  <c r="AC90" i="117"/>
  <c r="AC91" i="117"/>
  <c r="AC92" i="117"/>
  <c r="AC93" i="117"/>
  <c r="AC94" i="117"/>
  <c r="AC95" i="117"/>
  <c r="AC96" i="117"/>
  <c r="AC97" i="117"/>
  <c r="G57" i="116"/>
  <c r="L57" i="116" s="1"/>
  <c r="F46" i="116"/>
  <c r="AA21" i="116"/>
  <c r="AA20" i="116"/>
  <c r="AA19" i="116"/>
  <c r="AA18" i="116"/>
  <c r="AA17" i="116"/>
  <c r="AA16" i="116"/>
  <c r="AA15" i="116"/>
  <c r="AA14" i="116"/>
  <c r="AA13" i="116"/>
  <c r="X42" i="116"/>
  <c r="W42" i="116"/>
  <c r="Z12" i="116"/>
  <c r="Z42" i="116" s="1"/>
  <c r="V42" i="116"/>
  <c r="Y12" i="116"/>
  <c r="Y42" i="116" s="1"/>
  <c r="U42" i="116"/>
  <c r="AA12" i="116"/>
  <c r="V63" i="116"/>
  <c r="Y43" i="116"/>
  <c r="Y63" i="116" s="1"/>
  <c r="W63" i="116"/>
  <c r="Z43" i="116"/>
  <c r="Z63" i="116" s="1"/>
  <c r="V69" i="116"/>
  <c r="Y64" i="116"/>
  <c r="Y69" i="116" s="1"/>
  <c r="W69" i="116"/>
  <c r="Z64" i="116"/>
  <c r="Z69" i="116" s="1"/>
  <c r="V75" i="116"/>
  <c r="Y70" i="116"/>
  <c r="Y75" i="116" s="1"/>
  <c r="W75" i="116"/>
  <c r="Z70" i="116"/>
  <c r="Z75" i="116" s="1"/>
  <c r="AA22" i="116"/>
  <c r="AA23" i="116"/>
  <c r="AA24" i="116"/>
  <c r="AA25" i="116"/>
  <c r="AA26" i="116"/>
  <c r="AA27" i="116"/>
  <c r="AA28" i="116"/>
  <c r="AA29" i="116"/>
  <c r="AA30" i="116"/>
  <c r="AA31" i="116"/>
  <c r="AA32" i="116"/>
  <c r="AA33" i="116"/>
  <c r="AA34" i="116"/>
  <c r="AA35" i="116"/>
  <c r="AA36" i="116"/>
  <c r="AA37" i="116"/>
  <c r="AA38" i="116"/>
  <c r="AA39" i="116"/>
  <c r="AA40" i="116"/>
  <c r="AA41" i="116"/>
  <c r="U63" i="116"/>
  <c r="AA43" i="116"/>
  <c r="AA44" i="116"/>
  <c r="AA45" i="116"/>
  <c r="AA46" i="116"/>
  <c r="AA47" i="116"/>
  <c r="AA48" i="116"/>
  <c r="AA49" i="116"/>
  <c r="AA50" i="116"/>
  <c r="AA51" i="116"/>
  <c r="AA52" i="116"/>
  <c r="AA53" i="116"/>
  <c r="AA54" i="116"/>
  <c r="AA55" i="116"/>
  <c r="AA56" i="116"/>
  <c r="AA57" i="116"/>
  <c r="AA58" i="116"/>
  <c r="AA59" i="116"/>
  <c r="AA60" i="116"/>
  <c r="AA61" i="116"/>
  <c r="AA62" i="116"/>
  <c r="U69" i="116"/>
  <c r="AA64" i="116"/>
  <c r="AA65" i="116"/>
  <c r="AA66" i="116"/>
  <c r="AA67" i="116"/>
  <c r="AA68" i="116"/>
  <c r="U75" i="116"/>
  <c r="AA70" i="116"/>
  <c r="AA71" i="116"/>
  <c r="AA72" i="116"/>
  <c r="AA73" i="116"/>
  <c r="AA74" i="116"/>
  <c r="AA98" i="116"/>
  <c r="AC78" i="116"/>
  <c r="AC79" i="116"/>
  <c r="AC80" i="116"/>
  <c r="AC81" i="116"/>
  <c r="AC82" i="116"/>
  <c r="AC83" i="116"/>
  <c r="AC84" i="116"/>
  <c r="AC85" i="116"/>
  <c r="AC86" i="116"/>
  <c r="AC87" i="116"/>
  <c r="AC88" i="116"/>
  <c r="AC89" i="116"/>
  <c r="AC90" i="116"/>
  <c r="AC91" i="116"/>
  <c r="AC92" i="116"/>
  <c r="AC93" i="116"/>
  <c r="AC94" i="116"/>
  <c r="AC95" i="116"/>
  <c r="AC96" i="116"/>
  <c r="AC97" i="116"/>
  <c r="G57" i="115"/>
  <c r="L57" i="115" s="1"/>
  <c r="F46" i="115"/>
  <c r="AA21" i="115"/>
  <c r="AA20" i="115"/>
  <c r="AA19" i="115"/>
  <c r="AA18" i="115"/>
  <c r="AA17" i="115"/>
  <c r="AA16" i="115"/>
  <c r="AA15" i="115"/>
  <c r="AA14" i="115"/>
  <c r="AA13" i="115"/>
  <c r="X42" i="115"/>
  <c r="W42" i="115"/>
  <c r="Z12" i="115"/>
  <c r="Z42" i="115" s="1"/>
  <c r="V42" i="115"/>
  <c r="Y12" i="115"/>
  <c r="Y42" i="115" s="1"/>
  <c r="U42" i="115"/>
  <c r="AA12" i="115"/>
  <c r="V63" i="115"/>
  <c r="Y43" i="115"/>
  <c r="Y63" i="115" s="1"/>
  <c r="W63" i="115"/>
  <c r="Z43" i="115"/>
  <c r="Z63" i="115" s="1"/>
  <c r="V69" i="115"/>
  <c r="Y64" i="115"/>
  <c r="Y69" i="115" s="1"/>
  <c r="W69" i="115"/>
  <c r="Z64" i="115"/>
  <c r="Z69" i="115" s="1"/>
  <c r="V75" i="115"/>
  <c r="Y70" i="115"/>
  <c r="Y75" i="115" s="1"/>
  <c r="W75" i="115"/>
  <c r="Z70" i="115"/>
  <c r="Z75" i="115" s="1"/>
  <c r="AA22" i="115"/>
  <c r="AA23" i="115"/>
  <c r="AA24" i="115"/>
  <c r="AA25" i="115"/>
  <c r="AA26" i="115"/>
  <c r="AA27" i="115"/>
  <c r="AA28" i="115"/>
  <c r="AA29" i="115"/>
  <c r="AA30" i="115"/>
  <c r="AA31" i="115"/>
  <c r="AA32" i="115"/>
  <c r="AA33" i="115"/>
  <c r="AA34" i="115"/>
  <c r="AA35" i="115"/>
  <c r="AA36" i="115"/>
  <c r="AA37" i="115"/>
  <c r="AA38" i="115"/>
  <c r="AA39" i="115"/>
  <c r="AA40" i="115"/>
  <c r="AA41" i="115"/>
  <c r="U63" i="115"/>
  <c r="AA43" i="115"/>
  <c r="AA44" i="115"/>
  <c r="AA45" i="115"/>
  <c r="AA46" i="115"/>
  <c r="AA47" i="115"/>
  <c r="AA48" i="115"/>
  <c r="AA49" i="115"/>
  <c r="AA50" i="115"/>
  <c r="AA51" i="115"/>
  <c r="AA52" i="115"/>
  <c r="AA53" i="115"/>
  <c r="AA54" i="115"/>
  <c r="AA55" i="115"/>
  <c r="AA56" i="115"/>
  <c r="AA57" i="115"/>
  <c r="AA58" i="115"/>
  <c r="AA59" i="115"/>
  <c r="AA60" i="115"/>
  <c r="AA61" i="115"/>
  <c r="AA62" i="115"/>
  <c r="U69" i="115"/>
  <c r="AA64" i="115"/>
  <c r="AA65" i="115"/>
  <c r="AA66" i="115"/>
  <c r="AA67" i="115"/>
  <c r="AA68" i="115"/>
  <c r="U75" i="115"/>
  <c r="AA70" i="115"/>
  <c r="AA71" i="115"/>
  <c r="AA72" i="115"/>
  <c r="AA73" i="115"/>
  <c r="AA74" i="115"/>
  <c r="AA98" i="115"/>
  <c r="AC78" i="115"/>
  <c r="AC79" i="115"/>
  <c r="AC80" i="115"/>
  <c r="AC81" i="115"/>
  <c r="AC82" i="115"/>
  <c r="AC83" i="115"/>
  <c r="AC84" i="115"/>
  <c r="AC85" i="115"/>
  <c r="AC86" i="115"/>
  <c r="AC87" i="115"/>
  <c r="AC88" i="115"/>
  <c r="AC89" i="115"/>
  <c r="AC90" i="115"/>
  <c r="AC91" i="115"/>
  <c r="AC92" i="115"/>
  <c r="AC93" i="115"/>
  <c r="AC94" i="115"/>
  <c r="AC95" i="115"/>
  <c r="AC96" i="115"/>
  <c r="AC97" i="115"/>
  <c r="H69" i="114"/>
  <c r="G57" i="114"/>
  <c r="L57" i="114" s="1"/>
  <c r="F46" i="114"/>
  <c r="AA21" i="114"/>
  <c r="AA20" i="114"/>
  <c r="AA19" i="114"/>
  <c r="AA18" i="114"/>
  <c r="AA17" i="114"/>
  <c r="AA16" i="114"/>
  <c r="AA15" i="114"/>
  <c r="AA14" i="114"/>
  <c r="AA13" i="114"/>
  <c r="X42" i="114"/>
  <c r="W42" i="114"/>
  <c r="Z12" i="114"/>
  <c r="Z42" i="114" s="1"/>
  <c r="V42" i="114"/>
  <c r="Y12" i="114"/>
  <c r="Y42" i="114" s="1"/>
  <c r="U42" i="114"/>
  <c r="AA12" i="114"/>
  <c r="V63" i="114"/>
  <c r="Y43" i="114"/>
  <c r="Y63" i="114" s="1"/>
  <c r="W63" i="114"/>
  <c r="Z43" i="114"/>
  <c r="Z63" i="114" s="1"/>
  <c r="V69" i="114"/>
  <c r="Y64" i="114"/>
  <c r="Y69" i="114" s="1"/>
  <c r="W69" i="114"/>
  <c r="Z64" i="114"/>
  <c r="Z69" i="114" s="1"/>
  <c r="V75" i="114"/>
  <c r="Y70" i="114"/>
  <c r="Y75" i="114" s="1"/>
  <c r="W75" i="114"/>
  <c r="Z70" i="114"/>
  <c r="Z75" i="114" s="1"/>
  <c r="AA22" i="114"/>
  <c r="AA23" i="114"/>
  <c r="AA24" i="114"/>
  <c r="AA25" i="114"/>
  <c r="AA26" i="114"/>
  <c r="AA27" i="114"/>
  <c r="AA28" i="114"/>
  <c r="AA29" i="114"/>
  <c r="AA30" i="114"/>
  <c r="AA31" i="114"/>
  <c r="AA32" i="114"/>
  <c r="AA33" i="114"/>
  <c r="AA34" i="114"/>
  <c r="AA35" i="114"/>
  <c r="AA36" i="114"/>
  <c r="AA37" i="114"/>
  <c r="AA38" i="114"/>
  <c r="AA39" i="114"/>
  <c r="AA40" i="114"/>
  <c r="AA41" i="114"/>
  <c r="U63" i="114"/>
  <c r="AA43" i="114"/>
  <c r="AA44" i="114"/>
  <c r="AA45" i="114"/>
  <c r="AA46" i="114"/>
  <c r="AA47" i="114"/>
  <c r="AA48" i="114"/>
  <c r="AA49" i="114"/>
  <c r="AA50" i="114"/>
  <c r="AA51" i="114"/>
  <c r="AA52" i="114"/>
  <c r="AA53" i="114"/>
  <c r="AA54" i="114"/>
  <c r="AA55" i="114"/>
  <c r="AA56" i="114"/>
  <c r="AA57" i="114"/>
  <c r="AA58" i="114"/>
  <c r="AA59" i="114"/>
  <c r="AA60" i="114"/>
  <c r="AA61" i="114"/>
  <c r="AA62" i="114"/>
  <c r="U69" i="114"/>
  <c r="AA64" i="114"/>
  <c r="AA65" i="114"/>
  <c r="AA66" i="114"/>
  <c r="AA67" i="114"/>
  <c r="AA68" i="114"/>
  <c r="U75" i="114"/>
  <c r="AA70" i="114"/>
  <c r="AA71" i="114"/>
  <c r="AA72" i="114"/>
  <c r="AA73" i="114"/>
  <c r="AA74" i="114"/>
  <c r="AA98" i="114"/>
  <c r="AC78" i="114"/>
  <c r="AC79" i="114"/>
  <c r="AC80" i="114"/>
  <c r="AC81" i="114"/>
  <c r="AC82" i="114"/>
  <c r="AC83" i="114"/>
  <c r="AC84" i="114"/>
  <c r="AC85" i="114"/>
  <c r="AC86" i="114"/>
  <c r="AC87" i="114"/>
  <c r="AC88" i="114"/>
  <c r="AC89" i="114"/>
  <c r="AC90" i="114"/>
  <c r="AC91" i="114"/>
  <c r="AC92" i="114"/>
  <c r="AC93" i="114"/>
  <c r="AC94" i="114"/>
  <c r="AC95" i="114"/>
  <c r="AC96" i="114"/>
  <c r="AC97" i="114"/>
  <c r="H69" i="113"/>
  <c r="G57" i="113"/>
  <c r="L57" i="113" s="1"/>
  <c r="F46" i="113"/>
  <c r="AA21" i="113"/>
  <c r="AA20" i="113"/>
  <c r="AA19" i="113"/>
  <c r="AA18" i="113"/>
  <c r="AA17" i="113"/>
  <c r="AA16" i="113"/>
  <c r="AA15" i="113"/>
  <c r="AA14" i="113"/>
  <c r="AA13" i="113"/>
  <c r="X42" i="113"/>
  <c r="W42" i="113"/>
  <c r="Z12" i="113"/>
  <c r="Z42" i="113" s="1"/>
  <c r="V42" i="113"/>
  <c r="Y12" i="113"/>
  <c r="Y42" i="113" s="1"/>
  <c r="U42" i="113"/>
  <c r="AA12" i="113"/>
  <c r="V63" i="113"/>
  <c r="Y43" i="113"/>
  <c r="Y63" i="113" s="1"/>
  <c r="W63" i="113"/>
  <c r="Z43" i="113"/>
  <c r="Z63" i="113" s="1"/>
  <c r="V69" i="113"/>
  <c r="Y64" i="113"/>
  <c r="Y69" i="113" s="1"/>
  <c r="W69" i="113"/>
  <c r="Z64" i="113"/>
  <c r="Z69" i="113" s="1"/>
  <c r="V75" i="113"/>
  <c r="Y70" i="113"/>
  <c r="Y75" i="113" s="1"/>
  <c r="W75" i="113"/>
  <c r="Z70" i="113"/>
  <c r="Z75" i="113" s="1"/>
  <c r="AA22" i="113"/>
  <c r="AA23" i="113"/>
  <c r="AA24" i="113"/>
  <c r="AA25" i="113"/>
  <c r="AA26" i="113"/>
  <c r="AA27" i="113"/>
  <c r="AA28" i="113"/>
  <c r="AA29" i="113"/>
  <c r="AA30" i="113"/>
  <c r="AA31" i="113"/>
  <c r="AA32" i="113"/>
  <c r="AA33" i="113"/>
  <c r="AA34" i="113"/>
  <c r="AA35" i="113"/>
  <c r="AA36" i="113"/>
  <c r="AA37" i="113"/>
  <c r="AA38" i="113"/>
  <c r="AA39" i="113"/>
  <c r="AA40" i="113"/>
  <c r="AA41" i="113"/>
  <c r="U63" i="113"/>
  <c r="AA43" i="113"/>
  <c r="AA44" i="113"/>
  <c r="AA45" i="113"/>
  <c r="AA46" i="113"/>
  <c r="AA47" i="113"/>
  <c r="AA48" i="113"/>
  <c r="AA49" i="113"/>
  <c r="AA50" i="113"/>
  <c r="AA51" i="113"/>
  <c r="AA52" i="113"/>
  <c r="AA53" i="113"/>
  <c r="AA54" i="113"/>
  <c r="AA55" i="113"/>
  <c r="AA56" i="113"/>
  <c r="AA57" i="113"/>
  <c r="AA58" i="113"/>
  <c r="AA59" i="113"/>
  <c r="AA60" i="113"/>
  <c r="AA61" i="113"/>
  <c r="AA62" i="113"/>
  <c r="U69" i="113"/>
  <c r="AA64" i="113"/>
  <c r="AA65" i="113"/>
  <c r="AA66" i="113"/>
  <c r="AA67" i="113"/>
  <c r="AA68" i="113"/>
  <c r="U75" i="113"/>
  <c r="AA70" i="113"/>
  <c r="AA71" i="113"/>
  <c r="AA72" i="113"/>
  <c r="AA73" i="113"/>
  <c r="AA74" i="113"/>
  <c r="AA98" i="113"/>
  <c r="AC78" i="113"/>
  <c r="AC79" i="113"/>
  <c r="AC80" i="113"/>
  <c r="AC81" i="113"/>
  <c r="AC82" i="113"/>
  <c r="AC83" i="113"/>
  <c r="AC84" i="113"/>
  <c r="AC85" i="113"/>
  <c r="AC86" i="113"/>
  <c r="AC87" i="113"/>
  <c r="AC88" i="113"/>
  <c r="AC89" i="113"/>
  <c r="AC90" i="113"/>
  <c r="AC91" i="113"/>
  <c r="AC92" i="113"/>
  <c r="AC93" i="113"/>
  <c r="AC94" i="113"/>
  <c r="AC95" i="113"/>
  <c r="AC96" i="113"/>
  <c r="AC97" i="113"/>
  <c r="G57" i="112"/>
  <c r="L57" i="112" s="1"/>
  <c r="D61" i="112"/>
  <c r="F46" i="112"/>
  <c r="F61" i="112" s="1"/>
  <c r="AA21" i="112"/>
  <c r="AA20" i="112"/>
  <c r="AA19" i="112"/>
  <c r="AA18" i="112"/>
  <c r="AA17" i="112"/>
  <c r="AA16" i="112"/>
  <c r="AA15" i="112"/>
  <c r="AA14" i="112"/>
  <c r="AA13" i="112"/>
  <c r="X42" i="112"/>
  <c r="W42" i="112"/>
  <c r="Z12" i="112"/>
  <c r="Z42" i="112" s="1"/>
  <c r="V42" i="112"/>
  <c r="Y12" i="112"/>
  <c r="Y42" i="112" s="1"/>
  <c r="U42" i="112"/>
  <c r="AA12" i="112"/>
  <c r="V63" i="112"/>
  <c r="Y43" i="112"/>
  <c r="Y63" i="112" s="1"/>
  <c r="W63" i="112"/>
  <c r="Z43" i="112"/>
  <c r="Z63" i="112" s="1"/>
  <c r="V69" i="112"/>
  <c r="Y64" i="112"/>
  <c r="Y69" i="112" s="1"/>
  <c r="W69" i="112"/>
  <c r="Z64" i="112"/>
  <c r="Z69" i="112" s="1"/>
  <c r="V75" i="112"/>
  <c r="Y70" i="112"/>
  <c r="Y75" i="112" s="1"/>
  <c r="W75" i="112"/>
  <c r="Z70" i="112"/>
  <c r="Z75" i="112" s="1"/>
  <c r="AA22" i="112"/>
  <c r="AA23" i="112"/>
  <c r="AA24" i="112"/>
  <c r="AA25" i="112"/>
  <c r="AA26" i="112"/>
  <c r="AA27" i="112"/>
  <c r="AA28" i="112"/>
  <c r="AA29" i="112"/>
  <c r="AA30" i="112"/>
  <c r="AA31" i="112"/>
  <c r="AA32" i="112"/>
  <c r="AA33" i="112"/>
  <c r="AA34" i="112"/>
  <c r="AA35" i="112"/>
  <c r="AA36" i="112"/>
  <c r="AA37" i="112"/>
  <c r="AA38" i="112"/>
  <c r="AA39" i="112"/>
  <c r="AA40" i="112"/>
  <c r="AA41" i="112"/>
  <c r="U63" i="112"/>
  <c r="AA43" i="112"/>
  <c r="AA44" i="112"/>
  <c r="AA45" i="112"/>
  <c r="AA46" i="112"/>
  <c r="AA47" i="112"/>
  <c r="AA48" i="112"/>
  <c r="AA49" i="112"/>
  <c r="AA50" i="112"/>
  <c r="AA51" i="112"/>
  <c r="AA52" i="112"/>
  <c r="AA53" i="112"/>
  <c r="AA54" i="112"/>
  <c r="AA55" i="112"/>
  <c r="AA56" i="112"/>
  <c r="AA57" i="112"/>
  <c r="AA58" i="112"/>
  <c r="AA59" i="112"/>
  <c r="AA60" i="112"/>
  <c r="AA61" i="112"/>
  <c r="AA62" i="112"/>
  <c r="U69" i="112"/>
  <c r="AA64" i="112"/>
  <c r="AA65" i="112"/>
  <c r="AA66" i="112"/>
  <c r="AA67" i="112"/>
  <c r="AA68" i="112"/>
  <c r="U75" i="112"/>
  <c r="AA70" i="112"/>
  <c r="AA71" i="112"/>
  <c r="AA72" i="112"/>
  <c r="AA73" i="112"/>
  <c r="AA74" i="112"/>
  <c r="AA98" i="112"/>
  <c r="AC78" i="112"/>
  <c r="AC79" i="112"/>
  <c r="AC80" i="112"/>
  <c r="AC81" i="112"/>
  <c r="AC82" i="112"/>
  <c r="AC83" i="112"/>
  <c r="AC84" i="112"/>
  <c r="AC85" i="112"/>
  <c r="AC86" i="112"/>
  <c r="AC87" i="112"/>
  <c r="AC88" i="112"/>
  <c r="AC89" i="112"/>
  <c r="AC90" i="112"/>
  <c r="AC91" i="112"/>
  <c r="AC92" i="112"/>
  <c r="AC93" i="112"/>
  <c r="AC94" i="112"/>
  <c r="AC95" i="112"/>
  <c r="AC96" i="112"/>
  <c r="AC97" i="112"/>
  <c r="H69" i="111"/>
  <c r="G57" i="111"/>
  <c r="L57" i="111" s="1"/>
  <c r="F46" i="111"/>
  <c r="AA21" i="111"/>
  <c r="AA20" i="111"/>
  <c r="AA19" i="111"/>
  <c r="AA18" i="111"/>
  <c r="AA17" i="111"/>
  <c r="AA16" i="111"/>
  <c r="AA15" i="111"/>
  <c r="AA14" i="111"/>
  <c r="AA13" i="111"/>
  <c r="X42" i="111"/>
  <c r="W42" i="111"/>
  <c r="Z12" i="111"/>
  <c r="Z42" i="111" s="1"/>
  <c r="V42" i="111"/>
  <c r="Y12" i="111"/>
  <c r="Y42" i="111" s="1"/>
  <c r="U42" i="111"/>
  <c r="AA12" i="111"/>
  <c r="V63" i="111"/>
  <c r="Y43" i="111"/>
  <c r="Y63" i="111" s="1"/>
  <c r="W63" i="111"/>
  <c r="Z43" i="111"/>
  <c r="Z63" i="111" s="1"/>
  <c r="V69" i="111"/>
  <c r="Y64" i="111"/>
  <c r="Y69" i="111" s="1"/>
  <c r="W69" i="111"/>
  <c r="Z64" i="111"/>
  <c r="Z69" i="111" s="1"/>
  <c r="V75" i="111"/>
  <c r="Y70" i="111"/>
  <c r="Y75" i="111" s="1"/>
  <c r="W75" i="111"/>
  <c r="Z70" i="111"/>
  <c r="Z75" i="111" s="1"/>
  <c r="AA22" i="111"/>
  <c r="AA23" i="111"/>
  <c r="AA24" i="111"/>
  <c r="AA25" i="111"/>
  <c r="AA26" i="111"/>
  <c r="AA27" i="111"/>
  <c r="AA28" i="111"/>
  <c r="AA29" i="111"/>
  <c r="AA30" i="111"/>
  <c r="AA31" i="111"/>
  <c r="AA32" i="111"/>
  <c r="AA33" i="111"/>
  <c r="AA34" i="111"/>
  <c r="AA35" i="111"/>
  <c r="AA36" i="111"/>
  <c r="AA37" i="111"/>
  <c r="AA38" i="111"/>
  <c r="AA39" i="111"/>
  <c r="AA40" i="111"/>
  <c r="AA41" i="111"/>
  <c r="U63" i="111"/>
  <c r="AA43" i="111"/>
  <c r="AA44" i="111"/>
  <c r="AA45" i="111"/>
  <c r="AA46" i="111"/>
  <c r="AA47" i="111"/>
  <c r="AA48" i="111"/>
  <c r="AA49" i="111"/>
  <c r="AA50" i="111"/>
  <c r="AA51" i="111"/>
  <c r="AA52" i="111"/>
  <c r="AA53" i="111"/>
  <c r="AA54" i="111"/>
  <c r="AA55" i="111"/>
  <c r="AA56" i="111"/>
  <c r="AA57" i="111"/>
  <c r="AA58" i="111"/>
  <c r="AA59" i="111"/>
  <c r="AA60" i="111"/>
  <c r="AA61" i="111"/>
  <c r="AA62" i="111"/>
  <c r="U69" i="111"/>
  <c r="AA64" i="111"/>
  <c r="AA65" i="111"/>
  <c r="AA66" i="111"/>
  <c r="AA67" i="111"/>
  <c r="AA68" i="111"/>
  <c r="U75" i="111"/>
  <c r="AA70" i="111"/>
  <c r="AA71" i="111"/>
  <c r="AA72" i="111"/>
  <c r="AA73" i="111"/>
  <c r="AA74" i="111"/>
  <c r="AA98" i="111"/>
  <c r="AC78" i="111"/>
  <c r="AC79" i="111"/>
  <c r="AC80" i="111"/>
  <c r="AC81" i="111"/>
  <c r="AC82" i="111"/>
  <c r="AC83" i="111"/>
  <c r="AC84" i="111"/>
  <c r="AC85" i="111"/>
  <c r="AC86" i="111"/>
  <c r="AC87" i="111"/>
  <c r="AC88" i="111"/>
  <c r="AC89" i="111"/>
  <c r="AC90" i="111"/>
  <c r="AC91" i="111"/>
  <c r="AC92" i="111"/>
  <c r="AC93" i="111"/>
  <c r="AC94" i="111"/>
  <c r="AC95" i="111"/>
  <c r="AC96" i="111"/>
  <c r="AC97" i="111"/>
  <c r="H69" i="110"/>
  <c r="G57" i="110"/>
  <c r="L57" i="110" s="1"/>
  <c r="F46" i="110"/>
  <c r="AA21" i="110"/>
  <c r="AA20" i="110"/>
  <c r="AA19" i="110"/>
  <c r="AA18" i="110"/>
  <c r="AA17" i="110"/>
  <c r="AA16" i="110"/>
  <c r="AA15" i="110"/>
  <c r="AA14" i="110"/>
  <c r="AA13" i="110"/>
  <c r="X42" i="110"/>
  <c r="W42" i="110"/>
  <c r="Z12" i="110"/>
  <c r="Z42" i="110" s="1"/>
  <c r="V42" i="110"/>
  <c r="Y12" i="110"/>
  <c r="Y42" i="110" s="1"/>
  <c r="U42" i="110"/>
  <c r="AA12" i="110"/>
  <c r="V63" i="110"/>
  <c r="Y43" i="110"/>
  <c r="Y63" i="110" s="1"/>
  <c r="W63" i="110"/>
  <c r="Z43" i="110"/>
  <c r="Z63" i="110" s="1"/>
  <c r="V69" i="110"/>
  <c r="Y64" i="110"/>
  <c r="Y69" i="110" s="1"/>
  <c r="W69" i="110"/>
  <c r="Z64" i="110"/>
  <c r="Z69" i="110" s="1"/>
  <c r="V75" i="110"/>
  <c r="Y70" i="110"/>
  <c r="Y75" i="110" s="1"/>
  <c r="W75" i="110"/>
  <c r="Z70" i="110"/>
  <c r="Z75" i="110" s="1"/>
  <c r="AA22" i="110"/>
  <c r="AA23" i="110"/>
  <c r="AA24" i="110"/>
  <c r="AA25" i="110"/>
  <c r="AA26" i="110"/>
  <c r="AA27" i="110"/>
  <c r="AA28" i="110"/>
  <c r="AA29" i="110"/>
  <c r="AA30" i="110"/>
  <c r="AA31" i="110"/>
  <c r="AA32" i="110"/>
  <c r="AA33" i="110"/>
  <c r="AA34" i="110"/>
  <c r="AA35" i="110"/>
  <c r="AA36" i="110"/>
  <c r="AA37" i="110"/>
  <c r="AA38" i="110"/>
  <c r="AA39" i="110"/>
  <c r="AA40" i="110"/>
  <c r="AA41" i="110"/>
  <c r="U63" i="110"/>
  <c r="AA43" i="110"/>
  <c r="AA44" i="110"/>
  <c r="AA45" i="110"/>
  <c r="AA46" i="110"/>
  <c r="AA47" i="110"/>
  <c r="AA48" i="110"/>
  <c r="AA49" i="110"/>
  <c r="AA50" i="110"/>
  <c r="AA51" i="110"/>
  <c r="AA52" i="110"/>
  <c r="AA53" i="110"/>
  <c r="AA54" i="110"/>
  <c r="AA55" i="110"/>
  <c r="AA56" i="110"/>
  <c r="AA57" i="110"/>
  <c r="AA58" i="110"/>
  <c r="AA59" i="110"/>
  <c r="AA60" i="110"/>
  <c r="AA61" i="110"/>
  <c r="AA62" i="110"/>
  <c r="U69" i="110"/>
  <c r="AA64" i="110"/>
  <c r="AA65" i="110"/>
  <c r="AA66" i="110"/>
  <c r="AA67" i="110"/>
  <c r="AA68" i="110"/>
  <c r="U75" i="110"/>
  <c r="AA70" i="110"/>
  <c r="AA71" i="110"/>
  <c r="AA72" i="110"/>
  <c r="AA73" i="110"/>
  <c r="AA74" i="110"/>
  <c r="AA98" i="110"/>
  <c r="AC78" i="110"/>
  <c r="AC79" i="110"/>
  <c r="AC80" i="110"/>
  <c r="AC81" i="110"/>
  <c r="AC82" i="110"/>
  <c r="AC83" i="110"/>
  <c r="AC84" i="110"/>
  <c r="AC85" i="110"/>
  <c r="AC86" i="110"/>
  <c r="AC87" i="110"/>
  <c r="AC88" i="110"/>
  <c r="AC89" i="110"/>
  <c r="AC90" i="110"/>
  <c r="AC91" i="110"/>
  <c r="AC92" i="110"/>
  <c r="AC93" i="110"/>
  <c r="AC94" i="110"/>
  <c r="AC95" i="110"/>
  <c r="AC96" i="110"/>
  <c r="AC97" i="110"/>
  <c r="X10" i="40"/>
  <c r="V10" i="40"/>
  <c r="U10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41" i="40"/>
  <c r="L42" i="40"/>
  <c r="J13" i="40"/>
  <c r="J15" i="40"/>
  <c r="J17" i="40"/>
  <c r="J21" i="40"/>
  <c r="J23" i="40"/>
  <c r="J25" i="40"/>
  <c r="J29" i="40"/>
  <c r="J31" i="40"/>
  <c r="J33" i="40"/>
  <c r="J37" i="40"/>
  <c r="J39" i="40"/>
  <c r="J41" i="40"/>
  <c r="J45" i="40"/>
  <c r="J49" i="40"/>
  <c r="J56" i="40"/>
  <c r="J60" i="40"/>
  <c r="J61" i="40"/>
  <c r="J62" i="40"/>
  <c r="J64" i="40"/>
  <c r="H51" i="40"/>
  <c r="H46" i="40"/>
  <c r="D49" i="40"/>
  <c r="F49" i="40" s="1"/>
  <c r="G49" i="40" s="1"/>
  <c r="F56" i="40"/>
  <c r="B54" i="40"/>
  <c r="R69" i="40"/>
  <c r="T63" i="40"/>
  <c r="B53" i="40" s="1"/>
  <c r="F53" i="40" s="1"/>
  <c r="S63" i="40"/>
  <c r="S42" i="40"/>
  <c r="B57" i="40" s="1"/>
  <c r="J57" i="40" s="1"/>
  <c r="V98" i="40"/>
  <c r="P98" i="40"/>
  <c r="S79" i="40"/>
  <c r="T79" i="40" s="1"/>
  <c r="S80" i="40"/>
  <c r="T80" i="40" s="1"/>
  <c r="S81" i="40"/>
  <c r="T81" i="40" s="1"/>
  <c r="S82" i="40"/>
  <c r="S83" i="40"/>
  <c r="T83" i="40" s="1"/>
  <c r="S84" i="40"/>
  <c r="T84" i="40" s="1"/>
  <c r="S85" i="40"/>
  <c r="T85" i="40" s="1"/>
  <c r="S86" i="40"/>
  <c r="T86" i="40" s="1"/>
  <c r="S87" i="40"/>
  <c r="T87" i="40" s="1"/>
  <c r="S88" i="40"/>
  <c r="T88" i="40" s="1"/>
  <c r="S89" i="40"/>
  <c r="T89" i="40" s="1"/>
  <c r="S90" i="40"/>
  <c r="T90" i="40" s="1"/>
  <c r="S91" i="40"/>
  <c r="T91" i="40" s="1"/>
  <c r="S92" i="40"/>
  <c r="T92" i="40" s="1"/>
  <c r="S93" i="40"/>
  <c r="T93" i="40" s="1"/>
  <c r="S94" i="40"/>
  <c r="T94" i="40" s="1"/>
  <c r="S95" i="40"/>
  <c r="T95" i="40" s="1"/>
  <c r="S96" i="40"/>
  <c r="T96" i="40" s="1"/>
  <c r="S97" i="40"/>
  <c r="T97" i="40" s="1"/>
  <c r="T82" i="40"/>
  <c r="S78" i="40"/>
  <c r="T78" i="40" s="1"/>
  <c r="X79" i="40"/>
  <c r="Y79" i="40" s="1"/>
  <c r="X80" i="40"/>
  <c r="Y80" i="40" s="1"/>
  <c r="X81" i="40"/>
  <c r="Y81" i="40" s="1"/>
  <c r="X82" i="40"/>
  <c r="Y82" i="40" s="1"/>
  <c r="X83" i="40"/>
  <c r="Y83" i="40" s="1"/>
  <c r="X84" i="40"/>
  <c r="Y84" i="40" s="1"/>
  <c r="X85" i="40"/>
  <c r="Y85" i="40" s="1"/>
  <c r="X86" i="40"/>
  <c r="Y86" i="40" s="1"/>
  <c r="X87" i="40"/>
  <c r="Y87" i="40" s="1"/>
  <c r="X88" i="40"/>
  <c r="Y88" i="40" s="1"/>
  <c r="X89" i="40"/>
  <c r="Y89" i="40" s="1"/>
  <c r="X90" i="40"/>
  <c r="Y90" i="40" s="1"/>
  <c r="X91" i="40"/>
  <c r="Y91" i="40" s="1"/>
  <c r="X92" i="40"/>
  <c r="Y92" i="40" s="1"/>
  <c r="X93" i="40"/>
  <c r="Y93" i="40" s="1"/>
  <c r="X94" i="40"/>
  <c r="Y94" i="40" s="1"/>
  <c r="X95" i="40"/>
  <c r="Y95" i="40" s="1"/>
  <c r="X96" i="40"/>
  <c r="Y96" i="40" s="1"/>
  <c r="X97" i="40"/>
  <c r="Y97" i="40" s="1"/>
  <c r="X78" i="40"/>
  <c r="Y78" i="40" s="1"/>
  <c r="U98" i="40"/>
  <c r="B48" i="40"/>
  <c r="J48" i="40" s="1"/>
  <c r="R63" i="40"/>
  <c r="B47" i="40" s="1"/>
  <c r="D47" i="40" s="1"/>
  <c r="B27" i="40"/>
  <c r="B24" i="40"/>
  <c r="J24" i="40" s="1"/>
  <c r="R42" i="40"/>
  <c r="B46" i="40" s="1"/>
  <c r="B42" i="40"/>
  <c r="J42" i="40" s="1"/>
  <c r="B40" i="40"/>
  <c r="J38" i="40"/>
  <c r="B43" i="40"/>
  <c r="L43" i="40" s="1"/>
  <c r="B35" i="40"/>
  <c r="B34" i="40"/>
  <c r="J34" i="40" s="1"/>
  <c r="B32" i="40"/>
  <c r="J32" i="40" s="1"/>
  <c r="J30" i="40"/>
  <c r="B26" i="40"/>
  <c r="J26" i="40" s="1"/>
  <c r="B22" i="40"/>
  <c r="J22" i="40" s="1"/>
  <c r="B19" i="40"/>
  <c r="B18" i="40"/>
  <c r="J18" i="40" s="1"/>
  <c r="B16" i="40"/>
  <c r="J16" i="40" s="1"/>
  <c r="B14" i="40"/>
  <c r="J14" i="40" s="1"/>
  <c r="C37" i="143" l="1"/>
  <c r="H37" i="143" s="1"/>
  <c r="L56" i="134"/>
  <c r="B28" i="143"/>
  <c r="D28" i="143" s="1"/>
  <c r="L49" i="128"/>
  <c r="C26" i="143"/>
  <c r="H26" i="143" s="1"/>
  <c r="L48" i="138"/>
  <c r="G51" i="136"/>
  <c r="C36" i="141" s="1"/>
  <c r="L56" i="124"/>
  <c r="G51" i="115"/>
  <c r="C15" i="141" s="1"/>
  <c r="C12" i="143"/>
  <c r="H12" i="143" s="1"/>
  <c r="L48" i="116"/>
  <c r="G51" i="111"/>
  <c r="L51" i="111" s="1"/>
  <c r="L49" i="138"/>
  <c r="L56" i="129"/>
  <c r="F61" i="127"/>
  <c r="D61" i="127"/>
  <c r="L49" i="127"/>
  <c r="L56" i="127"/>
  <c r="G51" i="123"/>
  <c r="L51" i="123" s="1"/>
  <c r="G51" i="121"/>
  <c r="C21" i="141" s="1"/>
  <c r="G50" i="121"/>
  <c r="L50" i="121" s="1"/>
  <c r="G51" i="119"/>
  <c r="L51" i="119" s="1"/>
  <c r="G51" i="118"/>
  <c r="C18" i="141" s="1"/>
  <c r="G50" i="117"/>
  <c r="L50" i="117" s="1"/>
  <c r="G51" i="117"/>
  <c r="L51" i="117" s="1"/>
  <c r="L56" i="114"/>
  <c r="C13" i="143"/>
  <c r="H13" i="143" s="1"/>
  <c r="B38" i="140"/>
  <c r="G38" i="140" s="1"/>
  <c r="L48" i="125"/>
  <c r="G51" i="127"/>
  <c r="C27" i="141" s="1"/>
  <c r="F61" i="123"/>
  <c r="C21" i="140"/>
  <c r="H21" i="140" s="1"/>
  <c r="C20" i="143"/>
  <c r="H20" i="143" s="1"/>
  <c r="D61" i="116"/>
  <c r="F61" i="116"/>
  <c r="G51" i="116"/>
  <c r="L51" i="116" s="1"/>
  <c r="L56" i="135"/>
  <c r="C26" i="140"/>
  <c r="H26" i="140" s="1"/>
  <c r="D61" i="123"/>
  <c r="C23" i="143"/>
  <c r="H23" i="143" s="1"/>
  <c r="L53" i="120"/>
  <c r="L56" i="118"/>
  <c r="L49" i="116"/>
  <c r="B16" i="140"/>
  <c r="G16" i="140" s="1"/>
  <c r="C16" i="140"/>
  <c r="H16" i="140" s="1"/>
  <c r="F61" i="134"/>
  <c r="G51" i="133"/>
  <c r="C33" i="141" s="1"/>
  <c r="C27" i="140"/>
  <c r="H27" i="140" s="1"/>
  <c r="L53" i="118"/>
  <c r="L56" i="128"/>
  <c r="L47" i="126"/>
  <c r="G50" i="125"/>
  <c r="L50" i="125" s="1"/>
  <c r="L56" i="125"/>
  <c r="D61" i="125"/>
  <c r="G51" i="125"/>
  <c r="C25" i="141" s="1"/>
  <c r="C24" i="140"/>
  <c r="H24" i="140" s="1"/>
  <c r="L53" i="123"/>
  <c r="D61" i="115"/>
  <c r="L51" i="115"/>
  <c r="C15" i="143"/>
  <c r="H15" i="143" s="1"/>
  <c r="C12" i="140"/>
  <c r="H12" i="140" s="1"/>
  <c r="C33" i="140"/>
  <c r="H33" i="140" s="1"/>
  <c r="L56" i="132"/>
  <c r="G51" i="130"/>
  <c r="C30" i="141" s="1"/>
  <c r="F61" i="125"/>
  <c r="B24" i="140"/>
  <c r="D24" i="140" s="1"/>
  <c r="L49" i="124"/>
  <c r="B23" i="143"/>
  <c r="L53" i="122"/>
  <c r="B21" i="140"/>
  <c r="G21" i="140" s="1"/>
  <c r="B19" i="140"/>
  <c r="G19" i="140" s="1"/>
  <c r="D61" i="118"/>
  <c r="L50" i="116"/>
  <c r="B12" i="142"/>
  <c r="G12" i="142" s="1"/>
  <c r="F61" i="111"/>
  <c r="F61" i="110"/>
  <c r="C38" i="140"/>
  <c r="H38" i="140" s="1"/>
  <c r="D61" i="138"/>
  <c r="G50" i="138"/>
  <c r="B38" i="141" s="1"/>
  <c r="E38" i="141" s="1"/>
  <c r="G50" i="137"/>
  <c r="L50" i="137" s="1"/>
  <c r="L49" i="137"/>
  <c r="L47" i="136"/>
  <c r="G51" i="135"/>
  <c r="L51" i="135" s="1"/>
  <c r="G51" i="128"/>
  <c r="L51" i="128" s="1"/>
  <c r="G50" i="128"/>
  <c r="B28" i="141" s="1"/>
  <c r="I28" i="141" s="1"/>
  <c r="D61" i="124"/>
  <c r="L50" i="124"/>
  <c r="C22" i="143"/>
  <c r="H22" i="143" s="1"/>
  <c r="D61" i="121"/>
  <c r="L56" i="121"/>
  <c r="L56" i="119"/>
  <c r="C19" i="140"/>
  <c r="H19" i="140" s="1"/>
  <c r="B19" i="142"/>
  <c r="D19" i="142" s="1"/>
  <c r="B20" i="140"/>
  <c r="G20" i="140" s="1"/>
  <c r="B18" i="143"/>
  <c r="D18" i="143" s="1"/>
  <c r="B17" i="140"/>
  <c r="D17" i="140" s="1"/>
  <c r="L56" i="116"/>
  <c r="F61" i="115"/>
  <c r="F61" i="114"/>
  <c r="B14" i="143"/>
  <c r="D14" i="143" s="1"/>
  <c r="D61" i="114"/>
  <c r="G51" i="114"/>
  <c r="L50" i="114"/>
  <c r="L53" i="113"/>
  <c r="L47" i="113"/>
  <c r="L51" i="112"/>
  <c r="J40" i="40"/>
  <c r="L40" i="40"/>
  <c r="D61" i="139"/>
  <c r="L51" i="139"/>
  <c r="B39" i="143"/>
  <c r="G39" i="143" s="1"/>
  <c r="L56" i="138"/>
  <c r="F61" i="136"/>
  <c r="D61" i="136"/>
  <c r="L47" i="128"/>
  <c r="L47" i="125"/>
  <c r="L47" i="123"/>
  <c r="L49" i="122"/>
  <c r="L49" i="121"/>
  <c r="F61" i="119"/>
  <c r="L56" i="117"/>
  <c r="L47" i="118"/>
  <c r="L47" i="115"/>
  <c r="B14" i="140"/>
  <c r="D14" i="140" s="1"/>
  <c r="B10" i="143"/>
  <c r="G10" i="143" s="1"/>
  <c r="C10" i="143"/>
  <c r="H10" i="143" s="1"/>
  <c r="L50" i="110"/>
  <c r="F61" i="138"/>
  <c r="G51" i="137"/>
  <c r="F61" i="137"/>
  <c r="D61" i="137"/>
  <c r="B37" i="140"/>
  <c r="G37" i="140" s="1"/>
  <c r="F61" i="133"/>
  <c r="C33" i="143"/>
  <c r="H33" i="143" s="1"/>
  <c r="D61" i="132"/>
  <c r="L56" i="131"/>
  <c r="L47" i="127"/>
  <c r="B26" i="143"/>
  <c r="G26" i="143" s="1"/>
  <c r="B25" i="143"/>
  <c r="G25" i="143" s="1"/>
  <c r="F61" i="124"/>
  <c r="G51" i="124"/>
  <c r="L51" i="124" s="1"/>
  <c r="G51" i="122"/>
  <c r="L51" i="122" s="1"/>
  <c r="G50" i="122"/>
  <c r="L47" i="122"/>
  <c r="F61" i="121"/>
  <c r="L49" i="120"/>
  <c r="F61" i="118"/>
  <c r="D61" i="119"/>
  <c r="B19" i="143"/>
  <c r="G19" i="143" s="1"/>
  <c r="B17" i="143"/>
  <c r="G17" i="143" s="1"/>
  <c r="B15" i="143"/>
  <c r="G15" i="143" s="1"/>
  <c r="L50" i="113"/>
  <c r="B13" i="143"/>
  <c r="F61" i="113"/>
  <c r="G51" i="113"/>
  <c r="L51" i="113" s="1"/>
  <c r="L49" i="112"/>
  <c r="B11" i="143"/>
  <c r="G11" i="143" s="1"/>
  <c r="D61" i="111"/>
  <c r="C11" i="143"/>
  <c r="H11" i="143" s="1"/>
  <c r="B10" i="140"/>
  <c r="D10" i="140" s="1"/>
  <c r="L49" i="136"/>
  <c r="B36" i="141"/>
  <c r="I36" i="141" s="1"/>
  <c r="G50" i="135"/>
  <c r="L50" i="135" s="1"/>
  <c r="D61" i="128"/>
  <c r="F61" i="132"/>
  <c r="G51" i="132"/>
  <c r="C32" i="141" s="1"/>
  <c r="D61" i="131"/>
  <c r="G51" i="131"/>
  <c r="L51" i="131" s="1"/>
  <c r="F61" i="130"/>
  <c r="C29" i="34"/>
  <c r="H29" i="34" s="1"/>
  <c r="L52" i="129"/>
  <c r="D61" i="134"/>
  <c r="G51" i="134"/>
  <c r="C34" i="141" s="1"/>
  <c r="D61" i="133"/>
  <c r="G50" i="133"/>
  <c r="B33" i="141" s="1"/>
  <c r="J71" i="129"/>
  <c r="F61" i="131"/>
  <c r="G51" i="129"/>
  <c r="L51" i="129" s="1"/>
  <c r="F61" i="128"/>
  <c r="L52" i="122"/>
  <c r="L52" i="121"/>
  <c r="C16" i="34"/>
  <c r="H16" i="34" s="1"/>
  <c r="L52" i="116"/>
  <c r="D61" i="126"/>
  <c r="F61" i="126"/>
  <c r="G51" i="126"/>
  <c r="C26" i="141" s="1"/>
  <c r="B26" i="141"/>
  <c r="E26" i="141" s="1"/>
  <c r="F61" i="122"/>
  <c r="D61" i="122"/>
  <c r="L51" i="120"/>
  <c r="D61" i="120"/>
  <c r="L50" i="119"/>
  <c r="J71" i="119"/>
  <c r="G46" i="132"/>
  <c r="B32" i="34" s="1"/>
  <c r="L52" i="112"/>
  <c r="L53" i="115"/>
  <c r="L50" i="115"/>
  <c r="D61" i="113"/>
  <c r="L47" i="112"/>
  <c r="D61" i="110"/>
  <c r="G51" i="110"/>
  <c r="G50" i="139"/>
  <c r="F61" i="139"/>
  <c r="C38" i="141"/>
  <c r="L52" i="138"/>
  <c r="C28" i="34"/>
  <c r="H28" i="34" s="1"/>
  <c r="L52" i="128"/>
  <c r="C27" i="34"/>
  <c r="H27" i="34" s="1"/>
  <c r="L52" i="127"/>
  <c r="C26" i="34"/>
  <c r="H26" i="34" s="1"/>
  <c r="L52" i="126"/>
  <c r="C25" i="34"/>
  <c r="H25" i="34" s="1"/>
  <c r="L52" i="125"/>
  <c r="C24" i="34"/>
  <c r="H24" i="34" s="1"/>
  <c r="L52" i="124"/>
  <c r="C23" i="34"/>
  <c r="H23" i="34" s="1"/>
  <c r="L52" i="123"/>
  <c r="C22" i="34"/>
  <c r="H22" i="34" s="1"/>
  <c r="C21" i="34"/>
  <c r="H21" i="34" s="1"/>
  <c r="C20" i="34"/>
  <c r="H20" i="34" s="1"/>
  <c r="L52" i="120"/>
  <c r="L52" i="137"/>
  <c r="H69" i="137"/>
  <c r="J71" i="137" s="1"/>
  <c r="D61" i="135"/>
  <c r="H69" i="135"/>
  <c r="F61" i="135"/>
  <c r="L52" i="134"/>
  <c r="L52" i="133"/>
  <c r="G46" i="133"/>
  <c r="B33" i="34" s="1"/>
  <c r="G33" i="34" s="1"/>
  <c r="L52" i="131"/>
  <c r="H69" i="131"/>
  <c r="J71" i="131" s="1"/>
  <c r="D61" i="130"/>
  <c r="G50" i="130"/>
  <c r="L50" i="130" s="1"/>
  <c r="L52" i="130"/>
  <c r="H69" i="130"/>
  <c r="H74" i="130" s="1"/>
  <c r="D61" i="129"/>
  <c r="F61" i="129"/>
  <c r="G50" i="129"/>
  <c r="L50" i="129" s="1"/>
  <c r="G46" i="129"/>
  <c r="B29" i="34" s="1"/>
  <c r="G29" i="34" s="1"/>
  <c r="G46" i="128"/>
  <c r="G69" i="128" s="1"/>
  <c r="L50" i="127"/>
  <c r="G46" i="127"/>
  <c r="L46" i="127" s="1"/>
  <c r="G46" i="126"/>
  <c r="C18" i="34"/>
  <c r="H18" i="34" s="1"/>
  <c r="L52" i="118"/>
  <c r="C15" i="34"/>
  <c r="H15" i="34" s="1"/>
  <c r="L52" i="115"/>
  <c r="C13" i="34"/>
  <c r="H13" i="34" s="1"/>
  <c r="L52" i="113"/>
  <c r="C12" i="34"/>
  <c r="H12" i="34" s="1"/>
  <c r="G46" i="130"/>
  <c r="B30" i="34" s="1"/>
  <c r="D30" i="34" s="1"/>
  <c r="G46" i="131"/>
  <c r="B31" i="34" s="1"/>
  <c r="D31" i="34" s="1"/>
  <c r="H74" i="124"/>
  <c r="B23" i="141"/>
  <c r="E23" i="141" s="1"/>
  <c r="G46" i="123"/>
  <c r="G46" i="122"/>
  <c r="G46" i="121"/>
  <c r="L46" i="121" s="1"/>
  <c r="F61" i="120"/>
  <c r="G50" i="120"/>
  <c r="L50" i="120" s="1"/>
  <c r="G46" i="120"/>
  <c r="G46" i="119"/>
  <c r="B19" i="34" s="1"/>
  <c r="G19" i="34" s="1"/>
  <c r="L52" i="119"/>
  <c r="B18" i="141"/>
  <c r="E18" i="141" s="1"/>
  <c r="G46" i="118"/>
  <c r="F61" i="117"/>
  <c r="D61" i="117"/>
  <c r="G46" i="117"/>
  <c r="B17" i="34" s="1"/>
  <c r="D17" i="34" s="1"/>
  <c r="C16" i="141"/>
  <c r="G46" i="116"/>
  <c r="G46" i="115"/>
  <c r="G46" i="114"/>
  <c r="B14" i="34" s="1"/>
  <c r="D14" i="34" s="1"/>
  <c r="L52" i="114"/>
  <c r="G46" i="113"/>
  <c r="B12" i="141"/>
  <c r="I12" i="141" s="1"/>
  <c r="G46" i="112"/>
  <c r="L46" i="112" s="1"/>
  <c r="L47" i="111"/>
  <c r="B11" i="141"/>
  <c r="E11" i="141" s="1"/>
  <c r="L52" i="111"/>
  <c r="G46" i="111"/>
  <c r="B11" i="34" s="1"/>
  <c r="G11" i="34" s="1"/>
  <c r="L52" i="110"/>
  <c r="G46" i="110"/>
  <c r="B10" i="34" s="1"/>
  <c r="D10" i="34" s="1"/>
  <c r="J35" i="40"/>
  <c r="F8" i="109"/>
  <c r="B58" i="40"/>
  <c r="J58" i="40" s="1"/>
  <c r="G20" i="142"/>
  <c r="D20" i="142"/>
  <c r="G20" i="143"/>
  <c r="I19" i="141"/>
  <c r="E19" i="141"/>
  <c r="G18" i="140"/>
  <c r="D18" i="140"/>
  <c r="G18" i="142"/>
  <c r="D18" i="142"/>
  <c r="G17" i="142"/>
  <c r="D17" i="142"/>
  <c r="G16" i="142"/>
  <c r="D16" i="142"/>
  <c r="G16" i="143"/>
  <c r="D16" i="143"/>
  <c r="I16" i="141"/>
  <c r="E16" i="141"/>
  <c r="G15" i="140"/>
  <c r="D15" i="140"/>
  <c r="G15" i="142"/>
  <c r="D15" i="142"/>
  <c r="I15" i="141"/>
  <c r="E15" i="141"/>
  <c r="G14" i="142"/>
  <c r="D14" i="142"/>
  <c r="I14" i="141"/>
  <c r="E14" i="141"/>
  <c r="G13" i="140"/>
  <c r="D13" i="140"/>
  <c r="G13" i="142"/>
  <c r="D13" i="142"/>
  <c r="I13" i="141"/>
  <c r="E13" i="141"/>
  <c r="G12" i="140"/>
  <c r="D12" i="140"/>
  <c r="D12" i="142"/>
  <c r="G12" i="143"/>
  <c r="G11" i="140"/>
  <c r="D11" i="140"/>
  <c r="G11" i="142"/>
  <c r="D11" i="142"/>
  <c r="G10" i="142"/>
  <c r="D10" i="142"/>
  <c r="I10" i="141"/>
  <c r="E10" i="141"/>
  <c r="G39" i="140"/>
  <c r="D39" i="140"/>
  <c r="G39" i="142"/>
  <c r="D39" i="142"/>
  <c r="G38" i="142"/>
  <c r="D38" i="142"/>
  <c r="G38" i="143"/>
  <c r="D38" i="143"/>
  <c r="G37" i="142"/>
  <c r="D37" i="142"/>
  <c r="G37" i="143"/>
  <c r="D37" i="143"/>
  <c r="G36" i="140"/>
  <c r="D36" i="140"/>
  <c r="G36" i="142"/>
  <c r="D36" i="142"/>
  <c r="G36" i="143"/>
  <c r="D36" i="143"/>
  <c r="L47" i="135"/>
  <c r="B35" i="140"/>
  <c r="L49" i="135"/>
  <c r="B35" i="143"/>
  <c r="L48" i="134"/>
  <c r="B34" i="142"/>
  <c r="L50" i="134"/>
  <c r="B34" i="141"/>
  <c r="L47" i="133"/>
  <c r="B33" i="140"/>
  <c r="L49" i="133"/>
  <c r="B33" i="143"/>
  <c r="L48" i="132"/>
  <c r="B32" i="142"/>
  <c r="L50" i="132"/>
  <c r="B32" i="141"/>
  <c r="L47" i="131"/>
  <c r="B31" i="140"/>
  <c r="L49" i="131"/>
  <c r="B31" i="143"/>
  <c r="L48" i="130"/>
  <c r="B30" i="142"/>
  <c r="L47" i="129"/>
  <c r="B29" i="140"/>
  <c r="L49" i="129"/>
  <c r="B29" i="143"/>
  <c r="G28" i="140"/>
  <c r="D28" i="140"/>
  <c r="G28" i="142"/>
  <c r="D28" i="142"/>
  <c r="G28" i="143"/>
  <c r="G27" i="140"/>
  <c r="D27" i="140"/>
  <c r="G27" i="142"/>
  <c r="D27" i="142"/>
  <c r="G27" i="143"/>
  <c r="D27" i="143"/>
  <c r="I27" i="141"/>
  <c r="E27" i="141"/>
  <c r="G26" i="140"/>
  <c r="D26" i="140"/>
  <c r="G26" i="142"/>
  <c r="D26" i="142"/>
  <c r="G25" i="140"/>
  <c r="D25" i="140"/>
  <c r="G25" i="142"/>
  <c r="D25" i="142"/>
  <c r="G24" i="142"/>
  <c r="D24" i="142"/>
  <c r="G24" i="143"/>
  <c r="D24" i="143"/>
  <c r="I24" i="141"/>
  <c r="E24" i="141"/>
  <c r="G23" i="140"/>
  <c r="D23" i="140"/>
  <c r="G23" i="142"/>
  <c r="D23" i="142"/>
  <c r="G22" i="140"/>
  <c r="D22" i="140"/>
  <c r="G22" i="142"/>
  <c r="D22" i="142"/>
  <c r="G22" i="143"/>
  <c r="G21" i="142"/>
  <c r="D21" i="142"/>
  <c r="G21" i="143"/>
  <c r="D21" i="143"/>
  <c r="J43" i="40"/>
  <c r="H8" i="109"/>
  <c r="H39" i="109" s="1"/>
  <c r="J27" i="40"/>
  <c r="D8" i="109"/>
  <c r="D39" i="109" s="1"/>
  <c r="L49" i="40"/>
  <c r="B9" i="143"/>
  <c r="G10" i="34"/>
  <c r="G14" i="34"/>
  <c r="G46" i="124"/>
  <c r="G46" i="125"/>
  <c r="G31" i="34"/>
  <c r="G32" i="34"/>
  <c r="D32" i="34"/>
  <c r="D33" i="34"/>
  <c r="G46" i="134"/>
  <c r="B34" i="34" s="1"/>
  <c r="G46" i="135"/>
  <c r="B35" i="34" s="1"/>
  <c r="G46" i="136"/>
  <c r="B36" i="34" s="1"/>
  <c r="G46" i="137"/>
  <c r="B37" i="34" s="1"/>
  <c r="G46" i="138"/>
  <c r="B38" i="34" s="1"/>
  <c r="G46" i="139"/>
  <c r="B39" i="34" s="1"/>
  <c r="L52" i="139"/>
  <c r="L48" i="135"/>
  <c r="B35" i="142"/>
  <c r="L47" i="134"/>
  <c r="B34" i="140"/>
  <c r="L49" i="134"/>
  <c r="B34" i="143"/>
  <c r="L48" i="133"/>
  <c r="B33" i="142"/>
  <c r="L47" i="132"/>
  <c r="B32" i="140"/>
  <c r="L49" i="132"/>
  <c r="B32" i="143"/>
  <c r="L48" i="131"/>
  <c r="B31" i="142"/>
  <c r="L50" i="131"/>
  <c r="B31" i="141"/>
  <c r="L47" i="130"/>
  <c r="B30" i="140"/>
  <c r="L49" i="130"/>
  <c r="B30" i="143"/>
  <c r="L48" i="129"/>
  <c r="B29" i="142"/>
  <c r="J19" i="40"/>
  <c r="B8" i="109"/>
  <c r="B39" i="109" s="1"/>
  <c r="AC98" i="139"/>
  <c r="AA75" i="139"/>
  <c r="AA69" i="139"/>
  <c r="AA63" i="139"/>
  <c r="AA42" i="139"/>
  <c r="H74" i="139"/>
  <c r="J71" i="139"/>
  <c r="AC98" i="138"/>
  <c r="AA75" i="138"/>
  <c r="AA69" i="138"/>
  <c r="AA63" i="138"/>
  <c r="AA42" i="138"/>
  <c r="H74" i="138"/>
  <c r="J71" i="138"/>
  <c r="AC98" i="137"/>
  <c r="AA75" i="137"/>
  <c r="AA69" i="137"/>
  <c r="AA63" i="137"/>
  <c r="AA42" i="137"/>
  <c r="AC98" i="136"/>
  <c r="AA75" i="136"/>
  <c r="AA69" i="136"/>
  <c r="AA63" i="136"/>
  <c r="AA42" i="136"/>
  <c r="G69" i="136"/>
  <c r="L46" i="136"/>
  <c r="H74" i="136"/>
  <c r="J71" i="136"/>
  <c r="AC98" i="135"/>
  <c r="AA75" i="135"/>
  <c r="AA69" i="135"/>
  <c r="AA63" i="135"/>
  <c r="AA42" i="135"/>
  <c r="G69" i="135"/>
  <c r="L46" i="135"/>
  <c r="H74" i="135"/>
  <c r="J71" i="135"/>
  <c r="AC98" i="134"/>
  <c r="AA75" i="134"/>
  <c r="AA69" i="134"/>
  <c r="AA63" i="134"/>
  <c r="AA42" i="134"/>
  <c r="H74" i="134"/>
  <c r="J71" i="134"/>
  <c r="AC98" i="133"/>
  <c r="AA75" i="133"/>
  <c r="AA69" i="133"/>
  <c r="AA63" i="133"/>
  <c r="AA42" i="133"/>
  <c r="H74" i="133"/>
  <c r="J71" i="133"/>
  <c r="AC98" i="132"/>
  <c r="AA75" i="132"/>
  <c r="AA69" i="132"/>
  <c r="AA63" i="132"/>
  <c r="AA42" i="132"/>
  <c r="L46" i="132"/>
  <c r="H74" i="132"/>
  <c r="J71" i="132"/>
  <c r="AC98" i="131"/>
  <c r="AA75" i="131"/>
  <c r="AA69" i="131"/>
  <c r="AA63" i="131"/>
  <c r="AA42" i="131"/>
  <c r="G69" i="131"/>
  <c r="AC98" i="130"/>
  <c r="AA75" i="130"/>
  <c r="AA69" i="130"/>
  <c r="AA63" i="130"/>
  <c r="AA42" i="130"/>
  <c r="AC98" i="129"/>
  <c r="AA75" i="129"/>
  <c r="AA69" i="129"/>
  <c r="AA63" i="129"/>
  <c r="AA42" i="129"/>
  <c r="H74" i="129"/>
  <c r="AC98" i="128"/>
  <c r="AA75" i="128"/>
  <c r="AA69" i="128"/>
  <c r="AA63" i="128"/>
  <c r="AA42" i="128"/>
  <c r="H74" i="128"/>
  <c r="J71" i="128"/>
  <c r="AC98" i="127"/>
  <c r="AA75" i="127"/>
  <c r="AA69" i="127"/>
  <c r="AA63" i="127"/>
  <c r="AA42" i="127"/>
  <c r="H74" i="127"/>
  <c r="J71" i="127"/>
  <c r="AC98" i="126"/>
  <c r="AA75" i="126"/>
  <c r="AA69" i="126"/>
  <c r="AA63" i="126"/>
  <c r="AA42" i="126"/>
  <c r="H74" i="126"/>
  <c r="J71" i="126"/>
  <c r="AC98" i="125"/>
  <c r="AA75" i="125"/>
  <c r="AA69" i="125"/>
  <c r="AA63" i="125"/>
  <c r="AA42" i="125"/>
  <c r="H74" i="125"/>
  <c r="J71" i="125"/>
  <c r="AC98" i="124"/>
  <c r="AA75" i="124"/>
  <c r="AA69" i="124"/>
  <c r="AA63" i="124"/>
  <c r="AA42" i="124"/>
  <c r="AC98" i="123"/>
  <c r="AA75" i="123"/>
  <c r="AA69" i="123"/>
  <c r="AA63" i="123"/>
  <c r="AA42" i="123"/>
  <c r="H74" i="123"/>
  <c r="J71" i="123"/>
  <c r="AC98" i="122"/>
  <c r="AA75" i="122"/>
  <c r="AA69" i="122"/>
  <c r="AA63" i="122"/>
  <c r="AA42" i="122"/>
  <c r="H74" i="122"/>
  <c r="J71" i="122"/>
  <c r="AC98" i="121"/>
  <c r="AA75" i="121"/>
  <c r="AA69" i="121"/>
  <c r="AA63" i="121"/>
  <c r="AA42" i="121"/>
  <c r="H74" i="121"/>
  <c r="J71" i="121"/>
  <c r="AC98" i="120"/>
  <c r="AA75" i="120"/>
  <c r="AA69" i="120"/>
  <c r="AA63" i="120"/>
  <c r="AA42" i="120"/>
  <c r="H74" i="120"/>
  <c r="J71" i="120"/>
  <c r="AC98" i="119"/>
  <c r="AA75" i="119"/>
  <c r="AA69" i="119"/>
  <c r="AA63" i="119"/>
  <c r="AA42" i="119"/>
  <c r="H74" i="119"/>
  <c r="AC98" i="118"/>
  <c r="AA75" i="118"/>
  <c r="AA69" i="118"/>
  <c r="AA63" i="118"/>
  <c r="AA42" i="118"/>
  <c r="H74" i="118"/>
  <c r="J71" i="118"/>
  <c r="AC98" i="117"/>
  <c r="AA75" i="117"/>
  <c r="AA69" i="117"/>
  <c r="AA63" i="117"/>
  <c r="AA42" i="117"/>
  <c r="H74" i="117"/>
  <c r="J71" i="117"/>
  <c r="AC98" i="116"/>
  <c r="AA75" i="116"/>
  <c r="AA69" i="116"/>
  <c r="AA63" i="116"/>
  <c r="AA42" i="116"/>
  <c r="H74" i="116"/>
  <c r="J71" i="116"/>
  <c r="AC98" i="115"/>
  <c r="AA75" i="115"/>
  <c r="AA69" i="115"/>
  <c r="AA63" i="115"/>
  <c r="AA42" i="115"/>
  <c r="H74" i="115"/>
  <c r="J71" i="115"/>
  <c r="AC98" i="114"/>
  <c r="AA75" i="114"/>
  <c r="AA69" i="114"/>
  <c r="AA63" i="114"/>
  <c r="AA42" i="114"/>
  <c r="H74" i="114"/>
  <c r="J71" i="114"/>
  <c r="AC98" i="113"/>
  <c r="AA75" i="113"/>
  <c r="AA69" i="113"/>
  <c r="AA63" i="113"/>
  <c r="AA42" i="113"/>
  <c r="H74" i="113"/>
  <c r="J71" i="113"/>
  <c r="AC98" i="112"/>
  <c r="AA75" i="112"/>
  <c r="AA69" i="112"/>
  <c r="AA63" i="112"/>
  <c r="AA42" i="112"/>
  <c r="G61" i="112"/>
  <c r="L61" i="112" s="1"/>
  <c r="H74" i="112"/>
  <c r="J71" i="112"/>
  <c r="AC98" i="111"/>
  <c r="AA75" i="111"/>
  <c r="AA69" i="111"/>
  <c r="AA63" i="111"/>
  <c r="AA42" i="111"/>
  <c r="H74" i="111"/>
  <c r="J71" i="111"/>
  <c r="AC98" i="110"/>
  <c r="AA75" i="110"/>
  <c r="AA69" i="110"/>
  <c r="AA63" i="110"/>
  <c r="AA42" i="110"/>
  <c r="H74" i="110"/>
  <c r="J71" i="110"/>
  <c r="J46" i="40"/>
  <c r="AB79" i="40"/>
  <c r="AB80" i="40"/>
  <c r="AB81" i="40"/>
  <c r="AB82" i="40"/>
  <c r="AB83" i="40"/>
  <c r="AB84" i="40"/>
  <c r="AB85" i="40"/>
  <c r="AB86" i="40"/>
  <c r="AB87" i="40"/>
  <c r="AB88" i="40"/>
  <c r="AB89" i="40"/>
  <c r="AB90" i="40"/>
  <c r="AB91" i="40"/>
  <c r="AB92" i="40"/>
  <c r="AB93" i="40"/>
  <c r="AB94" i="40"/>
  <c r="AB95" i="40"/>
  <c r="AB96" i="40"/>
  <c r="AB97" i="40"/>
  <c r="AB78" i="40"/>
  <c r="AA78" i="40"/>
  <c r="U74" i="40"/>
  <c r="U73" i="40"/>
  <c r="U72" i="40"/>
  <c r="U71" i="40"/>
  <c r="U70" i="40"/>
  <c r="W74" i="40"/>
  <c r="Z74" i="40" s="1"/>
  <c r="V74" i="40"/>
  <c r="Y74" i="40" s="1"/>
  <c r="W73" i="40"/>
  <c r="Z73" i="40" s="1"/>
  <c r="V73" i="40"/>
  <c r="Y73" i="40" s="1"/>
  <c r="W72" i="40"/>
  <c r="Z72" i="40" s="1"/>
  <c r="V72" i="40"/>
  <c r="Y72" i="40" s="1"/>
  <c r="W71" i="40"/>
  <c r="Z71" i="40" s="1"/>
  <c r="V71" i="40"/>
  <c r="Y71" i="40" s="1"/>
  <c r="W70" i="40"/>
  <c r="V70" i="40"/>
  <c r="X74" i="40"/>
  <c r="X73" i="40"/>
  <c r="X72" i="40"/>
  <c r="X71" i="40"/>
  <c r="X70" i="40"/>
  <c r="AA79" i="40"/>
  <c r="AC79" i="40" s="1"/>
  <c r="AA80" i="40"/>
  <c r="AA81" i="40"/>
  <c r="AC81" i="40" s="1"/>
  <c r="AA82" i="40"/>
  <c r="AA83" i="40"/>
  <c r="AC83" i="40" s="1"/>
  <c r="AA84" i="40"/>
  <c r="AA85" i="40"/>
  <c r="AC85" i="40" s="1"/>
  <c r="AA86" i="40"/>
  <c r="AA87" i="40"/>
  <c r="AC87" i="40" s="1"/>
  <c r="AA88" i="40"/>
  <c r="AA89" i="40"/>
  <c r="AC89" i="40" s="1"/>
  <c r="AA90" i="40"/>
  <c r="AA91" i="40"/>
  <c r="AC91" i="40" s="1"/>
  <c r="AA92" i="40"/>
  <c r="AA93" i="40"/>
  <c r="AC93" i="40" s="1"/>
  <c r="AA94" i="40"/>
  <c r="AA95" i="40"/>
  <c r="AC95" i="40" s="1"/>
  <c r="AA96" i="40"/>
  <c r="AA97" i="40"/>
  <c r="AC97" i="40" s="1"/>
  <c r="U12" i="40"/>
  <c r="U65" i="40"/>
  <c r="U66" i="40"/>
  <c r="U67" i="40"/>
  <c r="U68" i="40"/>
  <c r="U64" i="40"/>
  <c r="U44" i="40"/>
  <c r="U45" i="40"/>
  <c r="U46" i="40"/>
  <c r="U47" i="40"/>
  <c r="U48" i="40"/>
  <c r="U49" i="40"/>
  <c r="U50" i="40"/>
  <c r="U51" i="40"/>
  <c r="U52" i="40"/>
  <c r="U53" i="40"/>
  <c r="U54" i="40"/>
  <c r="U55" i="40"/>
  <c r="U56" i="40"/>
  <c r="U57" i="40"/>
  <c r="U58" i="40"/>
  <c r="U59" i="40"/>
  <c r="U60" i="40"/>
  <c r="U61" i="40"/>
  <c r="U62" i="40"/>
  <c r="U43" i="40"/>
  <c r="W12" i="40"/>
  <c r="Z12" i="40" s="1"/>
  <c r="V65" i="40"/>
  <c r="Y65" i="40" s="1"/>
  <c r="W65" i="40"/>
  <c r="Z65" i="40" s="1"/>
  <c r="V66" i="40"/>
  <c r="Y66" i="40" s="1"/>
  <c r="W66" i="40"/>
  <c r="Z66" i="40" s="1"/>
  <c r="V67" i="40"/>
  <c r="Y67" i="40" s="1"/>
  <c r="W67" i="40"/>
  <c r="Z67" i="40" s="1"/>
  <c r="V68" i="40"/>
  <c r="Y68" i="40" s="1"/>
  <c r="W68" i="40"/>
  <c r="Z68" i="40" s="1"/>
  <c r="W64" i="40"/>
  <c r="V64" i="40"/>
  <c r="V44" i="40"/>
  <c r="Y44" i="40" s="1"/>
  <c r="W44" i="40"/>
  <c r="Z44" i="40" s="1"/>
  <c r="V45" i="40"/>
  <c r="Y45" i="40" s="1"/>
  <c r="W45" i="40"/>
  <c r="Z45" i="40" s="1"/>
  <c r="V46" i="40"/>
  <c r="Y46" i="40" s="1"/>
  <c r="W46" i="40"/>
  <c r="Z46" i="40" s="1"/>
  <c r="V47" i="40"/>
  <c r="Y47" i="40" s="1"/>
  <c r="W47" i="40"/>
  <c r="Z47" i="40" s="1"/>
  <c r="V48" i="40"/>
  <c r="Y48" i="40" s="1"/>
  <c r="W48" i="40"/>
  <c r="Z48" i="40" s="1"/>
  <c r="V49" i="40"/>
  <c r="Y49" i="40" s="1"/>
  <c r="W49" i="40"/>
  <c r="Z49" i="40" s="1"/>
  <c r="V50" i="40"/>
  <c r="Y50" i="40" s="1"/>
  <c r="W50" i="40"/>
  <c r="Z50" i="40" s="1"/>
  <c r="V51" i="40"/>
  <c r="Y51" i="40" s="1"/>
  <c r="W51" i="40"/>
  <c r="Z51" i="40" s="1"/>
  <c r="V52" i="40"/>
  <c r="Y52" i="40" s="1"/>
  <c r="W52" i="40"/>
  <c r="Z52" i="40" s="1"/>
  <c r="V53" i="40"/>
  <c r="Y53" i="40" s="1"/>
  <c r="W53" i="40"/>
  <c r="Z53" i="40" s="1"/>
  <c r="V54" i="40"/>
  <c r="Y54" i="40" s="1"/>
  <c r="W54" i="40"/>
  <c r="Z54" i="40" s="1"/>
  <c r="V55" i="40"/>
  <c r="Y55" i="40" s="1"/>
  <c r="W55" i="40"/>
  <c r="Z55" i="40" s="1"/>
  <c r="V56" i="40"/>
  <c r="Y56" i="40" s="1"/>
  <c r="W56" i="40"/>
  <c r="Z56" i="40" s="1"/>
  <c r="V57" i="40"/>
  <c r="Y57" i="40" s="1"/>
  <c r="W57" i="40"/>
  <c r="Z57" i="40" s="1"/>
  <c r="V58" i="40"/>
  <c r="Y58" i="40" s="1"/>
  <c r="W58" i="40"/>
  <c r="Z58" i="40" s="1"/>
  <c r="V59" i="40"/>
  <c r="Y59" i="40" s="1"/>
  <c r="W59" i="40"/>
  <c r="Z59" i="40" s="1"/>
  <c r="V60" i="40"/>
  <c r="Y60" i="40" s="1"/>
  <c r="W60" i="40"/>
  <c r="Z60" i="40" s="1"/>
  <c r="V61" i="40"/>
  <c r="Y61" i="40" s="1"/>
  <c r="W61" i="40"/>
  <c r="Z61" i="40" s="1"/>
  <c r="V62" i="40"/>
  <c r="Y62" i="40" s="1"/>
  <c r="W62" i="40"/>
  <c r="Z62" i="40" s="1"/>
  <c r="W43" i="40"/>
  <c r="Z43" i="40" s="1"/>
  <c r="V43" i="40"/>
  <c r="Y43" i="40" s="1"/>
  <c r="X12" i="40"/>
  <c r="X65" i="40"/>
  <c r="X66" i="40"/>
  <c r="X67" i="40"/>
  <c r="X68" i="40"/>
  <c r="X64" i="40"/>
  <c r="X44" i="40"/>
  <c r="X45" i="40"/>
  <c r="X46" i="40"/>
  <c r="X47" i="40"/>
  <c r="X48" i="40"/>
  <c r="X49" i="40"/>
  <c r="X50" i="40"/>
  <c r="X51" i="40"/>
  <c r="X52" i="40"/>
  <c r="X53" i="40"/>
  <c r="X54" i="40"/>
  <c r="X55" i="40"/>
  <c r="X56" i="40"/>
  <c r="X57" i="40"/>
  <c r="X58" i="40"/>
  <c r="X59" i="40"/>
  <c r="X60" i="40"/>
  <c r="X61" i="40"/>
  <c r="X62" i="40"/>
  <c r="X43" i="40"/>
  <c r="D46" i="40"/>
  <c r="D48" i="40"/>
  <c r="F48" i="40" s="1"/>
  <c r="J47" i="40"/>
  <c r="U13" i="40"/>
  <c r="U14" i="40"/>
  <c r="U15" i="40"/>
  <c r="U16" i="40"/>
  <c r="U17" i="40"/>
  <c r="U18" i="40"/>
  <c r="U19" i="40"/>
  <c r="U20" i="40"/>
  <c r="U21" i="40"/>
  <c r="U22" i="40"/>
  <c r="U23" i="40"/>
  <c r="U24" i="40"/>
  <c r="U25" i="40"/>
  <c r="U26" i="40"/>
  <c r="U27" i="40"/>
  <c r="U29" i="40"/>
  <c r="U30" i="40"/>
  <c r="U31" i="40"/>
  <c r="U32" i="40"/>
  <c r="U33" i="40"/>
  <c r="U34" i="40"/>
  <c r="U35" i="40"/>
  <c r="U36" i="40"/>
  <c r="U37" i="40"/>
  <c r="U41" i="40"/>
  <c r="U40" i="40"/>
  <c r="U39" i="40"/>
  <c r="U38" i="40"/>
  <c r="V12" i="40"/>
  <c r="Y12" i="40" s="1"/>
  <c r="V41" i="40"/>
  <c r="Y41" i="40" s="1"/>
  <c r="V40" i="40"/>
  <c r="Y40" i="40" s="1"/>
  <c r="V39" i="40"/>
  <c r="Y39" i="40" s="1"/>
  <c r="V38" i="40"/>
  <c r="Y38" i="40" s="1"/>
  <c r="V37" i="40"/>
  <c r="Y37" i="40" s="1"/>
  <c r="V36" i="40"/>
  <c r="Y36" i="40" s="1"/>
  <c r="V35" i="40"/>
  <c r="Y35" i="40" s="1"/>
  <c r="V34" i="40"/>
  <c r="Y34" i="40" s="1"/>
  <c r="V33" i="40"/>
  <c r="Y33" i="40" s="1"/>
  <c r="V32" i="40"/>
  <c r="Y32" i="40" s="1"/>
  <c r="V31" i="40"/>
  <c r="Y31" i="40" s="1"/>
  <c r="V30" i="40"/>
  <c r="Y30" i="40" s="1"/>
  <c r="V29" i="40"/>
  <c r="Y29" i="40" s="1"/>
  <c r="V28" i="40"/>
  <c r="Y28" i="40" s="1"/>
  <c r="V27" i="40"/>
  <c r="Y27" i="40" s="1"/>
  <c r="V26" i="40"/>
  <c r="Y26" i="40" s="1"/>
  <c r="V25" i="40"/>
  <c r="Y25" i="40" s="1"/>
  <c r="V24" i="40"/>
  <c r="Y24" i="40" s="1"/>
  <c r="V23" i="40"/>
  <c r="Y23" i="40" s="1"/>
  <c r="V22" i="40"/>
  <c r="Y22" i="40" s="1"/>
  <c r="V21" i="40"/>
  <c r="Y21" i="40" s="1"/>
  <c r="V20" i="40"/>
  <c r="Y20" i="40" s="1"/>
  <c r="V19" i="40"/>
  <c r="Y19" i="40" s="1"/>
  <c r="V18" i="40"/>
  <c r="Y18" i="40" s="1"/>
  <c r="V17" i="40"/>
  <c r="Y17" i="40" s="1"/>
  <c r="V16" i="40"/>
  <c r="Y16" i="40" s="1"/>
  <c r="V15" i="40"/>
  <c r="Y15" i="40" s="1"/>
  <c r="V14" i="40"/>
  <c r="Y14" i="40" s="1"/>
  <c r="V13" i="40"/>
  <c r="Y13" i="40" s="1"/>
  <c r="W41" i="40"/>
  <c r="Z41" i="40" s="1"/>
  <c r="W40" i="40"/>
  <c r="Z40" i="40" s="1"/>
  <c r="W39" i="40"/>
  <c r="Z39" i="40" s="1"/>
  <c r="W38" i="40"/>
  <c r="Z38" i="40" s="1"/>
  <c r="W37" i="40"/>
  <c r="Z37" i="40" s="1"/>
  <c r="W36" i="40"/>
  <c r="Z36" i="40" s="1"/>
  <c r="W35" i="40"/>
  <c r="Z35" i="40" s="1"/>
  <c r="W34" i="40"/>
  <c r="Z34" i="40" s="1"/>
  <c r="W33" i="40"/>
  <c r="Z33" i="40" s="1"/>
  <c r="W32" i="40"/>
  <c r="Z32" i="40" s="1"/>
  <c r="W31" i="40"/>
  <c r="Z31" i="40" s="1"/>
  <c r="W30" i="40"/>
  <c r="Z30" i="40" s="1"/>
  <c r="W29" i="40"/>
  <c r="Z29" i="40" s="1"/>
  <c r="W28" i="40"/>
  <c r="Z28" i="40" s="1"/>
  <c r="W27" i="40"/>
  <c r="Z27" i="40" s="1"/>
  <c r="W26" i="40"/>
  <c r="Z26" i="40" s="1"/>
  <c r="W25" i="40"/>
  <c r="Z25" i="40" s="1"/>
  <c r="W24" i="40"/>
  <c r="Z24" i="40" s="1"/>
  <c r="W23" i="40"/>
  <c r="Z23" i="40" s="1"/>
  <c r="W22" i="40"/>
  <c r="Z22" i="40" s="1"/>
  <c r="W21" i="40"/>
  <c r="Z21" i="40" s="1"/>
  <c r="W20" i="40"/>
  <c r="Z20" i="40" s="1"/>
  <c r="W19" i="40"/>
  <c r="Z19" i="40" s="1"/>
  <c r="W18" i="40"/>
  <c r="Z18" i="40" s="1"/>
  <c r="W17" i="40"/>
  <c r="Z17" i="40" s="1"/>
  <c r="W16" i="40"/>
  <c r="Z16" i="40" s="1"/>
  <c r="W15" i="40"/>
  <c r="Z15" i="40" s="1"/>
  <c r="W14" i="40"/>
  <c r="Z14" i="40" s="1"/>
  <c r="W13" i="40"/>
  <c r="Z13" i="40" s="1"/>
  <c r="X13" i="40"/>
  <c r="X14" i="40"/>
  <c r="X15" i="40"/>
  <c r="X16" i="40"/>
  <c r="X17" i="40"/>
  <c r="X18" i="40"/>
  <c r="X19" i="40"/>
  <c r="X20" i="40"/>
  <c r="X21" i="40"/>
  <c r="X22" i="40"/>
  <c r="X23" i="40"/>
  <c r="X41" i="40"/>
  <c r="X40" i="40"/>
  <c r="X39" i="40"/>
  <c r="X38" i="40"/>
  <c r="X37" i="40"/>
  <c r="X36" i="40"/>
  <c r="X35" i="40"/>
  <c r="X34" i="40"/>
  <c r="X33" i="40"/>
  <c r="X32" i="40"/>
  <c r="X31" i="40"/>
  <c r="X30" i="40"/>
  <c r="X29" i="40"/>
  <c r="X27" i="40"/>
  <c r="X26" i="40"/>
  <c r="X25" i="40"/>
  <c r="X24" i="40"/>
  <c r="F47" i="40"/>
  <c r="G47" i="40" s="1"/>
  <c r="F55" i="40"/>
  <c r="J55" i="40"/>
  <c r="J53" i="40"/>
  <c r="D57" i="40"/>
  <c r="F57" i="40" s="1"/>
  <c r="G48" i="40"/>
  <c r="F54" i="40"/>
  <c r="J54" i="40"/>
  <c r="B50" i="40"/>
  <c r="Y98" i="40"/>
  <c r="S98" i="40"/>
  <c r="X98" i="40"/>
  <c r="B51" i="40"/>
  <c r="T98" i="40"/>
  <c r="G86" i="40" s="1"/>
  <c r="H81" i="40" s="1"/>
  <c r="B28" i="40"/>
  <c r="B36" i="40"/>
  <c r="B20" i="40"/>
  <c r="C8" i="109" s="1"/>
  <c r="B44" i="40"/>
  <c r="L44" i="40" s="1"/>
  <c r="D60" i="40"/>
  <c r="F60" i="40" s="1"/>
  <c r="G60" i="40" s="1"/>
  <c r="L60" i="40" s="1"/>
  <c r="H60" i="40"/>
  <c r="H57" i="40"/>
  <c r="H58" i="40"/>
  <c r="H47" i="40"/>
  <c r="H48" i="40"/>
  <c r="H50" i="40"/>
  <c r="H49" i="40"/>
  <c r="H62" i="40"/>
  <c r="D53" i="40"/>
  <c r="G53" i="40" s="1"/>
  <c r="H53" i="40"/>
  <c r="D54" i="40"/>
  <c r="H54" i="40"/>
  <c r="H52" i="40"/>
  <c r="D55" i="40"/>
  <c r="H55" i="40"/>
  <c r="D56" i="40"/>
  <c r="G56" i="40" s="1"/>
  <c r="H56" i="40"/>
  <c r="H61" i="40"/>
  <c r="E11" i="75"/>
  <c r="E12" i="75"/>
  <c r="E13" i="75"/>
  <c r="E14" i="75"/>
  <c r="E15" i="75"/>
  <c r="E16" i="75"/>
  <c r="E17" i="75"/>
  <c r="E18" i="75"/>
  <c r="E21" i="75"/>
  <c r="E22" i="75"/>
  <c r="E23" i="75"/>
  <c r="E26" i="75"/>
  <c r="E29" i="75"/>
  <c r="E30" i="75"/>
  <c r="E31" i="75"/>
  <c r="E32" i="75"/>
  <c r="E36" i="75"/>
  <c r="E38" i="75"/>
  <c r="D39" i="75"/>
  <c r="B8" i="77"/>
  <c r="C8" i="77"/>
  <c r="C39" i="77" s="1"/>
  <c r="B44" i="77"/>
  <c r="C44" i="77"/>
  <c r="H74" i="137" l="1"/>
  <c r="L51" i="136"/>
  <c r="B21" i="141"/>
  <c r="E21" i="141" s="1"/>
  <c r="C11" i="141"/>
  <c r="B40" i="143"/>
  <c r="C17" i="141"/>
  <c r="D13" i="143"/>
  <c r="D12" i="143"/>
  <c r="D39" i="143"/>
  <c r="L51" i="125"/>
  <c r="D23" i="143"/>
  <c r="D20" i="143"/>
  <c r="L51" i="133"/>
  <c r="L50" i="128"/>
  <c r="L51" i="127"/>
  <c r="C23" i="141"/>
  <c r="L51" i="121"/>
  <c r="C19" i="141"/>
  <c r="L51" i="118"/>
  <c r="B17" i="141"/>
  <c r="I17" i="141" s="1"/>
  <c r="G23" i="143"/>
  <c r="D21" i="140"/>
  <c r="B25" i="141"/>
  <c r="I25" i="141" s="1"/>
  <c r="D19" i="140"/>
  <c r="G17" i="140"/>
  <c r="D16" i="140"/>
  <c r="D38" i="140"/>
  <c r="L50" i="133"/>
  <c r="AC78" i="40"/>
  <c r="L51" i="132"/>
  <c r="L51" i="130"/>
  <c r="G24" i="140"/>
  <c r="C22" i="141"/>
  <c r="D22" i="143"/>
  <c r="I18" i="141"/>
  <c r="G18" i="143"/>
  <c r="D15" i="143"/>
  <c r="C13" i="141"/>
  <c r="B37" i="141"/>
  <c r="G61" i="132"/>
  <c r="L61" i="132" s="1"/>
  <c r="C28" i="141"/>
  <c r="G61" i="124"/>
  <c r="L61" i="124" s="1"/>
  <c r="C24" i="141"/>
  <c r="G19" i="142"/>
  <c r="G14" i="143"/>
  <c r="G14" i="140"/>
  <c r="G10" i="140"/>
  <c r="D58" i="40"/>
  <c r="F58" i="40" s="1"/>
  <c r="I38" i="141"/>
  <c r="L50" i="138"/>
  <c r="C35" i="141"/>
  <c r="E28" i="141"/>
  <c r="I26" i="141"/>
  <c r="D26" i="143"/>
  <c r="D20" i="140"/>
  <c r="L51" i="114"/>
  <c r="C14" i="141"/>
  <c r="G13" i="143"/>
  <c r="D10" i="143"/>
  <c r="D37" i="140"/>
  <c r="I21" i="141"/>
  <c r="D11" i="143"/>
  <c r="C37" i="141"/>
  <c r="L51" i="137"/>
  <c r="D25" i="143"/>
  <c r="B22" i="141"/>
  <c r="L50" i="122"/>
  <c r="D19" i="143"/>
  <c r="D17" i="143"/>
  <c r="E36" i="141"/>
  <c r="G61" i="135"/>
  <c r="L61" i="135" s="1"/>
  <c r="B35" i="141"/>
  <c r="I35" i="141" s="1"/>
  <c r="L51" i="134"/>
  <c r="C31" i="141"/>
  <c r="C29" i="141"/>
  <c r="G61" i="134"/>
  <c r="L61" i="134" s="1"/>
  <c r="L46" i="134"/>
  <c r="I71" i="134"/>
  <c r="G61" i="133"/>
  <c r="L61" i="133" s="1"/>
  <c r="H74" i="131"/>
  <c r="L46" i="131"/>
  <c r="G30" i="34"/>
  <c r="B29" i="141"/>
  <c r="I29" i="141" s="1"/>
  <c r="B16" i="34"/>
  <c r="G16" i="34" s="1"/>
  <c r="L46" i="116"/>
  <c r="G61" i="126"/>
  <c r="L61" i="126" s="1"/>
  <c r="L51" i="126"/>
  <c r="I23" i="141"/>
  <c r="G17" i="34"/>
  <c r="G61" i="115"/>
  <c r="L61" i="115" s="1"/>
  <c r="I11" i="141"/>
  <c r="D11" i="34"/>
  <c r="L51" i="110"/>
  <c r="C10" i="141"/>
  <c r="B39" i="141"/>
  <c r="L50" i="139"/>
  <c r="G61" i="139"/>
  <c r="L61" i="139" s="1"/>
  <c r="L46" i="139"/>
  <c r="G69" i="139"/>
  <c r="I71" i="139" s="1"/>
  <c r="L46" i="138"/>
  <c r="G61" i="138"/>
  <c r="L61" i="138" s="1"/>
  <c r="B24" i="34"/>
  <c r="G24" i="34" s="1"/>
  <c r="L46" i="124"/>
  <c r="B20" i="34"/>
  <c r="L46" i="120"/>
  <c r="B26" i="34"/>
  <c r="L46" i="126"/>
  <c r="B25" i="34"/>
  <c r="D25" i="34" s="1"/>
  <c r="L46" i="125"/>
  <c r="B21" i="34"/>
  <c r="G21" i="34" s="1"/>
  <c r="B22" i="34"/>
  <c r="L46" i="122"/>
  <c r="B23" i="34"/>
  <c r="G23" i="34" s="1"/>
  <c r="L46" i="123"/>
  <c r="B27" i="34"/>
  <c r="G27" i="34" s="1"/>
  <c r="B28" i="34"/>
  <c r="L46" i="128"/>
  <c r="G61" i="137"/>
  <c r="L61" i="137" s="1"/>
  <c r="L46" i="137"/>
  <c r="G69" i="137"/>
  <c r="G74" i="137" s="1"/>
  <c r="G61" i="136"/>
  <c r="L61" i="136" s="1"/>
  <c r="L46" i="133"/>
  <c r="G69" i="133"/>
  <c r="I71" i="133" s="1"/>
  <c r="G61" i="131"/>
  <c r="L61" i="131" s="1"/>
  <c r="J71" i="130"/>
  <c r="L46" i="130"/>
  <c r="G69" i="130"/>
  <c r="G74" i="130" s="1"/>
  <c r="B30" i="141"/>
  <c r="I30" i="141" s="1"/>
  <c r="G61" i="130"/>
  <c r="L61" i="130" s="1"/>
  <c r="G61" i="129"/>
  <c r="L61" i="129" s="1"/>
  <c r="D29" i="34"/>
  <c r="L46" i="129"/>
  <c r="G74" i="129"/>
  <c r="G61" i="128"/>
  <c r="L61" i="128" s="1"/>
  <c r="G61" i="127"/>
  <c r="L61" i="127" s="1"/>
  <c r="G69" i="127"/>
  <c r="I71" i="127" s="1"/>
  <c r="I71" i="126"/>
  <c r="Z63" i="40"/>
  <c r="U63" i="40"/>
  <c r="B13" i="34"/>
  <c r="L46" i="113"/>
  <c r="B12" i="34"/>
  <c r="G12" i="34" s="1"/>
  <c r="B15" i="34"/>
  <c r="L46" i="115"/>
  <c r="B18" i="34"/>
  <c r="D18" i="34" s="1"/>
  <c r="L46" i="118"/>
  <c r="G61" i="125"/>
  <c r="L61" i="125" s="1"/>
  <c r="G74" i="125"/>
  <c r="J71" i="124"/>
  <c r="G61" i="123"/>
  <c r="L61" i="123" s="1"/>
  <c r="D23" i="34"/>
  <c r="G69" i="123"/>
  <c r="I71" i="123" s="1"/>
  <c r="I71" i="122"/>
  <c r="G61" i="122"/>
  <c r="L61" i="122" s="1"/>
  <c r="G61" i="121"/>
  <c r="L61" i="121" s="1"/>
  <c r="G74" i="121"/>
  <c r="B20" i="141"/>
  <c r="G61" i="120"/>
  <c r="L61" i="120" s="1"/>
  <c r="I71" i="120"/>
  <c r="G61" i="119"/>
  <c r="L61" i="119" s="1"/>
  <c r="D19" i="34"/>
  <c r="L46" i="119"/>
  <c r="G74" i="119"/>
  <c r="G18" i="34"/>
  <c r="I71" i="118"/>
  <c r="G61" i="118"/>
  <c r="L61" i="118" s="1"/>
  <c r="L46" i="117"/>
  <c r="I71" i="117"/>
  <c r="G61" i="117"/>
  <c r="L61" i="117" s="1"/>
  <c r="G61" i="116"/>
  <c r="L61" i="116" s="1"/>
  <c r="G74" i="116"/>
  <c r="L46" i="114"/>
  <c r="G69" i="114"/>
  <c r="I71" i="114" s="1"/>
  <c r="G61" i="114"/>
  <c r="L61" i="114" s="1"/>
  <c r="G61" i="113"/>
  <c r="L61" i="113" s="1"/>
  <c r="E12" i="141"/>
  <c r="D12" i="34"/>
  <c r="I71" i="112"/>
  <c r="G61" i="111"/>
  <c r="L61" i="111" s="1"/>
  <c r="L46" i="111"/>
  <c r="G69" i="111"/>
  <c r="I71" i="111" s="1"/>
  <c r="L46" i="110"/>
  <c r="G69" i="110"/>
  <c r="I71" i="110" s="1"/>
  <c r="G61" i="110"/>
  <c r="L61" i="110" s="1"/>
  <c r="X75" i="40"/>
  <c r="AB98" i="40"/>
  <c r="L53" i="40"/>
  <c r="C9" i="140"/>
  <c r="J28" i="40"/>
  <c r="E8" i="109"/>
  <c r="G39" i="34"/>
  <c r="D39" i="34"/>
  <c r="G37" i="34"/>
  <c r="D37" i="34"/>
  <c r="G35" i="34"/>
  <c r="D35" i="34"/>
  <c r="G9" i="143"/>
  <c r="G29" i="143"/>
  <c r="D29" i="143"/>
  <c r="G29" i="140"/>
  <c r="D29" i="140"/>
  <c r="G30" i="142"/>
  <c r="D30" i="142"/>
  <c r="G31" i="143"/>
  <c r="D31" i="143"/>
  <c r="G31" i="140"/>
  <c r="D31" i="140"/>
  <c r="I32" i="141"/>
  <c r="E32" i="141"/>
  <c r="G32" i="142"/>
  <c r="D32" i="142"/>
  <c r="G33" i="143"/>
  <c r="D33" i="143"/>
  <c r="G33" i="140"/>
  <c r="D33" i="140"/>
  <c r="I34" i="141"/>
  <c r="E34" i="141"/>
  <c r="G34" i="142"/>
  <c r="D34" i="142"/>
  <c r="G35" i="143"/>
  <c r="D35" i="143"/>
  <c r="G35" i="140"/>
  <c r="D35" i="140"/>
  <c r="L47" i="40"/>
  <c r="B9" i="140"/>
  <c r="B40" i="140" s="1"/>
  <c r="L56" i="40"/>
  <c r="C9" i="143"/>
  <c r="D9" i="143" s="1"/>
  <c r="L48" i="40"/>
  <c r="B9" i="142"/>
  <c r="X69" i="40"/>
  <c r="Y63" i="40"/>
  <c r="AC96" i="40"/>
  <c r="AC94" i="40"/>
  <c r="AC92" i="40"/>
  <c r="AC90" i="40"/>
  <c r="AC88" i="40"/>
  <c r="AC86" i="40"/>
  <c r="AC84" i="40"/>
  <c r="AC82" i="40"/>
  <c r="AC80" i="40"/>
  <c r="G29" i="142"/>
  <c r="D29" i="142"/>
  <c r="G30" i="143"/>
  <c r="D30" i="143"/>
  <c r="G30" i="140"/>
  <c r="D30" i="140"/>
  <c r="I31" i="141"/>
  <c r="E31" i="141"/>
  <c r="G31" i="142"/>
  <c r="D31" i="142"/>
  <c r="G32" i="143"/>
  <c r="D32" i="143"/>
  <c r="G32" i="140"/>
  <c r="D32" i="140"/>
  <c r="I33" i="141"/>
  <c r="E33" i="141"/>
  <c r="G33" i="142"/>
  <c r="D33" i="142"/>
  <c r="G34" i="143"/>
  <c r="D34" i="143"/>
  <c r="G34" i="140"/>
  <c r="D34" i="140"/>
  <c r="G35" i="142"/>
  <c r="D35" i="142"/>
  <c r="G38" i="34"/>
  <c r="D38" i="34"/>
  <c r="G36" i="34"/>
  <c r="D36" i="34"/>
  <c r="G34" i="34"/>
  <c r="D34" i="34"/>
  <c r="J44" i="40"/>
  <c r="I8" i="109"/>
  <c r="J36" i="40"/>
  <c r="G8" i="109"/>
  <c r="G74" i="138"/>
  <c r="I71" i="138"/>
  <c r="G74" i="136"/>
  <c r="I71" i="136"/>
  <c r="G74" i="135"/>
  <c r="I71" i="135"/>
  <c r="G74" i="134"/>
  <c r="G74" i="132"/>
  <c r="I71" i="132"/>
  <c r="G74" i="131"/>
  <c r="I71" i="131"/>
  <c r="G74" i="128"/>
  <c r="I71" i="128"/>
  <c r="G74" i="127"/>
  <c r="G74" i="126"/>
  <c r="G74" i="124"/>
  <c r="I71" i="124"/>
  <c r="G74" i="122"/>
  <c r="I71" i="119"/>
  <c r="G74" i="118"/>
  <c r="G74" i="115"/>
  <c r="I71" i="115"/>
  <c r="G74" i="114"/>
  <c r="G74" i="113"/>
  <c r="G64" i="112"/>
  <c r="L64" i="112" s="1"/>
  <c r="G74" i="112"/>
  <c r="V75" i="40"/>
  <c r="Y70" i="40"/>
  <c r="Y75" i="40" s="1"/>
  <c r="W75" i="40"/>
  <c r="Z70" i="40"/>
  <c r="Z75" i="40" s="1"/>
  <c r="U75" i="40"/>
  <c r="AA70" i="40"/>
  <c r="AA71" i="40"/>
  <c r="AA72" i="40"/>
  <c r="AA73" i="40"/>
  <c r="AA74" i="40"/>
  <c r="J20" i="40"/>
  <c r="F46" i="40"/>
  <c r="AA38" i="40"/>
  <c r="AA39" i="40"/>
  <c r="AA40" i="40"/>
  <c r="AA41" i="40"/>
  <c r="AA37" i="40"/>
  <c r="AA36" i="40"/>
  <c r="AA35" i="40"/>
  <c r="AA34" i="40"/>
  <c r="AA33" i="40"/>
  <c r="AA32" i="40"/>
  <c r="AA31" i="40"/>
  <c r="AA30" i="40"/>
  <c r="AA29" i="40"/>
  <c r="AA27" i="40"/>
  <c r="AA26" i="40"/>
  <c r="AA25" i="40"/>
  <c r="AA24" i="40"/>
  <c r="AA23" i="40"/>
  <c r="AA22" i="40"/>
  <c r="AA21" i="40"/>
  <c r="AA20" i="40"/>
  <c r="AA19" i="40"/>
  <c r="AA18" i="40"/>
  <c r="AA17" i="40"/>
  <c r="AA16" i="40"/>
  <c r="AA15" i="40"/>
  <c r="AA14" i="40"/>
  <c r="AA13" i="40"/>
  <c r="Y64" i="40"/>
  <c r="Y69" i="40" s="1"/>
  <c r="V69" i="40"/>
  <c r="Z64" i="40"/>
  <c r="Z69" i="40" s="1"/>
  <c r="W69" i="40"/>
  <c r="Z42" i="40"/>
  <c r="AA43" i="40"/>
  <c r="AA62" i="40"/>
  <c r="AA61" i="40"/>
  <c r="AA60" i="40"/>
  <c r="AA59" i="40"/>
  <c r="AA58" i="40"/>
  <c r="AA57" i="40"/>
  <c r="AA56" i="40"/>
  <c r="AA55" i="40"/>
  <c r="AA54" i="40"/>
  <c r="AA53" i="40"/>
  <c r="AA52" i="40"/>
  <c r="AA51" i="40"/>
  <c r="AA50" i="40"/>
  <c r="AA49" i="40"/>
  <c r="AA48" i="40"/>
  <c r="AA47" i="40"/>
  <c r="AA46" i="40"/>
  <c r="AA45" i="40"/>
  <c r="AA44" i="40"/>
  <c r="AA64" i="40"/>
  <c r="U69" i="40"/>
  <c r="AA68" i="40"/>
  <c r="AA67" i="40"/>
  <c r="AA66" i="40"/>
  <c r="AA65" i="40"/>
  <c r="AA12" i="40"/>
  <c r="AA98" i="40"/>
  <c r="C41" i="77"/>
  <c r="B42" i="77"/>
  <c r="X28" i="40"/>
  <c r="U28" i="40"/>
  <c r="AA28" i="40" s="1"/>
  <c r="X42" i="40"/>
  <c r="X63" i="40"/>
  <c r="V63" i="40"/>
  <c r="W63" i="40"/>
  <c r="W42" i="40"/>
  <c r="Y42" i="40"/>
  <c r="V42" i="40"/>
  <c r="G54" i="40"/>
  <c r="D51" i="40"/>
  <c r="F51" i="40" s="1"/>
  <c r="J51" i="40"/>
  <c r="G57" i="40"/>
  <c r="L57" i="40" s="1"/>
  <c r="T42" i="40"/>
  <c r="B52" i="40" s="1"/>
  <c r="J50" i="40"/>
  <c r="D50" i="40"/>
  <c r="F50" i="40" s="1"/>
  <c r="G55" i="40"/>
  <c r="C43" i="77"/>
  <c r="C42" i="77"/>
  <c r="B41" i="77"/>
  <c r="B43" i="77"/>
  <c r="B39" i="77"/>
  <c r="D8" i="77"/>
  <c r="E10" i="75"/>
  <c r="E19" i="75"/>
  <c r="D16" i="34" l="1"/>
  <c r="G64" i="138"/>
  <c r="L64" i="138" s="1"/>
  <c r="G64" i="137"/>
  <c r="L64" i="137" s="1"/>
  <c r="G64" i="136"/>
  <c r="L64" i="136" s="1"/>
  <c r="D40" i="143"/>
  <c r="E17" i="141"/>
  <c r="E25" i="141"/>
  <c r="G58" i="40"/>
  <c r="AC98" i="40"/>
  <c r="G64" i="124"/>
  <c r="L64" i="124" s="1"/>
  <c r="G64" i="115"/>
  <c r="L64" i="115" s="1"/>
  <c r="G64" i="113"/>
  <c r="L64" i="113" s="1"/>
  <c r="E37" i="141"/>
  <c r="I37" i="141"/>
  <c r="G64" i="132"/>
  <c r="L64" i="132" s="1"/>
  <c r="I22" i="141"/>
  <c r="E22" i="141"/>
  <c r="G64" i="135"/>
  <c r="L64" i="135" s="1"/>
  <c r="E35" i="141"/>
  <c r="D27" i="34"/>
  <c r="G64" i="111"/>
  <c r="L64" i="111" s="1"/>
  <c r="G64" i="134"/>
  <c r="L64" i="134" s="1"/>
  <c r="G74" i="133"/>
  <c r="G64" i="133"/>
  <c r="L64" i="133" s="1"/>
  <c r="G64" i="131"/>
  <c r="L64" i="131" s="1"/>
  <c r="G64" i="130"/>
  <c r="L64" i="130" s="1"/>
  <c r="E29" i="141"/>
  <c r="G64" i="128"/>
  <c r="L64" i="128" s="1"/>
  <c r="G64" i="127"/>
  <c r="L64" i="127" s="1"/>
  <c r="G64" i="126"/>
  <c r="L64" i="126" s="1"/>
  <c r="G64" i="125"/>
  <c r="L64" i="125" s="1"/>
  <c r="G25" i="34"/>
  <c r="D24" i="34"/>
  <c r="G74" i="123"/>
  <c r="G64" i="123"/>
  <c r="L64" i="123" s="1"/>
  <c r="G74" i="120"/>
  <c r="G74" i="110"/>
  <c r="G74" i="117"/>
  <c r="D21" i="34"/>
  <c r="G74" i="111"/>
  <c r="G74" i="139"/>
  <c r="E39" i="141"/>
  <c r="I39" i="141"/>
  <c r="G64" i="139"/>
  <c r="L64" i="139" s="1"/>
  <c r="D28" i="34"/>
  <c r="G28" i="34"/>
  <c r="D22" i="34"/>
  <c r="G22" i="34"/>
  <c r="D26" i="34"/>
  <c r="G26" i="34"/>
  <c r="G20" i="34"/>
  <c r="D20" i="34"/>
  <c r="I71" i="137"/>
  <c r="I71" i="130"/>
  <c r="E30" i="141"/>
  <c r="G64" i="129"/>
  <c r="L64" i="129" s="1"/>
  <c r="I71" i="129"/>
  <c r="G15" i="34"/>
  <c r="D15" i="34"/>
  <c r="D13" i="34"/>
  <c r="G13" i="34"/>
  <c r="I71" i="125"/>
  <c r="G64" i="122"/>
  <c r="L64" i="122" s="1"/>
  <c r="G64" i="121"/>
  <c r="L64" i="121" s="1"/>
  <c r="I71" i="121"/>
  <c r="G64" i="120"/>
  <c r="L64" i="120" s="1"/>
  <c r="E20" i="141"/>
  <c r="I20" i="141"/>
  <c r="G64" i="119"/>
  <c r="L64" i="119" s="1"/>
  <c r="G64" i="118"/>
  <c r="L64" i="118" s="1"/>
  <c r="G64" i="117"/>
  <c r="L64" i="117" s="1"/>
  <c r="G64" i="116"/>
  <c r="L64" i="116" s="1"/>
  <c r="I71" i="116"/>
  <c r="G64" i="114"/>
  <c r="L64" i="114" s="1"/>
  <c r="G64" i="110"/>
  <c r="L64" i="110" s="1"/>
  <c r="C40" i="140"/>
  <c r="H9" i="140"/>
  <c r="L54" i="40"/>
  <c r="C9" i="142"/>
  <c r="D9" i="142" s="1"/>
  <c r="D40" i="142" s="1"/>
  <c r="L55" i="40"/>
  <c r="D9" i="141"/>
  <c r="U42" i="40"/>
  <c r="B40" i="142"/>
  <c r="G9" i="142"/>
  <c r="C40" i="143"/>
  <c r="H9" i="143"/>
  <c r="D9" i="140"/>
  <c r="D40" i="140" s="1"/>
  <c r="G9" i="140"/>
  <c r="F52" i="40"/>
  <c r="F61" i="40" s="1"/>
  <c r="B65" i="40"/>
  <c r="B71" i="40" s="1"/>
  <c r="L58" i="40"/>
  <c r="B42" i="109"/>
  <c r="B43" i="109" s="1"/>
  <c r="B42" i="75"/>
  <c r="AA75" i="40"/>
  <c r="G46" i="40"/>
  <c r="L46" i="40" s="1"/>
  <c r="AA42" i="40"/>
  <c r="AA69" i="40"/>
  <c r="AA63" i="40"/>
  <c r="G50" i="40"/>
  <c r="J52" i="40"/>
  <c r="D52" i="40"/>
  <c r="D61" i="40" s="1"/>
  <c r="G51" i="40"/>
  <c r="E28" i="75"/>
  <c r="E35" i="75"/>
  <c r="E24" i="75"/>
  <c r="E33" i="75"/>
  <c r="E25" i="75"/>
  <c r="E20" i="75"/>
  <c r="E9" i="75"/>
  <c r="D41" i="77"/>
  <c r="D39" i="77"/>
  <c r="D42" i="77"/>
  <c r="L50" i="40" l="1"/>
  <c r="B9" i="141"/>
  <c r="B40" i="141" s="1"/>
  <c r="D40" i="141"/>
  <c r="J9" i="141"/>
  <c r="C40" i="142"/>
  <c r="H9" i="142"/>
  <c r="L51" i="40"/>
  <c r="C9" i="141"/>
  <c r="C40" i="141" s="1"/>
  <c r="G69" i="40"/>
  <c r="I71" i="40" s="1"/>
  <c r="B9" i="34"/>
  <c r="G52" i="40"/>
  <c r="E34" i="75"/>
  <c r="E27" i="75"/>
  <c r="E37" i="75"/>
  <c r="G74" i="40" l="1"/>
  <c r="C9" i="34"/>
  <c r="H9" i="34" s="1"/>
  <c r="L52" i="40"/>
  <c r="C40" i="34"/>
  <c r="B40" i="34"/>
  <c r="G9" i="34"/>
  <c r="I9" i="141"/>
  <c r="E9" i="141"/>
  <c r="E40" i="141" s="1"/>
  <c r="H69" i="40"/>
  <c r="G61" i="40"/>
  <c r="G64" i="40" s="1"/>
  <c r="B39" i="75"/>
  <c r="B43" i="75" s="1"/>
  <c r="E39" i="75"/>
  <c r="D9" i="34" l="1"/>
  <c r="D40" i="34" s="1"/>
  <c r="L61" i="40"/>
  <c r="H74" i="40"/>
  <c r="J71" i="40"/>
  <c r="L64" i="40"/>
</calcChain>
</file>

<file path=xl/comments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NEW-PC</author>
    <author>Usuario</author>
    <author>user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sobrante eb el biopago de 23.63 en caja 3m</t>
        </r>
      </text>
    </comment>
  </commentList>
</comments>
</file>

<file path=xl/comments1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  <author>Usuario</author>
    <author>Tesoreria-pc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>Tesoreria-pc:</t>
        </r>
        <r>
          <rPr>
            <sz val="9"/>
            <color indexed="81"/>
            <rFont val="Tahoma"/>
            <family val="2"/>
          </rPr>
          <t xml:space="preserve">
SOBRANTE POR BIOPAGO 18.33
</t>
        </r>
      </text>
    </comment>
  </commentList>
</comments>
</file>

<file path=xl/comments2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<sst xmlns="http://schemas.openxmlformats.org/spreadsheetml/2006/main" count="7273" uniqueCount="251">
  <si>
    <t>EFECTIVO</t>
  </si>
  <si>
    <t>DEB. BANESCO</t>
  </si>
  <si>
    <t>CRE. BANESCO</t>
  </si>
  <si>
    <t>DESCUENTO</t>
  </si>
  <si>
    <t>DESCUENTO ISLR</t>
  </si>
  <si>
    <t xml:space="preserve">TOTAL VENTA </t>
  </si>
  <si>
    <t>VENTAS A CREDITO</t>
  </si>
  <si>
    <t>DEB. TESORO</t>
  </si>
  <si>
    <t>CRED. TESORO</t>
  </si>
  <si>
    <t>COMISION BANCARIA</t>
  </si>
  <si>
    <t>DEB.PLAZA</t>
  </si>
  <si>
    <t>CRED. PLAZA</t>
  </si>
  <si>
    <t>FG-00000</t>
  </si>
  <si>
    <t>RESUMEN BANESCO</t>
  </si>
  <si>
    <t xml:space="preserve">CONCILIACION </t>
  </si>
  <si>
    <t>DIFERENCIA</t>
  </si>
  <si>
    <t>CUENTA</t>
  </si>
  <si>
    <t>MONTO BRUTO</t>
  </si>
  <si>
    <t>TOTAL VENTA - GASTOS</t>
  </si>
  <si>
    <t>TOTAL VENTA SEGÚN  Z</t>
  </si>
  <si>
    <t>RESUMEN DE  VENTA</t>
  </si>
  <si>
    <t>RESUMEN VENTAS</t>
  </si>
  <si>
    <t>FECHA:</t>
  </si>
  <si>
    <t>RESPONSABLE:</t>
  </si>
  <si>
    <t>% DESC.</t>
  </si>
  <si>
    <t>FECHA ESTIMADA  DE LIQUIDACION</t>
  </si>
  <si>
    <t>MONTO NETO A LIQUIDAR</t>
  </si>
  <si>
    <t>VENTAS DISPONIBLES</t>
  </si>
  <si>
    <t>DEB. PROVINCIAL</t>
  </si>
  <si>
    <t xml:space="preserve">FECHA </t>
  </si>
  <si>
    <t>VENTA A CREDITO</t>
  </si>
  <si>
    <t>CUENTAS POR COBRAR</t>
  </si>
  <si>
    <t>RESUMEN VENTAS A CREDITO</t>
  </si>
  <si>
    <t>FECHA DE LIQUIDACION</t>
  </si>
  <si>
    <t>RESUMEN VENTAS MENSUALES</t>
  </si>
  <si>
    <t>VENTAS Z</t>
  </si>
  <si>
    <t>VENTAS REPORTE</t>
  </si>
  <si>
    <t>FALTANTE O SOBRANTE</t>
  </si>
  <si>
    <t>TOTALES</t>
  </si>
  <si>
    <t>DATOS</t>
  </si>
  <si>
    <t>MAX</t>
  </si>
  <si>
    <t>MINIMO</t>
  </si>
  <si>
    <t>PROMEDIO</t>
  </si>
  <si>
    <t>TOTAL</t>
  </si>
  <si>
    <t>TOTAL VENTAS</t>
  </si>
  <si>
    <t>DE LAS VENTAS A CREDITO</t>
  </si>
  <si>
    <t>SOBRE EL TOTAL DE VENTAS</t>
  </si>
  <si>
    <t>IMPACTO EN LA VTA.</t>
  </si>
  <si>
    <t>&gt;0</t>
  </si>
  <si>
    <t>REPRESENTATIVIDAD</t>
  </si>
  <si>
    <t>ISLR/ IVA</t>
  </si>
  <si>
    <t>EXQUISITESES</t>
  </si>
  <si>
    <t>CRED. VENEZUELA</t>
  </si>
  <si>
    <t>DEBITO</t>
  </si>
  <si>
    <t>CREDITO</t>
  </si>
  <si>
    <t>CAJA PRINCIPAL</t>
  </si>
  <si>
    <t>LIQUIDACION</t>
  </si>
  <si>
    <t>DIFERENCIA SOBRANTE/FALTANTE</t>
  </si>
  <si>
    <t>DIFERENCIA SISTEMA/Z</t>
  </si>
  <si>
    <t>VISA  ELECTR</t>
  </si>
  <si>
    <t>RECARGAS TELEFONICAS</t>
  </si>
  <si>
    <t>DEV EN CUENTA</t>
  </si>
  <si>
    <t>BIOPAGO</t>
  </si>
  <si>
    <t>TERMINAL</t>
  </si>
  <si>
    <t>I.S.L.R 5%</t>
  </si>
  <si>
    <t>FECHA LIQ.</t>
  </si>
  <si>
    <t>LOTE</t>
  </si>
  <si>
    <t>BANCO</t>
  </si>
  <si>
    <t>MONEDERO</t>
  </si>
  <si>
    <t>PROVINCIAL</t>
  </si>
  <si>
    <t>BANESCO</t>
  </si>
  <si>
    <t>PLAZA</t>
  </si>
  <si>
    <t>AHORRO</t>
  </si>
  <si>
    <t>CAJA</t>
  </si>
  <si>
    <t>LIQUIDO</t>
  </si>
  <si>
    <t>CORRIENTE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</si>
  <si>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</si>
  <si>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</si>
  <si>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</si>
  <si>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</si>
  <si>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</si>
  <si>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</si>
  <si>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</si>
  <si>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</si>
  <si>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</si>
  <si>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</si>
  <si>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</si>
  <si>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</si>
  <si>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</si>
  <si>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</si>
  <si>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</si>
  <si>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</si>
  <si>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</si>
  <si>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</si>
  <si>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</si>
  <si>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</si>
  <si>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</si>
  <si>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</si>
  <si>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</si>
  <si>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</si>
  <si>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</si>
  <si>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</si>
  <si>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</si>
  <si>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</si>
  <si>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</si>
  <si>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</si>
  <si>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N°</t>
  </si>
  <si>
    <t>TOTAL PROVINCIAL</t>
  </si>
  <si>
    <t>TASA 3 $</t>
  </si>
  <si>
    <t>TOTAL BANESCO</t>
  </si>
  <si>
    <t>TOTAL PLAZA</t>
  </si>
  <si>
    <t>TOTAL VENEZUELA</t>
  </si>
  <si>
    <t>VENEZUELA</t>
  </si>
  <si>
    <t>D</t>
  </si>
  <si>
    <t>N</t>
  </si>
  <si>
    <t>% DESC</t>
  </si>
  <si>
    <t>TOTAL DESC</t>
  </si>
  <si>
    <t>SODEXO</t>
  </si>
  <si>
    <t>SODEXO /ELECTRON</t>
  </si>
  <si>
    <t>CRED. PROVINCIAL</t>
  </si>
  <si>
    <t>DIFERENCIA CON BOBEDA</t>
  </si>
  <si>
    <t>DIFERENCIA CON LIQUIDACION</t>
  </si>
  <si>
    <t>COM. DEBITO</t>
  </si>
  <si>
    <t>COM. SODEXO/ ELECTRON</t>
  </si>
  <si>
    <t>COM. CREDITO</t>
  </si>
  <si>
    <t>TOTAL DEBITO</t>
  </si>
  <si>
    <t>TOTAL SODEXO/ ELECTRON</t>
  </si>
  <si>
    <t>TOTAL CREDITO</t>
  </si>
  <si>
    <t>TOTAL TESORO</t>
  </si>
  <si>
    <t>AUTOMERCADO EXPRESS</t>
  </si>
  <si>
    <t>EXQUISITECES</t>
  </si>
  <si>
    <t>BOCA</t>
  </si>
  <si>
    <t>CARRIZAL</t>
  </si>
  <si>
    <t>FARMASTOP</t>
  </si>
  <si>
    <t xml:space="preserve">CREDITO </t>
  </si>
  <si>
    <t>EMPRESA</t>
  </si>
  <si>
    <t>LIQUIDACIONES PROVINCIAL x PV</t>
  </si>
  <si>
    <t>DIFERENCIA DEBITO</t>
  </si>
  <si>
    <t xml:space="preserve"> LIQUIDACIONES PROVINCIAL x BANCO</t>
  </si>
  <si>
    <t>DIFERENCIA CREDITO</t>
  </si>
  <si>
    <t>LIQUIDACIONES VENEZUELA x BIOPAGO</t>
  </si>
  <si>
    <t>DIFERENCIA BIOPAGO</t>
  </si>
  <si>
    <t xml:space="preserve"> LIQUIDACIONES VENEZUELA x BANCO</t>
  </si>
  <si>
    <t>ROMA</t>
  </si>
  <si>
    <t>MI PAN FAVORITO</t>
  </si>
  <si>
    <t>CIGARILLOS</t>
  </si>
  <si>
    <t>CRE. PROVINCIAL</t>
  </si>
  <si>
    <t>CRE.PROVINCIAL</t>
  </si>
  <si>
    <t>RESUMEN PROVINCIAL</t>
  </si>
  <si>
    <t>RESUMEN VENEZUELA</t>
  </si>
  <si>
    <t>DEB. VENEZUELA (BIOPAGO)</t>
  </si>
  <si>
    <t>CRE. VENEZUELA</t>
  </si>
  <si>
    <t>DEB. VENEZUELA (BIOPAGO</t>
  </si>
  <si>
    <t>RESUMEN PLAZA</t>
  </si>
  <si>
    <t>DEB. PLAZA</t>
  </si>
  <si>
    <t>CRE. PLAZA</t>
  </si>
  <si>
    <t>CRE. TESORO</t>
  </si>
  <si>
    <t>EUROS</t>
  </si>
  <si>
    <t>ZELLE</t>
  </si>
  <si>
    <t>PAY PAL</t>
  </si>
  <si>
    <t>$</t>
  </si>
  <si>
    <t>Bs.s x DÓLAR</t>
  </si>
  <si>
    <t>BS. X PAY PAL</t>
  </si>
  <si>
    <t>LEIBYS CAPOTE</t>
  </si>
  <si>
    <t>LEIBYS  CAPOTE</t>
  </si>
  <si>
    <t>leibys capote</t>
  </si>
  <si>
    <t xml:space="preserve"> </t>
  </si>
  <si>
    <t>REFERENCIA</t>
  </si>
  <si>
    <t>N° FACTURA</t>
  </si>
  <si>
    <t>Distribuidora de Alimentos evora C.A</t>
  </si>
  <si>
    <t xml:space="preserve">EXPRESS SAN PEDRO </t>
  </si>
  <si>
    <t xml:space="preserve">PAGO MOVIL </t>
  </si>
  <si>
    <t xml:space="preserve">BANCRECER EVORA </t>
  </si>
  <si>
    <t>DEB.BANCRECER</t>
  </si>
  <si>
    <t>CRED.BANCRECER</t>
  </si>
  <si>
    <t>PAGO MOVIL</t>
  </si>
  <si>
    <t>BANCRECER EVORA</t>
  </si>
  <si>
    <t>DEB. BANCRECER</t>
  </si>
  <si>
    <t>TOTAL PAGO MOVIL</t>
  </si>
  <si>
    <t>TOTAL BANCRECER</t>
  </si>
  <si>
    <t>Bancrecer evora</t>
  </si>
  <si>
    <t>pago movil</t>
  </si>
  <si>
    <t>bancrecer evora</t>
  </si>
  <si>
    <t>CRED. Bancrecer</t>
  </si>
  <si>
    <t xml:space="preserve">bancrecer evora  </t>
  </si>
  <si>
    <t xml:space="preserve">Bancrecer evora </t>
  </si>
  <si>
    <t>DISTRIBUIDORA DE ALIMENTO EVORA ( SAN PEDRO )</t>
  </si>
  <si>
    <t>CRED. BANCRECER</t>
  </si>
  <si>
    <t>DISTRIBUIDORA DE ALIMENTOS EVORA ( SAN PEDRO )</t>
  </si>
  <si>
    <t xml:space="preserve">CRED. BANCRECER </t>
  </si>
  <si>
    <t>PAGO MOVIL B/CRECER</t>
  </si>
  <si>
    <t xml:space="preserve">TOTAL PAGO MOVIL </t>
  </si>
  <si>
    <t xml:space="preserve">CRED.BANCAMIGA </t>
  </si>
  <si>
    <t>PAGO MOVIL EXPRES</t>
  </si>
  <si>
    <t xml:space="preserve">DEB.BANCRECER </t>
  </si>
  <si>
    <t>PAGO MOVIL EXPRESS</t>
  </si>
  <si>
    <t>VENEZUELA MODELO</t>
  </si>
  <si>
    <t xml:space="preserve">bancrecer evora </t>
  </si>
  <si>
    <t>RESUMEN BANCRECER</t>
  </si>
  <si>
    <t>CRE.BANCRECER</t>
  </si>
  <si>
    <t xml:space="preserve">pago movil </t>
  </si>
  <si>
    <t>pago movil express</t>
  </si>
  <si>
    <t>BANESCO express.</t>
  </si>
  <si>
    <t>DEB. Bancrecer</t>
  </si>
  <si>
    <t>BANESCO express</t>
  </si>
  <si>
    <t xml:space="preserve">  </t>
  </si>
  <si>
    <t>DEB.BANCrecer</t>
  </si>
  <si>
    <t>pago movil EXPRES</t>
  </si>
  <si>
    <t>pago movil EVORA</t>
  </si>
  <si>
    <t>bancamica modelo</t>
  </si>
  <si>
    <t>CRED. BANCAMIGA</t>
  </si>
  <si>
    <t>DEB. BANCAMIGA//B.CRECER</t>
  </si>
  <si>
    <t>Bancamiga modelo</t>
  </si>
  <si>
    <t>DEB. BANCAMIGA/BCRECER</t>
  </si>
  <si>
    <t xml:space="preserve">bancamiga modelo </t>
  </si>
  <si>
    <t>DEB. Bancamiga</t>
  </si>
  <si>
    <t>BANCAMIGA MODELO</t>
  </si>
  <si>
    <t>PAGO MOVIL MODELO</t>
  </si>
  <si>
    <t>DEB. BANCAMIGA</t>
  </si>
  <si>
    <t>bancamiga modelo</t>
  </si>
  <si>
    <t>DEB. Bancamiga /bancrecer</t>
  </si>
  <si>
    <t xml:space="preserve">BANCAMIGA MODELO </t>
  </si>
  <si>
    <t>bancamiga  model9</t>
  </si>
  <si>
    <t>bancamiga  model10</t>
  </si>
  <si>
    <t>CRED. Bancamiga</t>
  </si>
  <si>
    <t xml:space="preserve">DEB. Bancamiga </t>
  </si>
  <si>
    <t>216//246</t>
  </si>
  <si>
    <t>725//732</t>
  </si>
  <si>
    <t>44//733</t>
  </si>
  <si>
    <t>121//245</t>
  </si>
  <si>
    <t>723//724</t>
  </si>
  <si>
    <t>42//730</t>
  </si>
  <si>
    <t>41//731</t>
  </si>
  <si>
    <t>45//734</t>
  </si>
  <si>
    <t>728//727</t>
  </si>
  <si>
    <t>48//735</t>
  </si>
  <si>
    <t>221//250</t>
  </si>
  <si>
    <t>736//737</t>
  </si>
  <si>
    <t>731//732//738</t>
  </si>
  <si>
    <t>50//739</t>
  </si>
  <si>
    <t>253//125</t>
  </si>
  <si>
    <t>733//734</t>
  </si>
  <si>
    <t>740//741</t>
  </si>
  <si>
    <t>51//743</t>
  </si>
  <si>
    <t>8//126</t>
  </si>
  <si>
    <t>52//736</t>
  </si>
  <si>
    <t>224//256</t>
  </si>
  <si>
    <t>53//746</t>
  </si>
  <si>
    <t>739//740</t>
  </si>
  <si>
    <t>742/741</t>
  </si>
  <si>
    <t>DEB. BANCRECER EVORA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</si>
</sst>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_ &quot;Bs.S&quot;\ * #,##0_ ;_ &quot;Bs.S&quot;\ * \-#,##0_ ;_ &quot;Bs.S&quot;\ * &quot;-&quot;_ ;_ @_ "/>
    <numFmt numFmtId="165" formatCode="_ &quot;Bs.&quot;\ * #,##0.00_ ;_ &quot;Bs.&quot;\ * \-#,##0.00_ ;_ &quot;Bs.&quot;\ * &quot;-&quot;??_ ;_ @_ "/>
    <numFmt numFmtId="166" formatCode="&quot;Bs. BR&quot;\ #,##0.00;[Red]&quot;Bs. BR&quot;\ \-#,##0.00"/>
    <numFmt numFmtId="167" formatCode="_ &quot;Bs. .M&quot;\ * #,##0.00_ ;_ &quot;Bs. .M&quot;\ * \-#,##0.00_ ;_ &quot;Bs. .M&quot;\ * &quot;-&quot;??_ ;_ @_ "/>
    <numFmt numFmtId="168" formatCode="_ &quot;Bs. l&quot;\ * #,##0.00_ ;_ &quot;Bs. l&quot;\ * \-#,##0.00_ ;_ &quot;Bs. l&quot;\ * &quot;-&quot;??_ ;_ @_ "/>
    <numFmt numFmtId="169" formatCode="0_ ;\-0\ "/>
    <numFmt numFmtId="170" formatCode="&quot;Bs.S&quot;\ #,##0.00"/>
    <numFmt numFmtId="171" formatCode="_ [$Bs.S-200A]\ * #,##0.00_ ;_ [$Bs.S-200A]\ * \-#,##0.00_ ;_ [$Bs.S-200A]\ * &quot;-&quot;??_ ;_ @_ "/>
    <numFmt numFmtId="172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8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34">
    <xf numFmtId="0" fontId="0" fillId="0" borderId="0" xfId="0"/>
    <xf numFmtId="167" fontId="0" fillId="0" borderId="1" xfId="0" applyNumberFormat="1" applyBorder="1"/>
    <xf numFmtId="0" fontId="0" fillId="3" borderId="0" xfId="0" applyFill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7" fillId="4" borderId="3" xfId="0" applyNumberFormat="1" applyFont="1" applyFill="1" applyBorder="1" applyAlignment="1" applyProtection="1">
      <alignment horizontal="center" vertical="center"/>
      <protection locked="0"/>
    </xf>
    <xf numFmtId="167" fontId="7" fillId="4" borderId="4" xfId="0" applyNumberFormat="1" applyFont="1" applyFill="1" applyBorder="1" applyAlignment="1" applyProtection="1">
      <alignment vertical="center"/>
      <protection locked="0"/>
    </xf>
    <xf numFmtId="167" fontId="7" fillId="4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Protection="1">
      <protection locked="0"/>
    </xf>
    <xf numFmtId="9" fontId="9" fillId="0" borderId="1" xfId="8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0" fontId="9" fillId="0" borderId="1" xfId="0" applyNumberFormat="1" applyFont="1" applyBorder="1" applyProtection="1"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167" fontId="9" fillId="0" borderId="10" xfId="0" applyNumberFormat="1" applyFont="1" applyBorder="1" applyProtection="1"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 applyProtection="1">
      <protection locked="0"/>
    </xf>
    <xf numFmtId="0" fontId="0" fillId="0" borderId="13" xfId="0" applyNumberFormat="1" applyFont="1" applyBorder="1" applyProtection="1"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167" fontId="0" fillId="0" borderId="15" xfId="0" applyNumberFormat="1" applyFill="1" applyBorder="1"/>
    <xf numFmtId="167" fontId="0" fillId="0" borderId="15" xfId="0" quotePrefix="1" applyNumberFormat="1" applyFill="1" applyBorder="1"/>
    <xf numFmtId="167" fontId="0" fillId="0" borderId="1" xfId="0" applyNumberFormat="1" applyBorder="1" applyProtection="1"/>
    <xf numFmtId="167" fontId="0" fillId="5" borderId="1" xfId="0" applyNumberFormat="1" applyFill="1" applyBorder="1" applyProtection="1"/>
    <xf numFmtId="0" fontId="0" fillId="0" borderId="0" xfId="0" applyProtection="1"/>
    <xf numFmtId="0" fontId="7" fillId="4" borderId="1" xfId="0" applyFont="1" applyFill="1" applyBorder="1"/>
    <xf numFmtId="0" fontId="9" fillId="0" borderId="0" xfId="0" applyFont="1"/>
    <xf numFmtId="0" fontId="0" fillId="0" borderId="16" xfId="0" applyBorder="1"/>
    <xf numFmtId="167" fontId="0" fillId="0" borderId="17" xfId="0" applyNumberFormat="1" applyBorder="1"/>
    <xf numFmtId="0" fontId="0" fillId="0" borderId="18" xfId="0" applyBorder="1"/>
    <xf numFmtId="10" fontId="5" fillId="0" borderId="19" xfId="8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0" xfId="0" applyFont="1" applyProtection="1"/>
    <xf numFmtId="167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10" fillId="0" borderId="0" xfId="0" applyFont="1" applyBorder="1" applyAlignment="1" applyProtection="1"/>
    <xf numFmtId="0" fontId="7" fillId="4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Protection="1"/>
    <xf numFmtId="0" fontId="0" fillId="5" borderId="1" xfId="0" applyFill="1" applyBorder="1" applyProtection="1"/>
    <xf numFmtId="0" fontId="7" fillId="4" borderId="1" xfId="0" applyFont="1" applyFill="1" applyBorder="1" applyProtection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</xf>
    <xf numFmtId="0" fontId="0" fillId="5" borderId="1" xfId="0" applyFill="1" applyBorder="1" applyProtection="1"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165" fontId="9" fillId="0" borderId="1" xfId="0" applyNumberFormat="1" applyFont="1" applyBorder="1" applyProtection="1">
      <protection locked="0"/>
    </xf>
    <xf numFmtId="165" fontId="9" fillId="0" borderId="1" xfId="0" applyNumberFormat="1" applyFont="1" applyBorder="1" applyProtection="1"/>
    <xf numFmtId="165" fontId="7" fillId="4" borderId="10" xfId="0" applyNumberFormat="1" applyFont="1" applyFill="1" applyBorder="1" applyProtection="1"/>
    <xf numFmtId="165" fontId="0" fillId="0" borderId="0" xfId="0" applyNumberFormat="1" applyProtection="1">
      <protection locked="0"/>
    </xf>
    <xf numFmtId="165" fontId="0" fillId="0" borderId="22" xfId="0" applyNumberFormat="1" applyBorder="1" applyProtection="1">
      <protection locked="0"/>
    </xf>
    <xf numFmtId="165" fontId="9" fillId="0" borderId="10" xfId="0" applyNumberFormat="1" applyFont="1" applyBorder="1" applyProtection="1">
      <protection locked="0"/>
    </xf>
    <xf numFmtId="165" fontId="0" fillId="0" borderId="11" xfId="0" applyNumberFormat="1" applyFon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5" fontId="9" fillId="0" borderId="0" xfId="0" applyNumberFormat="1" applyFont="1" applyProtection="1"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165" fontId="9" fillId="0" borderId="1" xfId="0" applyNumberFormat="1" applyFont="1" applyFill="1" applyBorder="1" applyProtection="1">
      <protection locked="0"/>
    </xf>
    <xf numFmtId="9" fontId="9" fillId="0" borderId="1" xfId="8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165" fontId="12" fillId="2" borderId="14" xfId="1" applyNumberFormat="1" applyFont="1" applyBorder="1" applyProtection="1">
      <protection locked="0"/>
    </xf>
    <xf numFmtId="0" fontId="0" fillId="0" borderId="0" xfId="0" applyFill="1" applyProtection="1">
      <protection locked="0"/>
    </xf>
    <xf numFmtId="14" fontId="0" fillId="6" borderId="2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43" fontId="5" fillId="7" borderId="0" xfId="2" applyFont="1" applyFill="1" applyProtection="1">
      <protection locked="0"/>
    </xf>
    <xf numFmtId="166" fontId="5" fillId="7" borderId="1" xfId="2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3" fontId="5" fillId="0" borderId="1" xfId="2" applyFont="1" applyFill="1" applyBorder="1" applyProtection="1">
      <protection locked="0"/>
    </xf>
    <xf numFmtId="43" fontId="5" fillId="7" borderId="1" xfId="2" applyFont="1" applyFill="1" applyBorder="1" applyProtection="1">
      <protection locked="0"/>
    </xf>
    <xf numFmtId="4" fontId="0" fillId="0" borderId="1" xfId="0" applyNumberFormat="1" applyBorder="1" applyProtection="1"/>
    <xf numFmtId="10" fontId="0" fillId="0" borderId="1" xfId="0" applyNumberFormat="1" applyBorder="1" applyProtection="1">
      <protection locked="0"/>
    </xf>
    <xf numFmtId="43" fontId="5" fillId="0" borderId="1" xfId="2" applyFont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5" fillId="0" borderId="0" xfId="2" applyFont="1" applyFill="1" applyBorder="1" applyAlignment="1" applyProtection="1">
      <alignment horizontal="center"/>
      <protection locked="0"/>
    </xf>
    <xf numFmtId="0" fontId="9" fillId="10" borderId="7" xfId="0" applyFont="1" applyFill="1" applyBorder="1" applyAlignment="1" applyProtection="1">
      <alignment horizontal="left" vertical="center" wrapText="1"/>
      <protection locked="0"/>
    </xf>
    <xf numFmtId="165" fontId="9" fillId="10" borderId="1" xfId="0" applyNumberFormat="1" applyFont="1" applyFill="1" applyBorder="1" applyProtection="1">
      <protection locked="0"/>
    </xf>
    <xf numFmtId="167" fontId="9" fillId="10" borderId="1" xfId="0" applyNumberFormat="1" applyFont="1" applyFill="1" applyBorder="1" applyProtection="1">
      <protection locked="0"/>
    </xf>
    <xf numFmtId="9" fontId="9" fillId="10" borderId="1" xfId="8" applyFont="1" applyFill="1" applyBorder="1" applyAlignment="1" applyProtection="1">
      <alignment horizontal="center"/>
      <protection locked="0"/>
    </xf>
    <xf numFmtId="165" fontId="9" fillId="10" borderId="1" xfId="0" applyNumberFormat="1" applyFont="1" applyFill="1" applyBorder="1" applyProtection="1"/>
    <xf numFmtId="0" fontId="0" fillId="10" borderId="8" xfId="0" applyFill="1" applyBorder="1" applyProtection="1">
      <protection locked="0"/>
    </xf>
    <xf numFmtId="43" fontId="5" fillId="10" borderId="1" xfId="2" applyFont="1" applyFill="1" applyBorder="1" applyProtection="1">
      <protection locked="0"/>
    </xf>
    <xf numFmtId="167" fontId="9" fillId="0" borderId="1" xfId="0" applyNumberFormat="1" applyFont="1" applyFill="1" applyBorder="1" applyProtection="1">
      <protection locked="0"/>
    </xf>
    <xf numFmtId="165" fontId="9" fillId="0" borderId="1" xfId="0" applyNumberFormat="1" applyFont="1" applyFill="1" applyBorder="1" applyProtection="1"/>
    <xf numFmtId="0" fontId="0" fillId="0" borderId="8" xfId="0" applyFill="1" applyBorder="1" applyProtection="1">
      <protection locked="0"/>
    </xf>
    <xf numFmtId="4" fontId="0" fillId="9" borderId="1" xfId="0" applyNumberFormat="1" applyFill="1" applyBorder="1" applyProtection="1">
      <protection locked="0"/>
    </xf>
    <xf numFmtId="0" fontId="5" fillId="0" borderId="1" xfId="2" applyNumberFormat="1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166" fontId="5" fillId="0" borderId="15" xfId="2" applyNumberFormat="1" applyFont="1" applyFill="1" applyBorder="1" applyProtection="1">
      <protection locked="0"/>
    </xf>
    <xf numFmtId="43" fontId="5" fillId="0" borderId="15" xfId="2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9" borderId="23" xfId="0" applyFill="1" applyBorder="1" applyAlignment="1" applyProtection="1">
      <protection locked="0"/>
    </xf>
    <xf numFmtId="0" fontId="0" fillId="9" borderId="26" xfId="0" applyFill="1" applyBorder="1" applyAlignment="1" applyProtection="1">
      <protection locked="0"/>
    </xf>
    <xf numFmtId="43" fontId="0" fillId="9" borderId="1" xfId="2" applyFont="1" applyFill="1" applyBorder="1" applyAlignment="1" applyProtection="1">
      <protection locked="0"/>
    </xf>
    <xf numFmtId="0" fontId="0" fillId="8" borderId="1" xfId="0" applyFill="1" applyBorder="1" applyProtection="1">
      <protection locked="0"/>
    </xf>
    <xf numFmtId="10" fontId="0" fillId="8" borderId="1" xfId="8" applyNumberFormat="1" applyFont="1" applyFill="1" applyBorder="1" applyProtection="1">
      <protection locked="0"/>
    </xf>
    <xf numFmtId="4" fontId="0" fillId="8" borderId="1" xfId="0" applyNumberFormat="1" applyFill="1" applyBorder="1" applyProtection="1">
      <protection locked="0"/>
    </xf>
    <xf numFmtId="0" fontId="9" fillId="11" borderId="7" xfId="0" applyFont="1" applyFill="1" applyBorder="1" applyAlignment="1" applyProtection="1">
      <alignment horizontal="left" vertical="center" wrapText="1"/>
      <protection locked="0"/>
    </xf>
    <xf numFmtId="10" fontId="9" fillId="11" borderId="1" xfId="0" applyNumberFormat="1" applyFont="1" applyFill="1" applyBorder="1" applyProtection="1">
      <protection locked="0"/>
    </xf>
    <xf numFmtId="165" fontId="9" fillId="11" borderId="1" xfId="0" applyNumberFormat="1" applyFont="1" applyFill="1" applyBorder="1" applyProtection="1"/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16" fillId="0" borderId="1" xfId="0" applyFont="1" applyBorder="1" applyAlignment="1" applyProtection="1">
      <alignment horizontal="center"/>
      <protection locked="0"/>
    </xf>
    <xf numFmtId="4" fontId="16" fillId="9" borderId="24" xfId="0" applyNumberFormat="1" applyFont="1" applyFill="1" applyBorder="1" applyAlignment="1" applyProtection="1">
      <alignment horizontal="center"/>
      <protection locked="0"/>
    </xf>
    <xf numFmtId="0" fontId="16" fillId="9" borderId="12" xfId="0" applyFont="1" applyFill="1" applyBorder="1" applyAlignment="1" applyProtection="1">
      <alignment horizontal="center"/>
      <protection locked="0"/>
    </xf>
    <xf numFmtId="0" fontId="16" fillId="9" borderId="0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10" fontId="16" fillId="8" borderId="1" xfId="0" applyNumberFormat="1" applyFont="1" applyFill="1" applyBorder="1" applyProtection="1">
      <protection locked="0"/>
    </xf>
    <xf numFmtId="0" fontId="16" fillId="8" borderId="1" xfId="0" applyFont="1" applyFill="1" applyBorder="1" applyProtection="1">
      <protection locked="0"/>
    </xf>
    <xf numFmtId="0" fontId="16" fillId="8" borderId="1" xfId="0" applyFont="1" applyFill="1" applyBorder="1" applyAlignment="1" applyProtection="1">
      <protection locked="0"/>
    </xf>
    <xf numFmtId="43" fontId="5" fillId="0" borderId="0" xfId="2" applyFon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25" xfId="0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70" fontId="7" fillId="4" borderId="1" xfId="0" applyNumberFormat="1" applyFont="1" applyFill="1" applyBorder="1"/>
    <xf numFmtId="170" fontId="0" fillId="0" borderId="1" xfId="0" applyNumberFormat="1" applyBorder="1"/>
    <xf numFmtId="43" fontId="0" fillId="0" borderId="1" xfId="0" applyNumberFormat="1" applyBorder="1" applyProtection="1">
      <protection locked="0"/>
    </xf>
    <xf numFmtId="43" fontId="0" fillId="0" borderId="1" xfId="2" applyFont="1" applyBorder="1" applyProtection="1">
      <protection locked="0"/>
    </xf>
    <xf numFmtId="0" fontId="0" fillId="0" borderId="29" xfId="0" applyBorder="1" applyAlignment="1" applyProtection="1">
      <protection locked="0"/>
    </xf>
    <xf numFmtId="4" fontId="0" fillId="0" borderId="29" xfId="0" applyNumberFormat="1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165" fontId="9" fillId="0" borderId="24" xfId="0" applyNumberFormat="1" applyFont="1" applyBorder="1" applyProtection="1">
      <protection locked="0"/>
    </xf>
    <xf numFmtId="10" fontId="9" fillId="0" borderId="24" xfId="0" applyNumberFormat="1" applyFont="1" applyBorder="1" applyProtection="1">
      <protection locked="0"/>
    </xf>
    <xf numFmtId="165" fontId="9" fillId="0" borderId="24" xfId="0" applyNumberFormat="1" applyFont="1" applyBorder="1" applyProtection="1"/>
    <xf numFmtId="0" fontId="13" fillId="12" borderId="5" xfId="0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 wrapText="1"/>
      <protection locked="0"/>
    </xf>
    <xf numFmtId="0" fontId="13" fillId="12" borderId="5" xfId="0" applyFont="1" applyFill="1" applyBorder="1" applyAlignment="1" applyProtection="1">
      <alignment horizontal="center" wrapText="1"/>
      <protection locked="0"/>
    </xf>
    <xf numFmtId="4" fontId="13" fillId="12" borderId="6" xfId="0" applyNumberFormat="1" applyFont="1" applyFill="1" applyBorder="1" applyAlignment="1" applyProtection="1">
      <alignment horizontal="center"/>
      <protection locked="0"/>
    </xf>
    <xf numFmtId="169" fontId="16" fillId="0" borderId="1" xfId="0" applyNumberFormat="1" applyFont="1" applyFill="1" applyBorder="1" applyAlignment="1" applyProtection="1">
      <alignment horizontal="center"/>
      <protection locked="0"/>
    </xf>
    <xf numFmtId="169" fontId="14" fillId="0" borderId="1" xfId="0" applyNumberFormat="1" applyFont="1" applyFill="1" applyBorder="1" applyAlignment="1" applyProtection="1">
      <alignment horizontal="center"/>
      <protection locked="0"/>
    </xf>
    <xf numFmtId="43" fontId="15" fillId="0" borderId="1" xfId="2" applyFont="1" applyFill="1" applyBorder="1" applyAlignment="1" applyProtection="1">
      <alignment horizontal="center"/>
      <protection locked="0"/>
    </xf>
    <xf numFmtId="4" fontId="14" fillId="0" borderId="1" xfId="0" applyNumberFormat="1" applyFont="1" applyFill="1" applyBorder="1" applyAlignment="1" applyProtection="1">
      <alignment horizontal="center"/>
      <protection locked="0"/>
    </xf>
    <xf numFmtId="4" fontId="14" fillId="0" borderId="8" xfId="0" applyNumberFormat="1" applyFont="1" applyBorder="1" applyAlignment="1" applyProtection="1">
      <alignment horizontal="center"/>
      <protection locked="0"/>
    </xf>
    <xf numFmtId="4" fontId="15" fillId="0" borderId="1" xfId="0" applyNumberFormat="1" applyFont="1" applyFill="1" applyBorder="1" applyAlignment="1" applyProtection="1">
      <alignment horizontal="center"/>
      <protection locked="0"/>
    </xf>
    <xf numFmtId="169" fontId="14" fillId="3" borderId="1" xfId="0" applyNumberFormat="1" applyFont="1" applyFill="1" applyBorder="1" applyAlignment="1" applyProtection="1">
      <alignment horizontal="center"/>
      <protection locked="0"/>
    </xf>
    <xf numFmtId="43" fontId="15" fillId="3" borderId="1" xfId="2" applyFont="1" applyFill="1" applyBorder="1" applyAlignment="1" applyProtection="1">
      <alignment horizontal="center"/>
      <protection locked="0"/>
    </xf>
    <xf numFmtId="4" fontId="14" fillId="3" borderId="1" xfId="0" applyNumberFormat="1" applyFont="1" applyFill="1" applyBorder="1" applyAlignment="1" applyProtection="1">
      <alignment horizontal="center"/>
      <protection locked="0"/>
    </xf>
    <xf numFmtId="4" fontId="15" fillId="3" borderId="1" xfId="0" applyNumberFormat="1" applyFont="1" applyFill="1" applyBorder="1" applyAlignment="1" applyProtection="1">
      <alignment horizontal="center"/>
      <protection locked="0"/>
    </xf>
    <xf numFmtId="43" fontId="14" fillId="3" borderId="1" xfId="2" applyFont="1" applyFill="1" applyBorder="1" applyAlignment="1" applyProtection="1">
      <alignment horizontal="center"/>
      <protection locked="0"/>
    </xf>
    <xf numFmtId="14" fontId="14" fillId="0" borderId="8" xfId="0" applyNumberFormat="1" applyFont="1" applyBorder="1" applyAlignment="1" applyProtection="1">
      <alignment horizontal="center"/>
      <protection locked="0"/>
    </xf>
    <xf numFmtId="4" fontId="14" fillId="0" borderId="8" xfId="0" applyNumberFormat="1" applyFont="1" applyFill="1" applyBorder="1" applyAlignment="1" applyProtection="1">
      <alignment horizontal="center"/>
      <protection locked="0"/>
    </xf>
    <xf numFmtId="43" fontId="14" fillId="0" borderId="1" xfId="2" applyFont="1" applyFill="1" applyBorder="1" applyAlignment="1" applyProtection="1">
      <alignment horizontal="center"/>
      <protection locked="0"/>
    </xf>
    <xf numFmtId="4" fontId="14" fillId="9" borderId="1" xfId="0" applyNumberFormat="1" applyFont="1" applyFill="1" applyBorder="1" applyAlignment="1" applyProtection="1">
      <alignment horizontal="center"/>
      <protection locked="0"/>
    </xf>
    <xf numFmtId="169" fontId="16" fillId="3" borderId="1" xfId="0" applyNumberFormat="1" applyFont="1" applyFill="1" applyBorder="1" applyAlignment="1" applyProtection="1">
      <alignment horizontal="center"/>
      <protection locked="0"/>
    </xf>
    <xf numFmtId="169" fontId="14" fillId="0" borderId="0" xfId="0" applyNumberFormat="1" applyFont="1" applyFill="1" applyBorder="1" applyAlignment="1" applyProtection="1">
      <alignment horizontal="center"/>
      <protection locked="0"/>
    </xf>
    <xf numFmtId="4" fontId="7" fillId="4" borderId="12" xfId="0" applyNumberFormat="1" applyFont="1" applyFill="1" applyBorder="1" applyAlignment="1" applyProtection="1">
      <alignment horizontal="center"/>
      <protection locked="0"/>
    </xf>
    <xf numFmtId="165" fontId="9" fillId="0" borderId="14" xfId="0" applyNumberFormat="1" applyFont="1" applyBorder="1" applyAlignment="1" applyProtection="1">
      <alignment horizontal="center" vertical="center"/>
      <protection locked="0"/>
    </xf>
    <xf numFmtId="165" fontId="9" fillId="11" borderId="0" xfId="0" applyNumberFormat="1" applyFont="1" applyFill="1" applyProtection="1"/>
    <xf numFmtId="9" fontId="9" fillId="11" borderId="1" xfId="8" applyFont="1" applyFill="1" applyBorder="1" applyAlignment="1" applyProtection="1">
      <alignment horizontal="center"/>
    </xf>
    <xf numFmtId="14" fontId="9" fillId="0" borderId="8" xfId="0" applyNumberFormat="1" applyFont="1" applyBorder="1" applyProtection="1"/>
    <xf numFmtId="43" fontId="5" fillId="3" borderId="0" xfId="2" applyFont="1" applyFill="1" applyProtection="1"/>
    <xf numFmtId="43" fontId="5" fillId="0" borderId="1" xfId="2" applyFont="1" applyBorder="1" applyProtection="1"/>
    <xf numFmtId="43" fontId="5" fillId="3" borderId="1" xfId="2" applyFont="1" applyFill="1" applyBorder="1" applyProtection="1"/>
    <xf numFmtId="9" fontId="9" fillId="0" borderId="1" xfId="8" applyFont="1" applyBorder="1" applyAlignment="1" applyProtection="1">
      <alignment horizontal="center"/>
    </xf>
    <xf numFmtId="9" fontId="9" fillId="0" borderId="1" xfId="8" applyFont="1" applyFill="1" applyBorder="1" applyAlignment="1" applyProtection="1">
      <alignment horizontal="center"/>
    </xf>
    <xf numFmtId="165" fontId="9" fillId="0" borderId="24" xfId="0" applyNumberFormat="1" applyFont="1" applyFill="1" applyBorder="1" applyProtection="1"/>
    <xf numFmtId="9" fontId="9" fillId="0" borderId="24" xfId="8" applyFont="1" applyFill="1" applyBorder="1" applyAlignment="1" applyProtection="1">
      <alignment horizontal="center"/>
    </xf>
    <xf numFmtId="14" fontId="9" fillId="0" borderId="31" xfId="0" applyNumberFormat="1" applyFont="1" applyBorder="1" applyProtection="1"/>
    <xf numFmtId="167" fontId="9" fillId="0" borderId="10" xfId="0" applyNumberFormat="1" applyFont="1" applyBorder="1" applyProtection="1"/>
    <xf numFmtId="9" fontId="9" fillId="0" borderId="10" xfId="8" applyFont="1" applyBorder="1" applyAlignment="1" applyProtection="1">
      <alignment horizontal="center"/>
    </xf>
    <xf numFmtId="0" fontId="0" fillId="0" borderId="11" xfId="0" applyBorder="1" applyProtection="1"/>
    <xf numFmtId="4" fontId="0" fillId="10" borderId="1" xfId="0" applyNumberFormat="1" applyFill="1" applyBorder="1" applyProtection="1"/>
    <xf numFmtId="43" fontId="5" fillId="7" borderId="1" xfId="2" applyFont="1" applyFill="1" applyBorder="1" applyProtection="1"/>
    <xf numFmtId="43" fontId="5" fillId="10" borderId="1" xfId="2" applyFont="1" applyFill="1" applyBorder="1" applyProtection="1"/>
    <xf numFmtId="14" fontId="9" fillId="0" borderId="23" xfId="0" applyNumberFormat="1" applyFont="1" applyBorder="1" applyProtection="1"/>
    <xf numFmtId="4" fontId="14" fillId="0" borderId="1" xfId="0" applyNumberFormat="1" applyFont="1" applyBorder="1" applyAlignment="1" applyProtection="1">
      <alignment horizontal="center"/>
    </xf>
    <xf numFmtId="4" fontId="14" fillId="9" borderId="1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Protection="1"/>
    <xf numFmtId="4" fontId="16" fillId="9" borderId="24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Alignment="1" applyProtection="1">
      <alignment horizontal="center"/>
    </xf>
    <xf numFmtId="0" fontId="0" fillId="0" borderId="1" xfId="0" applyBorder="1" applyProtection="1"/>
    <xf numFmtId="43" fontId="0" fillId="9" borderId="1" xfId="2" applyFont="1" applyFill="1" applyBorder="1" applyAlignment="1" applyProtection="1"/>
    <xf numFmtId="0" fontId="0" fillId="8" borderId="1" xfId="0" applyFill="1" applyBorder="1" applyProtection="1"/>
    <xf numFmtId="4" fontId="0" fillId="8" borderId="1" xfId="0" applyNumberFormat="1" applyFill="1" applyBorder="1" applyProtection="1"/>
    <xf numFmtId="4" fontId="0" fillId="3" borderId="1" xfId="0" applyNumberFormat="1" applyFill="1" applyBorder="1" applyProtection="1"/>
    <xf numFmtId="171" fontId="0" fillId="0" borderId="1" xfId="0" applyNumberFormat="1" applyBorder="1" applyProtection="1"/>
    <xf numFmtId="171" fontId="7" fillId="4" borderId="1" xfId="0" applyNumberFormat="1" applyFont="1" applyFill="1" applyBorder="1" applyProtection="1"/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171" fontId="0" fillId="0" borderId="23" xfId="0" applyNumberFormat="1" applyBorder="1" applyProtection="1"/>
    <xf numFmtId="171" fontId="0" fillId="0" borderId="7" xfId="0" applyNumberFormat="1" applyBorder="1" applyProtection="1">
      <protection locked="0"/>
    </xf>
    <xf numFmtId="171" fontId="0" fillId="0" borderId="8" xfId="0" applyNumberFormat="1" applyBorder="1" applyProtection="1">
      <protection locked="0"/>
    </xf>
    <xf numFmtId="171" fontId="0" fillId="0" borderId="22" xfId="0" applyNumberFormat="1" applyBorder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2" fontId="0" fillId="0" borderId="1" xfId="2" applyNumberFormat="1" applyFont="1" applyBorder="1" applyProtection="1"/>
    <xf numFmtId="2" fontId="0" fillId="0" borderId="1" xfId="0" applyNumberFormat="1" applyBorder="1" applyProtection="1"/>
    <xf numFmtId="0" fontId="0" fillId="0" borderId="0" xfId="0" applyNumberFormat="1" applyAlignment="1" applyProtection="1">
      <alignment horizontal="center"/>
      <protection locked="0"/>
    </xf>
    <xf numFmtId="43" fontId="0" fillId="8" borderId="1" xfId="2" applyFont="1" applyFill="1" applyBorder="1" applyProtection="1">
      <protection locked="0"/>
    </xf>
    <xf numFmtId="43" fontId="0" fillId="0" borderId="0" xfId="0" applyNumberFormat="1" applyProtection="1">
      <protection locked="0"/>
    </xf>
    <xf numFmtId="43" fontId="0" fillId="7" borderId="1" xfId="2" applyFont="1" applyFill="1" applyBorder="1" applyProtection="1"/>
    <xf numFmtId="0" fontId="9" fillId="0" borderId="7" xfId="0" applyNumberFormat="1" applyFont="1" applyBorder="1" applyAlignment="1" applyProtection="1">
      <alignment horizontal="left" vertical="center" wrapText="1"/>
      <protection locked="0"/>
    </xf>
    <xf numFmtId="43" fontId="0" fillId="6" borderId="0" xfId="0" applyNumberFormat="1" applyFill="1" applyProtection="1">
      <protection locked="0"/>
    </xf>
    <xf numFmtId="43" fontId="0" fillId="0" borderId="1" xfId="2" applyFont="1" applyBorder="1" applyProtection="1"/>
    <xf numFmtId="43" fontId="0" fillId="8" borderId="1" xfId="2" applyFont="1" applyFill="1" applyBorder="1" applyProtection="1"/>
    <xf numFmtId="43" fontId="0" fillId="6" borderId="0" xfId="2" applyFont="1" applyFill="1" applyProtection="1">
      <protection locked="0"/>
    </xf>
    <xf numFmtId="43" fontId="0" fillId="3" borderId="1" xfId="2" applyFont="1" applyFill="1" applyBorder="1" applyProtection="1"/>
    <xf numFmtId="0" fontId="0" fillId="3" borderId="1" xfId="0" applyFill="1" applyBorder="1" applyProtection="1"/>
    <xf numFmtId="43" fontId="0" fillId="8" borderId="0" xfId="0" applyNumberFormat="1" applyFill="1" applyProtection="1">
      <protection locked="0"/>
    </xf>
    <xf numFmtId="43" fontId="0" fillId="3" borderId="1" xfId="2" applyFont="1" applyFill="1" applyBorder="1" applyProtection="1">
      <protection locked="0"/>
    </xf>
    <xf numFmtId="43" fontId="0" fillId="13" borderId="1" xfId="2" applyFont="1" applyFill="1" applyBorder="1" applyProtection="1"/>
    <xf numFmtId="43" fontId="0" fillId="0" borderId="0" xfId="2" applyFont="1" applyProtection="1">
      <protection locked="0"/>
    </xf>
    <xf numFmtId="43" fontId="0" fillId="7" borderId="1" xfId="2" applyFont="1" applyFill="1" applyBorder="1" applyProtection="1">
      <protection locked="0"/>
    </xf>
    <xf numFmtId="4" fontId="0" fillId="0" borderId="23" xfId="0" applyNumberFormat="1" applyBorder="1" applyProtection="1"/>
    <xf numFmtId="0" fontId="0" fillId="3" borderId="23" xfId="0" applyFill="1" applyBorder="1" applyAlignment="1" applyProtection="1">
      <alignment horizontal="center" wrapText="1"/>
      <protection locked="0"/>
    </xf>
    <xf numFmtId="0" fontId="0" fillId="3" borderId="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43" fontId="0" fillId="3" borderId="23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43" fontId="11" fillId="8" borderId="1" xfId="2" applyFont="1" applyFill="1" applyBorder="1" applyProtection="1"/>
    <xf numFmtId="43" fontId="0" fillId="3" borderId="0" xfId="0" applyNumberFormat="1" applyFill="1" applyProtection="1">
      <protection locked="0"/>
    </xf>
    <xf numFmtId="43" fontId="0" fillId="14" borderId="1" xfId="2" applyFont="1" applyFill="1" applyBorder="1" applyProtection="1"/>
    <xf numFmtId="43" fontId="0" fillId="6" borderId="1" xfId="2" applyFont="1" applyFill="1" applyBorder="1" applyProtection="1">
      <protection locked="0"/>
    </xf>
    <xf numFmtId="4" fontId="14" fillId="3" borderId="1" xfId="0" applyNumberFormat="1" applyFont="1" applyFill="1" applyBorder="1" applyAlignment="1" applyProtection="1">
      <alignment horizontal="center"/>
    </xf>
    <xf numFmtId="172" fontId="0" fillId="0" borderId="1" xfId="2" applyNumberFormat="1" applyFont="1" applyBorder="1" applyProtection="1">
      <protection locked="0"/>
    </xf>
    <xf numFmtId="43" fontId="0" fillId="3" borderId="0" xfId="2" applyFont="1" applyFill="1" applyProtection="1">
      <protection locked="0"/>
    </xf>
    <xf numFmtId="169" fontId="14" fillId="3" borderId="0" xfId="0" applyNumberFormat="1" applyFont="1" applyFill="1" applyBorder="1" applyAlignment="1" applyProtection="1">
      <alignment horizontal="center"/>
      <protection locked="0"/>
    </xf>
    <xf numFmtId="43" fontId="0" fillId="0" borderId="0" xfId="2" applyFont="1" applyAlignment="1" applyProtection="1">
      <alignment horizontal="left"/>
      <protection locked="0"/>
    </xf>
    <xf numFmtId="43" fontId="0" fillId="10" borderId="1" xfId="2" applyFont="1" applyFill="1" applyBorder="1" applyProtection="1">
      <protection locked="0"/>
    </xf>
    <xf numFmtId="43" fontId="11" fillId="3" borderId="1" xfId="2" applyFont="1" applyFill="1" applyBorder="1" applyProtection="1"/>
    <xf numFmtId="43" fontId="0" fillId="15" borderId="1" xfId="2" applyFont="1" applyFill="1" applyBorder="1" applyProtection="1"/>
    <xf numFmtId="0" fontId="0" fillId="6" borderId="1" xfId="0" applyFill="1" applyBorder="1" applyProtection="1">
      <protection locked="0"/>
    </xf>
    <xf numFmtId="43" fontId="0" fillId="0" borderId="1" xfId="0" applyNumberFormat="1" applyBorder="1" applyProtection="1"/>
    <xf numFmtId="4" fontId="0" fillId="0" borderId="1" xfId="0" applyNumberFormat="1" applyFont="1" applyFill="1" applyBorder="1" applyAlignment="1" applyProtection="1">
      <alignment vertical="center"/>
      <protection locked="0"/>
    </xf>
    <xf numFmtId="43" fontId="0" fillId="0" borderId="0" xfId="0" applyNumberFormat="1" applyFill="1" applyBorder="1" applyProtection="1">
      <protection locked="0"/>
    </xf>
    <xf numFmtId="165" fontId="9" fillId="0" borderId="32" xfId="0" applyNumberFormat="1" applyFont="1" applyBorder="1" applyAlignment="1" applyProtection="1">
      <alignment horizontal="center" vertical="center"/>
      <protection locked="0"/>
    </xf>
    <xf numFmtId="43" fontId="12" fillId="2" borderId="14" xfId="1" applyNumberFormat="1" applyFont="1" applyBorder="1" applyProtection="1">
      <protection locked="0"/>
    </xf>
    <xf numFmtId="43" fontId="11" fillId="15" borderId="1" xfId="2" applyFont="1" applyFill="1" applyBorder="1" applyProtection="1"/>
    <xf numFmtId="2" fontId="0" fillId="0" borderId="0" xfId="0" applyNumberFormat="1"/>
    <xf numFmtId="43" fontId="0" fillId="15" borderId="1" xfId="2" applyFont="1" applyFill="1" applyBorder="1" applyProtection="1">
      <protection locked="0"/>
    </xf>
    <xf numFmtId="0" fontId="0" fillId="15" borderId="1" xfId="0" applyFill="1" applyBorder="1" applyProtection="1">
      <protection locked="0"/>
    </xf>
    <xf numFmtId="43" fontId="0" fillId="0" borderId="1" xfId="2" applyFont="1" applyFill="1" applyBorder="1" applyProtection="1">
      <protection locked="0"/>
    </xf>
    <xf numFmtId="43" fontId="0" fillId="16" borderId="1" xfId="2" applyFont="1" applyFill="1" applyBorder="1" applyProtection="1"/>
    <xf numFmtId="0" fontId="11" fillId="15" borderId="1" xfId="0" applyFont="1" applyFill="1" applyBorder="1" applyProtection="1">
      <protection locked="0"/>
    </xf>
    <xf numFmtId="43" fontId="11" fillId="7" borderId="1" xfId="2" applyFont="1" applyFill="1" applyBorder="1" applyProtection="1"/>
    <xf numFmtId="0" fontId="0" fillId="13" borderId="1" xfId="0" applyFill="1" applyBorder="1" applyProtection="1">
      <protection locked="0"/>
    </xf>
    <xf numFmtId="43" fontId="0" fillId="13" borderId="1" xfId="2" applyFont="1" applyFill="1" applyBorder="1" applyProtection="1">
      <protection locked="0"/>
    </xf>
    <xf numFmtId="0" fontId="16" fillId="15" borderId="1" xfId="0" applyFont="1" applyFill="1" applyBorder="1" applyAlignment="1" applyProtection="1">
      <alignment horizontal="center"/>
      <protection locked="0"/>
    </xf>
    <xf numFmtId="0" fontId="16" fillId="17" borderId="1" xfId="0" applyFont="1" applyFill="1" applyBorder="1" applyAlignment="1" applyProtection="1">
      <alignment horizontal="center"/>
      <protection locked="0"/>
    </xf>
    <xf numFmtId="0" fontId="0" fillId="17" borderId="1" xfId="0" applyFill="1" applyBorder="1" applyProtection="1">
      <protection locked="0"/>
    </xf>
    <xf numFmtId="43" fontId="0" fillId="17" borderId="1" xfId="2" applyFont="1" applyFill="1" applyBorder="1" applyProtection="1">
      <protection locked="0"/>
    </xf>
    <xf numFmtId="169" fontId="16" fillId="6" borderId="1" xfId="0" applyNumberFormat="1" applyFont="1" applyFill="1" applyBorder="1" applyAlignment="1" applyProtection="1">
      <alignment horizontal="center"/>
      <protection locked="0"/>
    </xf>
    <xf numFmtId="169" fontId="14" fillId="6" borderId="1" xfId="0" applyNumberFormat="1" applyFont="1" applyFill="1" applyBorder="1" applyAlignment="1" applyProtection="1">
      <alignment horizontal="center"/>
      <protection locked="0"/>
    </xf>
    <xf numFmtId="43" fontId="15" fillId="6" borderId="1" xfId="2" applyFont="1" applyFill="1" applyBorder="1" applyAlignment="1" applyProtection="1">
      <alignment horizontal="center"/>
      <protection locked="0"/>
    </xf>
    <xf numFmtId="4" fontId="14" fillId="6" borderId="1" xfId="0" applyNumberFormat="1" applyFont="1" applyFill="1" applyBorder="1" applyAlignment="1" applyProtection="1">
      <alignment horizontal="center"/>
      <protection locked="0"/>
    </xf>
    <xf numFmtId="4" fontId="15" fillId="6" borderId="1" xfId="0" applyNumberFormat="1" applyFont="1" applyFill="1" applyBorder="1" applyAlignment="1" applyProtection="1">
      <alignment horizontal="center"/>
      <protection locked="0"/>
    </xf>
    <xf numFmtId="0" fontId="16" fillId="3" borderId="1" xfId="0" applyFont="1" applyFill="1" applyBorder="1" applyAlignment="1" applyProtection="1">
      <alignment horizontal="center"/>
      <protection locked="0"/>
    </xf>
    <xf numFmtId="0" fontId="16" fillId="6" borderId="1" xfId="0" applyFont="1" applyFill="1" applyBorder="1" applyAlignment="1" applyProtection="1">
      <alignment horizontal="center"/>
      <protection locked="0"/>
    </xf>
    <xf numFmtId="10" fontId="0" fillId="0" borderId="1" xfId="2" applyNumberFormat="1" applyFont="1" applyBorder="1" applyProtection="1">
      <protection locked="0"/>
    </xf>
    <xf numFmtId="0" fontId="0" fillId="3" borderId="2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3" borderId="26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0" fontId="17" fillId="3" borderId="23" xfId="0" applyFont="1" applyFill="1" applyBorder="1" applyAlignment="1" applyProtection="1">
      <alignment horizontal="center"/>
    </xf>
    <xf numFmtId="0" fontId="17" fillId="3" borderId="26" xfId="0" applyFont="1" applyFill="1" applyBorder="1" applyAlignment="1" applyProtection="1">
      <alignment horizontal="center"/>
    </xf>
    <xf numFmtId="0" fontId="17" fillId="3" borderId="22" xfId="0" applyFont="1" applyFill="1" applyBorder="1" applyAlignment="1" applyProtection="1">
      <alignment horizont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7" fillId="3" borderId="23" xfId="0" applyFont="1" applyFill="1" applyBorder="1" applyAlignment="1" applyProtection="1">
      <alignment horizontal="center"/>
      <protection locked="0"/>
    </xf>
    <xf numFmtId="0" fontId="17" fillId="3" borderId="26" xfId="0" applyFont="1" applyFill="1" applyBorder="1" applyAlignment="1" applyProtection="1">
      <alignment horizontal="center"/>
      <protection locked="0"/>
    </xf>
    <xf numFmtId="0" fontId="17" fillId="3" borderId="22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169" fontId="14" fillId="9" borderId="23" xfId="0" applyNumberFormat="1" applyFont="1" applyFill="1" applyBorder="1" applyAlignment="1" applyProtection="1">
      <alignment horizontal="center"/>
      <protection locked="0"/>
    </xf>
    <xf numFmtId="169" fontId="14" fillId="9" borderId="26" xfId="0" applyNumberFormat="1" applyFont="1" applyFill="1" applyBorder="1" applyAlignment="1" applyProtection="1">
      <alignment horizontal="center"/>
      <protection locked="0"/>
    </xf>
    <xf numFmtId="169" fontId="14" fillId="9" borderId="22" xfId="0" applyNumberFormat="1" applyFont="1" applyFill="1" applyBorder="1" applyAlignment="1" applyProtection="1">
      <alignment horizontal="center"/>
      <protection locked="0"/>
    </xf>
    <xf numFmtId="0" fontId="16" fillId="9" borderId="1" xfId="0" applyFont="1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7" fillId="4" borderId="23" xfId="0" applyFont="1" applyFill="1" applyBorder="1" applyAlignment="1" applyProtection="1">
      <alignment horizontal="left" vertical="center" wrapText="1"/>
      <protection locked="0"/>
    </xf>
    <xf numFmtId="0" fontId="7" fillId="4" borderId="22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9" borderId="24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 vertical="center"/>
      <protection locked="0"/>
    </xf>
    <xf numFmtId="0" fontId="16" fillId="9" borderId="12" xfId="0" applyFont="1" applyFill="1" applyBorder="1" applyAlignment="1" applyProtection="1">
      <alignment horizontal="center" vertical="center"/>
      <protection locked="0"/>
    </xf>
    <xf numFmtId="0" fontId="16" fillId="8" borderId="23" xfId="0" applyFont="1" applyFill="1" applyBorder="1" applyAlignment="1" applyProtection="1">
      <alignment horizontal="center"/>
      <protection locked="0"/>
    </xf>
    <xf numFmtId="0" fontId="16" fillId="8" borderId="26" xfId="0" applyFont="1" applyFill="1" applyBorder="1" applyAlignment="1" applyProtection="1">
      <alignment horizontal="center"/>
      <protection locked="0"/>
    </xf>
    <xf numFmtId="0" fontId="16" fillId="8" borderId="2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9">
    <cellStyle name="Incorrecto" xfId="1" builtinId="27"/>
    <cellStyle name="Millares" xfId="2" builtinId="3"/>
    <cellStyle name="Millares 2" xfId="3"/>
    <cellStyle name="Millares 3" xfId="4"/>
    <cellStyle name="Millares 4" xfId="5"/>
    <cellStyle name="Millares 5" xfId="6"/>
    <cellStyle name="Moneda 2" xfId="7"/>
    <cellStyle name="Normal" xfId="0" builtinId="0"/>
    <cellStyle name="Porcentaje" xfId="8" builtinId="5"/>
  </cellStyles>
  <dxfs count="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</dxfs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VENTAS SEGUN REPORTE Z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7779.54</c:v>
                </c:pt>
                <c:pt idx="1">
                  <c:v>6530.3899999999994</c:v>
                </c:pt>
                <c:pt idx="2">
                  <c:v>5800.57</c:v>
                </c:pt>
                <c:pt idx="3">
                  <c:v>7003.36</c:v>
                </c:pt>
                <c:pt idx="4">
                  <c:v>10051.42</c:v>
                </c:pt>
                <c:pt idx="5">
                  <c:v>12230.28</c:v>
                </c:pt>
                <c:pt idx="6">
                  <c:v>13014.61</c:v>
                </c:pt>
                <c:pt idx="7">
                  <c:v>8637</c:v>
                </c:pt>
                <c:pt idx="8">
                  <c:v>7177.9299999999994</c:v>
                </c:pt>
                <c:pt idx="9">
                  <c:v>7566.4699999999993</c:v>
                </c:pt>
                <c:pt idx="10">
                  <c:v>7531.2100000000009</c:v>
                </c:pt>
                <c:pt idx="11">
                  <c:v>11753.76</c:v>
                </c:pt>
                <c:pt idx="12">
                  <c:v>11413.72</c:v>
                </c:pt>
                <c:pt idx="13">
                  <c:v>11913.29</c:v>
                </c:pt>
                <c:pt idx="14">
                  <c:v>8971.82</c:v>
                </c:pt>
                <c:pt idx="15">
                  <c:v>11079.93</c:v>
                </c:pt>
                <c:pt idx="16">
                  <c:v>13476.48</c:v>
                </c:pt>
                <c:pt idx="17">
                  <c:v>7531.37</c:v>
                </c:pt>
                <c:pt idx="18">
                  <c:v>6516.03</c:v>
                </c:pt>
                <c:pt idx="19">
                  <c:v>6645.29</c:v>
                </c:pt>
                <c:pt idx="20">
                  <c:v>9301.31</c:v>
                </c:pt>
                <c:pt idx="21">
                  <c:v>9587.25</c:v>
                </c:pt>
                <c:pt idx="22">
                  <c:v>11094.06</c:v>
                </c:pt>
                <c:pt idx="23">
                  <c:v>12692.75</c:v>
                </c:pt>
                <c:pt idx="24">
                  <c:v>9838.86</c:v>
                </c:pt>
                <c:pt idx="25">
                  <c:v>9919.7999999999993</c:v>
                </c:pt>
                <c:pt idx="26">
                  <c:v>8015.63</c:v>
                </c:pt>
                <c:pt idx="27">
                  <c:v>7695.65</c:v>
                </c:pt>
                <c:pt idx="28">
                  <c:v>11010.42</c:v>
                </c:pt>
                <c:pt idx="29">
                  <c:v>12426.74</c:v>
                </c:pt>
                <c:pt idx="30">
                  <c:v>10886.79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6-49CC-9239-BCFEEEFE5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096512"/>
        <c:axId val="192098304"/>
        <c:axId val="0"/>
      </c:bar3DChart>
      <c:catAx>
        <c:axId val="19209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2098304"/>
        <c:crosses val="autoZero"/>
        <c:auto val="1"/>
        <c:lblAlgn val="ctr"/>
        <c:lblOffset val="100"/>
        <c:noMultiLvlLbl val="0"/>
      </c:catAx>
      <c:valAx>
        <c:axId val="19209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_ [$Bs.S-200A]\ * #,##0.00_ ;_ [$Bs.S-200A]\ * \-#,##0.00_ ;_ [$Bs.S-200A]\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2096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75827825186773"/>
          <c:y val="0.20833333333333401"/>
          <c:w val="0.7476454448429548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7779.54</c:v>
                </c:pt>
                <c:pt idx="1">
                  <c:v>6530.3899999999994</c:v>
                </c:pt>
                <c:pt idx="2">
                  <c:v>5800.57</c:v>
                </c:pt>
                <c:pt idx="3">
                  <c:v>7003.36</c:v>
                </c:pt>
                <c:pt idx="4">
                  <c:v>10051.42</c:v>
                </c:pt>
                <c:pt idx="5">
                  <c:v>12230.28</c:v>
                </c:pt>
                <c:pt idx="6">
                  <c:v>13014.61</c:v>
                </c:pt>
                <c:pt idx="7">
                  <c:v>8637</c:v>
                </c:pt>
                <c:pt idx="8">
                  <c:v>7177.9299999999994</c:v>
                </c:pt>
                <c:pt idx="9">
                  <c:v>7566.4699999999993</c:v>
                </c:pt>
                <c:pt idx="10">
                  <c:v>7531.2100000000009</c:v>
                </c:pt>
                <c:pt idx="11">
                  <c:v>11753.76</c:v>
                </c:pt>
                <c:pt idx="12">
                  <c:v>11413.72</c:v>
                </c:pt>
                <c:pt idx="13">
                  <c:v>11913.29</c:v>
                </c:pt>
                <c:pt idx="14">
                  <c:v>8971.82</c:v>
                </c:pt>
                <c:pt idx="15">
                  <c:v>11079.93</c:v>
                </c:pt>
                <c:pt idx="16">
                  <c:v>13476.48</c:v>
                </c:pt>
                <c:pt idx="17">
                  <c:v>7531.37</c:v>
                </c:pt>
                <c:pt idx="18">
                  <c:v>6516.03</c:v>
                </c:pt>
                <c:pt idx="19">
                  <c:v>6645.29</c:v>
                </c:pt>
                <c:pt idx="20">
                  <c:v>9301.31</c:v>
                </c:pt>
                <c:pt idx="21">
                  <c:v>9587.25</c:v>
                </c:pt>
                <c:pt idx="22">
                  <c:v>11094.06</c:v>
                </c:pt>
                <c:pt idx="23">
                  <c:v>12692.75</c:v>
                </c:pt>
                <c:pt idx="24">
                  <c:v>9838.86</c:v>
                </c:pt>
                <c:pt idx="25">
                  <c:v>9919.7999999999993</c:v>
                </c:pt>
                <c:pt idx="26">
                  <c:v>8015.63</c:v>
                </c:pt>
                <c:pt idx="27">
                  <c:v>7695.65</c:v>
                </c:pt>
                <c:pt idx="28">
                  <c:v>11010.42</c:v>
                </c:pt>
                <c:pt idx="29">
                  <c:v>12426.74</c:v>
                </c:pt>
                <c:pt idx="30">
                  <c:v>10886.79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C75-BA84-62247F89E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135936"/>
        <c:axId val="192137856"/>
      </c:lineChart>
      <c:catAx>
        <c:axId val="1921359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54211988786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92137856"/>
        <c:crosses val="autoZero"/>
        <c:auto val="1"/>
        <c:lblAlgn val="ctr"/>
        <c:lblOffset val="100"/>
        <c:noMultiLvlLbl val="0"/>
      </c:catAx>
      <c:valAx>
        <c:axId val="192137856"/>
        <c:scaling>
          <c:orientation val="minMax"/>
        </c:scaling>
        <c:delete val="1"/>
        <c:axPos val="l"/>
        <c:numFmt formatCode="_ [$Bs.S-200A]\ * #,##0.00_ ;_ [$Bs.S-200A]\ * \-#,##0.00_ ;_ [$Bs.S-200A]\ * &quot;-&quot;??_ ;_ @_ " sourceLinked="1"/>
        <c:majorTickMark val="out"/>
        <c:minorTickMark val="none"/>
        <c:tickLblPos val="nextTo"/>
        <c:crossAx val="192135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33-464F-8128-1E2407FE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879232"/>
        <c:axId val="192893312"/>
        <c:axId val="0"/>
      </c:bar3DChart>
      <c:catAx>
        <c:axId val="19287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2893312"/>
        <c:crosses val="autoZero"/>
        <c:auto val="1"/>
        <c:lblAlgn val="ctr"/>
        <c:lblOffset val="100"/>
        <c:noMultiLvlLbl val="0"/>
      </c:catAx>
      <c:valAx>
        <c:axId val="19289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2879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223719928122"/>
          <c:y val="0.20833333333333401"/>
          <c:w val="0.8557815650524515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1B-45DF-98E4-723391FA8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939520"/>
        <c:axId val="192941440"/>
      </c:lineChart>
      <c:catAx>
        <c:axId val="19293952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algn="l"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61594863897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92941440"/>
        <c:crosses val="autoZero"/>
        <c:auto val="1"/>
        <c:lblAlgn val="ctr"/>
        <c:lblOffset val="100"/>
        <c:noMultiLvlLbl val="0"/>
      </c:catAx>
      <c:valAx>
        <c:axId val="1929414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2939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EFA-81FC-2785D519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974208"/>
        <c:axId val="192980096"/>
        <c:axId val="0"/>
      </c:bar3DChart>
      <c:catAx>
        <c:axId val="19297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2980096"/>
        <c:crosses val="autoZero"/>
        <c:auto val="1"/>
        <c:lblAlgn val="ctr"/>
        <c:lblOffset val="100"/>
        <c:noMultiLvlLbl val="0"/>
      </c:catAx>
      <c:valAx>
        <c:axId val="19298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2974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73381827733484E-2"/>
          <c:y val="5.2264808362369339E-2"/>
          <c:w val="0.96138544530823833"/>
          <c:h val="0.8989547038327526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96096"/>
        <c:axId val="192997632"/>
      </c:barChart>
      <c:catAx>
        <c:axId val="192996096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2997632"/>
        <c:crosses val="autoZero"/>
        <c:auto val="1"/>
        <c:lblAlgn val="ctr"/>
        <c:lblOffset val="100"/>
        <c:tickMarkSkip val="1"/>
        <c:noMultiLvlLbl val="0"/>
      </c:catAx>
      <c:valAx>
        <c:axId val="192997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929960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1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6</xdr:row>
      <xdr:rowOff>66675</xdr:rowOff>
    </xdr:from>
    <xdr:to>
      <xdr:col>12</xdr:col>
      <xdr:colOff>495300</xdr:colOff>
      <xdr:row>20</xdr:row>
      <xdr:rowOff>95250</xdr:rowOff>
    </xdr:to>
    <xdr:grpSp>
      <xdr:nvGrpSpPr>
        <xdr:cNvPr id="50392219" name="Grupo 8"/>
        <xdr:cNvGrpSpPr>
          <a:grpSpLocks/>
        </xdr:cNvGrpSpPr>
      </xdr:nvGrpSpPr>
      <xdr:grpSpPr bwMode="auto">
        <a:xfrm>
          <a:off x="5429250" y="1266825"/>
          <a:ext cx="7877175" cy="2847975"/>
          <a:chOff x="8058149" y="1266825"/>
          <a:chExt cx="5524501" cy="2852737"/>
        </a:xfrm>
      </xdr:grpSpPr>
      <xdr:graphicFrame macro="">
        <xdr:nvGraphicFramePr>
          <xdr:cNvPr id="50392227" name="Gráfico 2"/>
          <xdr:cNvGraphicFramePr>
            <a:graphicFrameLocks/>
          </xdr:cNvGraphicFramePr>
        </xdr:nvGraphicFramePr>
        <xdr:xfrm>
          <a:off x="8058149" y="1376362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0392228" name="Gráfico 5"/>
          <xdr:cNvGraphicFramePr>
            <a:graphicFrameLocks/>
          </xdr:cNvGraphicFramePr>
        </xdr:nvGraphicFramePr>
        <xdr:xfrm>
          <a:off x="8124825" y="1266825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0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5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50392226" name="Gráfico 14"/>
          <xdr:cNvGraphicFramePr>
            <a:graphicFrameLocks/>
          </xdr:cNvGraphicFramePr>
        </xdr:nvGraphicFramePr>
        <xdr:xfrm>
          <a:off x="8456608" y="4629150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2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2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4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47625</xdr:colOff>
      <xdr:row>23</xdr:row>
      <xdr:rowOff>38100</xdr:rowOff>
    </xdr:from>
    <xdr:to>
      <xdr:col>13</xdr:col>
      <xdr:colOff>57150</xdr:colOff>
      <xdr:row>37</xdr:row>
      <xdr:rowOff>104775</xdr:rowOff>
    </xdr:to>
    <xdr:graphicFrame macro="">
      <xdr:nvGraphicFramePr>
        <xdr:cNvPr id="5039222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39924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40539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6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8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0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2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6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7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8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0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opLeftCell="A7" workbookViewId="0">
      <selection activeCell="C37" sqref="C37"/>
    </sheetView>
  </sheetViews>
  <sheetFormatPr baseColWidth="10" defaultRowHeight="15" x14ac:dyDescent="0.25"/>
  <cols>
    <col min="1" max="1" width="10.7109375" style="31" customWidth="1"/>
    <col min="2" max="3" width="22.7109375" style="31" customWidth="1"/>
    <col min="4" max="4" width="19.140625" style="31" customWidth="1"/>
    <col min="5" max="5" width="21.140625" style="31" customWidth="1"/>
    <col min="6" max="6" width="16.42578125" style="31" customWidth="1"/>
    <col min="7" max="7" width="22.140625" style="31" customWidth="1"/>
    <col min="8" max="16384" width="11.42578125" style="31"/>
  </cols>
  <sheetData>
    <row r="1" spans="1:9" s="43" customFormat="1" ht="16.5" customHeight="1" x14ac:dyDescent="0.25">
      <c r="A1" s="275"/>
      <c r="B1" s="278"/>
      <c r="C1" s="279"/>
      <c r="D1" s="279"/>
      <c r="E1" s="279"/>
      <c r="F1" s="279"/>
      <c r="G1" s="280"/>
    </row>
    <row r="2" spans="1:9" s="43" customFormat="1" ht="16.5" customHeight="1" x14ac:dyDescent="0.35">
      <c r="A2" s="276"/>
      <c r="B2" s="281" t="s">
        <v>12</v>
      </c>
      <c r="C2" s="282"/>
      <c r="D2" s="282"/>
      <c r="E2" s="282"/>
      <c r="F2" s="282"/>
      <c r="G2" s="283"/>
    </row>
    <row r="3" spans="1:9" s="43" customFormat="1" ht="16.5" customHeight="1" x14ac:dyDescent="0.25">
      <c r="A3" s="277"/>
      <c r="B3" s="284" t="s">
        <v>34</v>
      </c>
      <c r="C3" s="285"/>
      <c r="D3" s="285"/>
      <c r="E3" s="285"/>
      <c r="F3" s="285"/>
      <c r="G3" s="286"/>
    </row>
    <row r="4" spans="1:9" x14ac:dyDescent="0.25">
      <c r="A4" s="287" t="s">
        <v>51</v>
      </c>
      <c r="B4" s="287"/>
      <c r="C4" s="287"/>
      <c r="D4" s="287"/>
      <c r="E4" s="287"/>
      <c r="F4" s="287"/>
      <c r="G4" s="287"/>
      <c r="H4" s="44"/>
      <c r="I4" s="44"/>
    </row>
    <row r="7" spans="1:9" ht="27" customHeight="1" x14ac:dyDescent="0.25">
      <c r="A7" s="45" t="s">
        <v>29</v>
      </c>
      <c r="B7" s="45" t="s">
        <v>35</v>
      </c>
      <c r="C7" s="45" t="s">
        <v>36</v>
      </c>
      <c r="D7" s="45" t="s">
        <v>37</v>
      </c>
    </row>
    <row r="8" spans="1:9" x14ac:dyDescent="0.25">
      <c r="A8" s="46">
        <f>'DIA 1'!B$6</f>
        <v>44774</v>
      </c>
      <c r="B8" s="199">
        <f>'DIA 1'!B68</f>
        <v>7779.54</v>
      </c>
      <c r="C8" s="199">
        <f>'DIA 1'!B69</f>
        <v>7719.41</v>
      </c>
      <c r="D8" s="199">
        <f>C8-B8</f>
        <v>-60.130000000000109</v>
      </c>
    </row>
    <row r="9" spans="1:9" x14ac:dyDescent="0.25">
      <c r="A9" s="46">
        <f>'DIA 2'!B$6</f>
        <v>44775</v>
      </c>
      <c r="B9" s="199">
        <f>'DIA 2'!B$68</f>
        <v>6530.3899999999994</v>
      </c>
      <c r="C9" s="199">
        <f>'DIA 2'!B$69</f>
        <v>6492.84</v>
      </c>
      <c r="D9" s="199">
        <f t="shared" ref="D9:D38" si="0">C9-B9</f>
        <v>-37.549999999999272</v>
      </c>
    </row>
    <row r="10" spans="1:9" x14ac:dyDescent="0.25">
      <c r="A10" s="46">
        <f>'DIA 3'!B$6</f>
        <v>44776</v>
      </c>
      <c r="B10" s="199">
        <f>'DIA 3'!B$68</f>
        <v>5800.57</v>
      </c>
      <c r="C10" s="199">
        <f>'DIA 3'!B$69</f>
        <v>5747.4</v>
      </c>
      <c r="D10" s="199">
        <f t="shared" si="0"/>
        <v>-53.170000000000073</v>
      </c>
    </row>
    <row r="11" spans="1:9" x14ac:dyDescent="0.25">
      <c r="A11" s="46">
        <f>'DIA 4'!B$6</f>
        <v>44777</v>
      </c>
      <c r="B11" s="199">
        <f>'DIA 4'!B$68</f>
        <v>7003.36</v>
      </c>
      <c r="C11" s="199">
        <f>'DIA 4'!B$69</f>
        <v>6973.99</v>
      </c>
      <c r="D11" s="199">
        <f t="shared" si="0"/>
        <v>-29.369999999999891</v>
      </c>
    </row>
    <row r="12" spans="1:9" x14ac:dyDescent="0.25">
      <c r="A12" s="46">
        <f>'DIA 5'!B$6</f>
        <v>44778</v>
      </c>
      <c r="B12" s="199">
        <f>'DIA 5'!B$68</f>
        <v>10051.42</v>
      </c>
      <c r="C12" s="199">
        <f>'DIA 5'!B$69</f>
        <v>9988.65</v>
      </c>
      <c r="D12" s="199">
        <f t="shared" si="0"/>
        <v>-62.770000000000437</v>
      </c>
    </row>
    <row r="13" spans="1:9" x14ac:dyDescent="0.25">
      <c r="A13" s="46">
        <f>'DIA 6'!B$6</f>
        <v>44779</v>
      </c>
      <c r="B13" s="199">
        <f>'DIA 6'!B$68</f>
        <v>12230.28</v>
      </c>
      <c r="C13" s="199">
        <f>'DIA 6'!B$69</f>
        <v>12134.99</v>
      </c>
      <c r="D13" s="199">
        <f t="shared" si="0"/>
        <v>-95.290000000000873</v>
      </c>
    </row>
    <row r="14" spans="1:9" x14ac:dyDescent="0.25">
      <c r="A14" s="46">
        <f>'DIA 7'!B$6</f>
        <v>44780</v>
      </c>
      <c r="B14" s="199">
        <f>'DIA 7'!B$68</f>
        <v>13014.61</v>
      </c>
      <c r="C14" s="199">
        <f>'DIA 7'!B$69</f>
        <v>12889.62</v>
      </c>
      <c r="D14" s="199">
        <f t="shared" si="0"/>
        <v>-124.98999999999978</v>
      </c>
    </row>
    <row r="15" spans="1:9" x14ac:dyDescent="0.25">
      <c r="A15" s="46">
        <f>'DIA 8'!B$6</f>
        <v>44781</v>
      </c>
      <c r="B15" s="199">
        <f>'DIA 8'!B$68</f>
        <v>8637</v>
      </c>
      <c r="C15" s="199">
        <f>'DIA 8'!B$69</f>
        <v>8555.48</v>
      </c>
      <c r="D15" s="199">
        <f t="shared" si="0"/>
        <v>-81.520000000000437</v>
      </c>
    </row>
    <row r="16" spans="1:9" x14ac:dyDescent="0.25">
      <c r="A16" s="46">
        <f>'DIA 9'!B$6</f>
        <v>44782</v>
      </c>
      <c r="B16" s="199">
        <f>'DIA 9'!B$68</f>
        <v>7177.9299999999994</v>
      </c>
      <c r="C16" s="199">
        <f>'DIA 9'!B$69</f>
        <v>7177.93</v>
      </c>
      <c r="D16" s="199">
        <f t="shared" si="0"/>
        <v>0</v>
      </c>
    </row>
    <row r="17" spans="1:4" x14ac:dyDescent="0.25">
      <c r="A17" s="46">
        <f>'DIA 10'!B$6</f>
        <v>44783</v>
      </c>
      <c r="B17" s="199">
        <f>'DIA 10'!B$68</f>
        <v>7566.4699999999993</v>
      </c>
      <c r="C17" s="199">
        <f>'DIA 10'!B$69</f>
        <v>7566.47</v>
      </c>
      <c r="D17" s="199">
        <f t="shared" si="0"/>
        <v>0</v>
      </c>
    </row>
    <row r="18" spans="1:4" x14ac:dyDescent="0.25">
      <c r="A18" s="46">
        <f>'DIA 11'!B$6</f>
        <v>44784</v>
      </c>
      <c r="B18" s="199">
        <f>'DIA 11'!B$68</f>
        <v>7531.2100000000009</v>
      </c>
      <c r="C18" s="199">
        <f>'DIA 11'!B$69</f>
        <v>7531.21</v>
      </c>
      <c r="D18" s="199">
        <f t="shared" si="0"/>
        <v>0</v>
      </c>
    </row>
    <row r="19" spans="1:4" x14ac:dyDescent="0.25">
      <c r="A19" s="46">
        <f>'DIA 12'!B$6</f>
        <v>44785</v>
      </c>
      <c r="B19" s="199">
        <f>'DIA 12'!B$68</f>
        <v>11753.76</v>
      </c>
      <c r="C19" s="199">
        <f>'DIA 12'!B$69</f>
        <v>11681.48</v>
      </c>
      <c r="D19" s="199">
        <f t="shared" si="0"/>
        <v>-72.280000000000655</v>
      </c>
    </row>
    <row r="20" spans="1:4" x14ac:dyDescent="0.25">
      <c r="A20" s="46">
        <f>'DIA 13'!B$6</f>
        <v>44786</v>
      </c>
      <c r="B20" s="199">
        <f>'DIA 13'!B$68</f>
        <v>11413.72</v>
      </c>
      <c r="C20" s="199">
        <f>'DIA 13'!B$69</f>
        <v>11308.22</v>
      </c>
      <c r="D20" s="199">
        <f t="shared" si="0"/>
        <v>-105.5</v>
      </c>
    </row>
    <row r="21" spans="1:4" x14ac:dyDescent="0.25">
      <c r="A21" s="46">
        <f>'DIA 14'!B$6</f>
        <v>44787</v>
      </c>
      <c r="B21" s="199">
        <f>'DIA 14'!B$68</f>
        <v>11913.29</v>
      </c>
      <c r="C21" s="199">
        <f>'DIA 14'!B$69</f>
        <v>11823.06</v>
      </c>
      <c r="D21" s="199">
        <f t="shared" si="0"/>
        <v>-90.230000000001382</v>
      </c>
    </row>
    <row r="22" spans="1:4" x14ac:dyDescent="0.25">
      <c r="A22" s="46">
        <f>'DIA 15'!B$6</f>
        <v>44788</v>
      </c>
      <c r="B22" s="199">
        <f>'DIA 15'!B$68</f>
        <v>8971.82</v>
      </c>
      <c r="C22" s="199">
        <f>'DIA 15'!B$69</f>
        <v>8928.5499999999993</v>
      </c>
      <c r="D22" s="199">
        <f t="shared" si="0"/>
        <v>-43.270000000000437</v>
      </c>
    </row>
    <row r="23" spans="1:4" x14ac:dyDescent="0.25">
      <c r="A23" s="46">
        <f>'DIA 16'!B$6</f>
        <v>44758</v>
      </c>
      <c r="B23" s="199">
        <f>'DIA 16'!B$68</f>
        <v>11079.93</v>
      </c>
      <c r="C23" s="199">
        <f>'DIA 16'!B$69</f>
        <v>11188.02</v>
      </c>
      <c r="D23" s="199">
        <f t="shared" si="0"/>
        <v>108.09000000000015</v>
      </c>
    </row>
    <row r="24" spans="1:4" x14ac:dyDescent="0.25">
      <c r="A24" s="46">
        <f>'DIA 17'!B$6</f>
        <v>44759</v>
      </c>
      <c r="B24" s="199">
        <f>'DIA 17'!B$68</f>
        <v>13476.48</v>
      </c>
      <c r="C24" s="199">
        <f>'DIA 17'!B$69</f>
        <v>13623.31</v>
      </c>
      <c r="D24" s="199">
        <f t="shared" si="0"/>
        <v>146.82999999999993</v>
      </c>
    </row>
    <row r="25" spans="1:4" x14ac:dyDescent="0.25">
      <c r="A25" s="46">
        <f>'DIA 18'!B$6</f>
        <v>44760</v>
      </c>
      <c r="B25" s="199">
        <f>'DIA 18'!B$68</f>
        <v>7531.37</v>
      </c>
      <c r="C25" s="199">
        <f>'DIA 18'!B$69</f>
        <v>7584.98</v>
      </c>
      <c r="D25" s="199">
        <f t="shared" si="0"/>
        <v>53.609999999999673</v>
      </c>
    </row>
    <row r="26" spans="1:4" x14ac:dyDescent="0.25">
      <c r="A26" s="46">
        <f>'DIA 19'!B$6</f>
        <v>44761</v>
      </c>
      <c r="B26" s="199">
        <f>'DIA 19'!B$68</f>
        <v>6516.03</v>
      </c>
      <c r="C26" s="199">
        <f>'DIA 19'!B$69</f>
        <v>6565.87</v>
      </c>
      <c r="D26" s="199">
        <f t="shared" si="0"/>
        <v>49.840000000000146</v>
      </c>
    </row>
    <row r="27" spans="1:4" x14ac:dyDescent="0.25">
      <c r="A27" s="46">
        <f>'DIA 20'!B$6</f>
        <v>44732</v>
      </c>
      <c r="B27" s="199">
        <f>'DIA 20'!B$68</f>
        <v>6645.29</v>
      </c>
      <c r="C27" s="199">
        <f>'DIA 20'!B$69</f>
        <v>6703.42</v>
      </c>
      <c r="D27" s="199">
        <f t="shared" si="0"/>
        <v>58.130000000000109</v>
      </c>
    </row>
    <row r="28" spans="1:4" x14ac:dyDescent="0.25">
      <c r="A28" s="46">
        <f>'DIA 21'!B$6</f>
        <v>44763</v>
      </c>
      <c r="B28" s="199">
        <f>'DIA 21'!B$68</f>
        <v>9301.31</v>
      </c>
      <c r="C28" s="199">
        <f>'DIA 21'!B$69</f>
        <v>9356.44</v>
      </c>
      <c r="D28" s="199">
        <f t="shared" si="0"/>
        <v>55.130000000001019</v>
      </c>
    </row>
    <row r="29" spans="1:4" x14ac:dyDescent="0.25">
      <c r="A29" s="46">
        <f>'DIA 22'!B$6</f>
        <v>44764</v>
      </c>
      <c r="B29" s="199">
        <f>'DIA 22'!B$68</f>
        <v>9587.25</v>
      </c>
      <c r="C29" s="199">
        <f>'DIA 22'!B$69</f>
        <v>9642.7999999999993</v>
      </c>
      <c r="D29" s="199">
        <f t="shared" si="0"/>
        <v>55.549999999999272</v>
      </c>
    </row>
    <row r="30" spans="1:4" x14ac:dyDescent="0.25">
      <c r="A30" s="46">
        <f>'DIA 23'!B$6</f>
        <v>44765</v>
      </c>
      <c r="B30" s="199">
        <f>'DIA 23'!B$68</f>
        <v>11094.06</v>
      </c>
      <c r="C30" s="199">
        <f>'DIA 23'!B$69</f>
        <v>11176.53</v>
      </c>
      <c r="D30" s="199">
        <f t="shared" si="0"/>
        <v>82.470000000001164</v>
      </c>
    </row>
    <row r="31" spans="1:4" x14ac:dyDescent="0.25">
      <c r="A31" s="46">
        <f>'DIA 24'!B$6</f>
        <v>44766</v>
      </c>
      <c r="B31" s="199">
        <f>'DIA 24'!B$68</f>
        <v>12692.75</v>
      </c>
      <c r="C31" s="199">
        <f>'DIA 24'!B$69</f>
        <v>12800.9</v>
      </c>
      <c r="D31" s="199">
        <f t="shared" si="0"/>
        <v>108.14999999999964</v>
      </c>
    </row>
    <row r="32" spans="1:4" x14ac:dyDescent="0.25">
      <c r="A32" s="46">
        <f>'DIA 25'!B$6</f>
        <v>44767</v>
      </c>
      <c r="B32" s="199">
        <f>'DIA 25'!B$68</f>
        <v>9838.86</v>
      </c>
      <c r="C32" s="199">
        <f>'DIA 25'!B$69</f>
        <v>9897.85</v>
      </c>
      <c r="D32" s="199">
        <f t="shared" si="0"/>
        <v>58.989999999999782</v>
      </c>
    </row>
    <row r="33" spans="1:6" x14ac:dyDescent="0.25">
      <c r="A33" s="46">
        <f>'DIA 26'!B$6</f>
        <v>44768</v>
      </c>
      <c r="B33" s="199">
        <f>'DIA 26'!B$68</f>
        <v>9919.7999999999993</v>
      </c>
      <c r="C33" s="199">
        <f>'DIA 26'!B$69</f>
        <v>9919.7999999999993</v>
      </c>
      <c r="D33" s="199">
        <f t="shared" si="0"/>
        <v>0</v>
      </c>
    </row>
    <row r="34" spans="1:6" x14ac:dyDescent="0.25">
      <c r="A34" s="46">
        <f>'DIA 27'!B$6</f>
        <v>44769</v>
      </c>
      <c r="B34" s="199">
        <f>'DIA 27'!B$68</f>
        <v>8015.63</v>
      </c>
      <c r="C34" s="199">
        <f>'DIA 27'!B$69</f>
        <v>7966.06</v>
      </c>
      <c r="D34" s="199">
        <f t="shared" si="0"/>
        <v>-49.569999999999709</v>
      </c>
    </row>
    <row r="35" spans="1:6" x14ac:dyDescent="0.25">
      <c r="A35" s="46">
        <f>'DIA 28'!B$6</f>
        <v>44770</v>
      </c>
      <c r="B35" s="199">
        <f>'DIA 28'!B$68</f>
        <v>7695.65</v>
      </c>
      <c r="C35" s="199">
        <f>'DIA 28'!B$69</f>
        <v>7640.94</v>
      </c>
      <c r="D35" s="199">
        <f t="shared" si="0"/>
        <v>-54.710000000000036</v>
      </c>
    </row>
    <row r="36" spans="1:6" x14ac:dyDescent="0.25">
      <c r="A36" s="46">
        <f>'DIA 29'!B$6</f>
        <v>44771</v>
      </c>
      <c r="B36" s="199">
        <f>'DIA 29'!B$68</f>
        <v>11010.42</v>
      </c>
      <c r="C36" s="199">
        <f>'DIA 29'!B$69</f>
        <v>10959.44</v>
      </c>
      <c r="D36" s="199">
        <f t="shared" si="0"/>
        <v>-50.979999999999563</v>
      </c>
    </row>
    <row r="37" spans="1:6" x14ac:dyDescent="0.25">
      <c r="A37" s="46">
        <f>'DIA 30'!B$6</f>
        <v>44772</v>
      </c>
      <c r="B37" s="199">
        <f>'DIA 30'!B$68</f>
        <v>12426.74</v>
      </c>
      <c r="C37" s="199">
        <f>'DIA 30'!B$69</f>
        <v>12329.71</v>
      </c>
      <c r="D37" s="199">
        <f t="shared" si="0"/>
        <v>-97.030000000000655</v>
      </c>
    </row>
    <row r="38" spans="1:6" x14ac:dyDescent="0.25">
      <c r="A38" s="46">
        <f>'DIA 31'!B$6</f>
        <v>44773</v>
      </c>
      <c r="B38" s="199">
        <f>'DIA 31'!B$68</f>
        <v>10886.79</v>
      </c>
      <c r="C38" s="199">
        <f>'DIA 31'!B$69</f>
        <v>10796.12</v>
      </c>
      <c r="D38" s="199">
        <f t="shared" si="0"/>
        <v>-90.670000000000073</v>
      </c>
    </row>
    <row r="39" spans="1:6" x14ac:dyDescent="0.25">
      <c r="A39" s="47" t="s">
        <v>38</v>
      </c>
      <c r="B39" s="30">
        <f>SUM(B8:B38)</f>
        <v>295093.73</v>
      </c>
      <c r="C39" s="30">
        <f>SUM(C8:C38)</f>
        <v>294671.49</v>
      </c>
      <c r="D39" s="29">
        <f>SUM(D8:D38)</f>
        <v>-422.24000000000251</v>
      </c>
    </row>
    <row r="40" spans="1:6" x14ac:dyDescent="0.25">
      <c r="A40" s="31" t="s">
        <v>39</v>
      </c>
    </row>
    <row r="41" spans="1:6" x14ac:dyDescent="0.25">
      <c r="A41" s="48" t="s">
        <v>40</v>
      </c>
      <c r="B41" s="200">
        <f>MAX(B8:B38)</f>
        <v>13476.48</v>
      </c>
      <c r="C41" s="200">
        <f>MAX(C8:C38)</f>
        <v>13623.31</v>
      </c>
      <c r="D41" s="200">
        <f>MAX(D8:D38)</f>
        <v>146.82999999999993</v>
      </c>
    </row>
    <row r="42" spans="1:6" x14ac:dyDescent="0.25">
      <c r="A42" s="48" t="s">
        <v>41</v>
      </c>
      <c r="B42" s="200">
        <f>DMIN(B7:B38,B7,B44:B45)</f>
        <v>5800.57</v>
      </c>
      <c r="C42" s="200">
        <f>DMIN(C7:C38,C7,C44:C45)</f>
        <v>5747.4</v>
      </c>
      <c r="D42" s="200">
        <f>MIN(D8:D38)</f>
        <v>-124.98999999999978</v>
      </c>
    </row>
    <row r="43" spans="1:6" x14ac:dyDescent="0.25">
      <c r="A43" s="48" t="s">
        <v>42</v>
      </c>
      <c r="B43" s="200">
        <f>AVERAGE(B8:B38)</f>
        <v>9519.1525806451609</v>
      </c>
      <c r="C43" s="200">
        <f>AVERAGE(C8:C38)</f>
        <v>9505.5319354838703</v>
      </c>
      <c r="D43" s="200"/>
    </row>
    <row r="44" spans="1:6" x14ac:dyDescent="0.25">
      <c r="B44" s="41" t="str">
        <f>B7</f>
        <v>VENTAS Z</v>
      </c>
      <c r="C44" s="41" t="str">
        <f>C7</f>
        <v>VENTAS REPORTE</v>
      </c>
      <c r="D44" s="31" t="s">
        <v>47</v>
      </c>
    </row>
    <row r="45" spans="1:6" x14ac:dyDescent="0.25">
      <c r="B45" s="41" t="s">
        <v>48</v>
      </c>
      <c r="C45" s="41" t="s">
        <v>48</v>
      </c>
    </row>
    <row r="46" spans="1:6" x14ac:dyDescent="0.25">
      <c r="E46" s="41" t="s">
        <v>48</v>
      </c>
      <c r="F46" s="41" t="s">
        <v>48</v>
      </c>
    </row>
  </sheetData>
  <mergeCells count="5">
    <mergeCell ref="A1:A3"/>
    <mergeCell ref="B1:G1"/>
    <mergeCell ref="B2:G2"/>
    <mergeCell ref="B3:G3"/>
    <mergeCell ref="A4:G4"/>
  </mergeCells>
  <conditionalFormatting sqref="D8:D39">
    <cfRule type="expression" dxfId="97" priority="4">
      <formula>0</formula>
    </cfRule>
    <cfRule type="cellIs" dxfId="96" priority="5" operator="lessThan">
      <formula>0</formula>
    </cfRule>
    <cfRule type="cellIs" dxfId="95" priority="6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42" zoomScale="90" zoomScaleNormal="90" workbookViewId="0">
      <selection activeCell="J60" sqref="J6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44775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5.78</v>
      </c>
      <c r="C8" s="85" t="s">
        <v>94</v>
      </c>
      <c r="D8" s="108"/>
    </row>
    <row r="9" spans="1:28" x14ac:dyDescent="0.25">
      <c r="A9" s="7" t="s">
        <v>78</v>
      </c>
      <c r="B9" s="108">
        <v>5.8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266+147+253.5</f>
        <v>666.5</v>
      </c>
      <c r="C12" s="15"/>
      <c r="D12" s="56"/>
      <c r="E12" s="16"/>
      <c r="F12" s="56"/>
      <c r="G12" s="56"/>
      <c r="H12" s="17"/>
      <c r="I12" s="83">
        <v>666.5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263" t="s">
        <v>216</v>
      </c>
      <c r="P12" s="256">
        <v>133</v>
      </c>
      <c r="Q12" s="256">
        <v>1001</v>
      </c>
      <c r="R12" s="255">
        <v>636.66999999999996</v>
      </c>
      <c r="S12" s="256"/>
      <c r="T12" s="256">
        <v>73.97</v>
      </c>
      <c r="U12" s="189">
        <f>((T12/U$10)*U$9)</f>
        <v>3.1883620689655174</v>
      </c>
      <c r="V12" s="189">
        <f>R12*V$10</f>
        <v>4.7750249999999994</v>
      </c>
      <c r="W12" s="189">
        <f>+S12*V$10</f>
        <v>0</v>
      </c>
      <c r="X12" s="189">
        <f>+T12*X$10</f>
        <v>1.8492500000000001</v>
      </c>
      <c r="Y12" s="189">
        <f>R12-V12</f>
        <v>631.89497499999993</v>
      </c>
      <c r="Z12" s="189">
        <f>S12-W12</f>
        <v>0</v>
      </c>
      <c r="AA12" s="189">
        <f>T12-U12-X12</f>
        <v>68.932387931034484</v>
      </c>
      <c r="AB12" s="156"/>
    </row>
    <row r="13" spans="1:28" ht="15.75" x14ac:dyDescent="0.25">
      <c r="A13" s="86" t="s">
        <v>76</v>
      </c>
      <c r="B13" s="89">
        <f>6+106+103+31</f>
        <v>246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246</v>
      </c>
      <c r="K13" s="75"/>
      <c r="L13" s="186">
        <f t="shared" ref="L13:L44" si="1">+G13-K13</f>
        <v>0</v>
      </c>
      <c r="M13" s="106"/>
      <c r="N13" s="104">
        <v>2</v>
      </c>
      <c r="O13" s="263" t="s">
        <v>216</v>
      </c>
      <c r="P13" s="256"/>
      <c r="Q13" s="256"/>
      <c r="R13" s="255"/>
      <c r="S13" s="256"/>
      <c r="T13" s="256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1421.88</v>
      </c>
      <c r="C14" s="15"/>
      <c r="D14" s="56"/>
      <c r="E14" s="16"/>
      <c r="F14" s="56"/>
      <c r="G14" s="56"/>
      <c r="H14" s="17"/>
      <c r="I14" s="83"/>
      <c r="J14" s="81">
        <f t="shared" si="0"/>
        <v>1421.88</v>
      </c>
      <c r="K14" s="80"/>
      <c r="L14" s="186">
        <f t="shared" si="1"/>
        <v>0</v>
      </c>
      <c r="M14" s="107"/>
      <c r="N14" s="104">
        <v>3</v>
      </c>
      <c r="O14" s="263" t="s">
        <v>216</v>
      </c>
      <c r="P14" s="256">
        <v>265</v>
      </c>
      <c r="Q14" s="256">
        <v>2001</v>
      </c>
      <c r="R14" s="255">
        <v>1021.97</v>
      </c>
      <c r="S14" s="256"/>
      <c r="T14" s="256"/>
      <c r="U14" s="189">
        <f t="shared" si="2"/>
        <v>0</v>
      </c>
      <c r="V14" s="189">
        <f t="shared" si="3"/>
        <v>7.6647749999999997</v>
      </c>
      <c r="W14" s="189">
        <f t="shared" si="4"/>
        <v>0</v>
      </c>
      <c r="X14" s="189">
        <f t="shared" si="5"/>
        <v>0</v>
      </c>
      <c r="Y14" s="189">
        <f t="shared" si="6"/>
        <v>1014.3052250000001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f>2</f>
        <v>2</v>
      </c>
      <c r="C15" s="15"/>
      <c r="D15" s="56"/>
      <c r="E15" s="16"/>
      <c r="F15" s="56"/>
      <c r="G15" s="56"/>
      <c r="H15" s="17"/>
      <c r="I15" s="83"/>
      <c r="J15" s="81">
        <f t="shared" si="0"/>
        <v>2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11.6</v>
      </c>
      <c r="C16" s="15"/>
      <c r="D16" s="56"/>
      <c r="E16" s="16"/>
      <c r="F16" s="56"/>
      <c r="G16" s="56"/>
      <c r="H16" s="17"/>
      <c r="I16" s="83"/>
      <c r="J16" s="81">
        <f t="shared" si="0"/>
        <v>11.6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248</v>
      </c>
      <c r="C19" s="95"/>
      <c r="D19" s="94"/>
      <c r="E19" s="96"/>
      <c r="F19" s="94"/>
      <c r="G19" s="94"/>
      <c r="H19" s="98"/>
      <c r="I19" s="99">
        <v>248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1433.48</v>
      </c>
      <c r="C20" s="95"/>
      <c r="D20" s="94"/>
      <c r="E20" s="96"/>
      <c r="F20" s="94"/>
      <c r="G20" s="94"/>
      <c r="H20" s="98"/>
      <c r="I20" s="99">
        <v>1448.32</v>
      </c>
      <c r="J20" s="185">
        <f t="shared" si="0"/>
        <v>-14.839999999999918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1658.6399999999999</v>
      </c>
      <c r="S42" s="190">
        <f t="shared" si="8"/>
        <v>0</v>
      </c>
      <c r="T42" s="190">
        <f t="shared" si="8"/>
        <v>73.97</v>
      </c>
      <c r="U42" s="190">
        <f t="shared" si="8"/>
        <v>3.1883620689655174</v>
      </c>
      <c r="V42" s="190">
        <f t="shared" si="8"/>
        <v>12.439799999999998</v>
      </c>
      <c r="W42" s="190">
        <f t="shared" si="8"/>
        <v>0</v>
      </c>
      <c r="X42" s="190">
        <f t="shared" si="8"/>
        <v>1.8492500000000001</v>
      </c>
      <c r="Y42" s="190">
        <f t="shared" si="8"/>
        <v>1646.2002</v>
      </c>
      <c r="Z42" s="190">
        <f t="shared" si="8"/>
        <v>0</v>
      </c>
      <c r="AA42" s="190">
        <f t="shared" si="8"/>
        <v>68.932387931034484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218</v>
      </c>
      <c r="B46" s="117">
        <f>R42</f>
        <v>1658.6399999999999</v>
      </c>
      <c r="C46" s="116">
        <v>7.4999999999999997E-3</v>
      </c>
      <c r="D46" s="117">
        <f>B46*C46</f>
        <v>12.439799999999998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1646.2001999999998</v>
      </c>
      <c r="H46" s="173">
        <f>B$6+1</f>
        <v>44776</v>
      </c>
      <c r="I46" s="174"/>
      <c r="J46" s="81">
        <f t="shared" si="0"/>
        <v>1658.6399999999999</v>
      </c>
      <c r="K46" s="80">
        <v>1646.2</v>
      </c>
      <c r="L46" s="186">
        <f t="shared" ref="L46:L64" si="17">+G46-K46</f>
        <v>1.9999999972242222E-4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44776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44776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2169.66</v>
      </c>
      <c r="C49" s="116">
        <v>7.4999999999999997E-3</v>
      </c>
      <c r="D49" s="117">
        <f t="shared" si="18"/>
        <v>16.272449999999999</v>
      </c>
      <c r="E49" s="172">
        <v>0</v>
      </c>
      <c r="F49" s="117">
        <f t="shared" si="15"/>
        <v>0</v>
      </c>
      <c r="G49" s="117">
        <f t="shared" si="16"/>
        <v>2153.3875499999999</v>
      </c>
      <c r="H49" s="173">
        <f t="shared" si="19"/>
        <v>44776</v>
      </c>
      <c r="I49" s="176">
        <f>1658.64+2169.66</f>
        <v>3828.3</v>
      </c>
      <c r="J49" s="81">
        <f t="shared" si="0"/>
        <v>-1658.6400000000003</v>
      </c>
      <c r="K49" s="80">
        <v>2153.39</v>
      </c>
      <c r="L49" s="186">
        <f t="shared" si="17"/>
        <v>-2.4499999999534339E-3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215.64999999999998</v>
      </c>
      <c r="C50" s="116">
        <v>7.4999999999999997E-3</v>
      </c>
      <c r="D50" s="117">
        <f t="shared" si="18"/>
        <v>1.6173749999999998</v>
      </c>
      <c r="E50" s="172">
        <v>0</v>
      </c>
      <c r="F50" s="117">
        <f t="shared" si="15"/>
        <v>0</v>
      </c>
      <c r="G50" s="117">
        <f t="shared" si="16"/>
        <v>214.03262499999997</v>
      </c>
      <c r="H50" s="173">
        <f t="shared" si="19"/>
        <v>44776</v>
      </c>
      <c r="I50" s="175">
        <v>535.36</v>
      </c>
      <c r="J50" s="81">
        <f t="shared" si="0"/>
        <v>-319.71000000000004</v>
      </c>
      <c r="K50" s="80">
        <v>214.03</v>
      </c>
      <c r="L50" s="186">
        <f t="shared" si="17"/>
        <v>2.6249999999663487E-3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319.70999999999998</v>
      </c>
      <c r="C51" s="116">
        <v>1.4999999999999999E-2</v>
      </c>
      <c r="D51" s="117">
        <f>+B51*C51</f>
        <v>4.7956499999999993</v>
      </c>
      <c r="E51" s="172">
        <v>0</v>
      </c>
      <c r="F51" s="117">
        <f>D51*E51</f>
        <v>0</v>
      </c>
      <c r="G51" s="117">
        <f t="shared" si="16"/>
        <v>314.91434999999996</v>
      </c>
      <c r="H51" s="173">
        <f t="shared" si="19"/>
        <v>44776</v>
      </c>
      <c r="I51" s="175"/>
      <c r="J51" s="81">
        <f t="shared" si="0"/>
        <v>319.70999999999998</v>
      </c>
      <c r="K51" s="80">
        <v>314.91000000000003</v>
      </c>
      <c r="L51" s="186">
        <f t="shared" si="17"/>
        <v>4.3499999999312422E-3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210</v>
      </c>
      <c r="B52" s="117">
        <f>T42</f>
        <v>73.97</v>
      </c>
      <c r="C52" s="116">
        <v>2.5000000000000001E-2</v>
      </c>
      <c r="D52" s="117">
        <f>B52*C52</f>
        <v>1.8492500000000001</v>
      </c>
      <c r="E52" s="172">
        <v>0.05</v>
      </c>
      <c r="F52" s="117">
        <f>(B52/E$10)*E52</f>
        <v>3.1883620689655174</v>
      </c>
      <c r="G52" s="117">
        <f>B52-D52-F52</f>
        <v>68.932387931034484</v>
      </c>
      <c r="H52" s="188">
        <f t="shared" si="19"/>
        <v>44776</v>
      </c>
      <c r="I52" s="176"/>
      <c r="J52" s="81">
        <f t="shared" si="0"/>
        <v>73.97</v>
      </c>
      <c r="K52" s="80">
        <v>68.930000000000007</v>
      </c>
      <c r="L52" s="186">
        <f t="shared" si="17"/>
        <v>2.3879310344767646E-3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189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44776</v>
      </c>
      <c r="I56" s="176">
        <v>73.97</v>
      </c>
      <c r="J56" s="81">
        <f t="shared" si="0"/>
        <v>-73.97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36.974524999999993</v>
      </c>
      <c r="E61" s="177"/>
      <c r="F61" s="57">
        <f>SUM(F46:F58)</f>
        <v>3.1883620689655174</v>
      </c>
      <c r="G61" s="57">
        <f>SUM(G46:G58)</f>
        <v>4397.4671129310336</v>
      </c>
      <c r="H61" s="173">
        <f t="shared" si="19"/>
        <v>44776</v>
      </c>
      <c r="I61" s="175"/>
      <c r="J61" s="81">
        <f t="shared" si="0"/>
        <v>0</v>
      </c>
      <c r="K61" s="80"/>
      <c r="L61" s="186">
        <f t="shared" si="17"/>
        <v>4397.4671129310336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44776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8794.9342258620673</v>
      </c>
      <c r="H64" s="184"/>
      <c r="I64" s="175"/>
      <c r="J64" s="81">
        <f t="shared" si="0"/>
        <v>0</v>
      </c>
      <c r="K64" s="80"/>
      <c r="L64" s="186">
        <f t="shared" si="17"/>
        <v>8794.9342258620673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6537.61</v>
      </c>
      <c r="G65" s="22"/>
      <c r="L65" s="132"/>
      <c r="M65" s="131"/>
      <c r="N65" s="87">
        <v>2</v>
      </c>
      <c r="O65" s="122" t="s">
        <v>176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176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176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f>220.62+2647.37+1999.04+1663.36</f>
        <v>6530.3899999999994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176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6492.84</v>
      </c>
      <c r="C69" s="59"/>
      <c r="F69" s="87" t="s">
        <v>129</v>
      </c>
      <c r="G69" s="22">
        <f>+G46</f>
        <v>1646.2001999999998</v>
      </c>
      <c r="H69" s="89">
        <f>+G52</f>
        <v>68.932387931034484</v>
      </c>
      <c r="I69" s="136"/>
      <c r="J69" s="136">
        <f>K52</f>
        <v>68.930000000000007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37.549999999999272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264" t="s">
        <v>176</v>
      </c>
      <c r="P70" s="265">
        <v>63</v>
      </c>
      <c r="Q70" s="265">
        <v>2003</v>
      </c>
      <c r="R70" s="265">
        <f>189.3+1047.74</f>
        <v>1237.04</v>
      </c>
      <c r="S70" s="265"/>
      <c r="T70" s="265"/>
      <c r="U70" s="189">
        <f t="shared" ref="U70:U74" si="34">((T70/U$10)*U$9)</f>
        <v>0</v>
      </c>
      <c r="V70" s="189">
        <f t="shared" ref="V70:V74" si="35">R70*V$10</f>
        <v>9.2777999999999992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1227.7621999999999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7.2200000000002547</v>
      </c>
      <c r="C71" s="64"/>
      <c r="F71" s="87" t="s">
        <v>131</v>
      </c>
      <c r="G71" s="137"/>
      <c r="H71" s="87"/>
      <c r="I71" s="81">
        <f>+I69-G69-G70-G71-G72-G73</f>
        <v>-1646.2001999999998</v>
      </c>
      <c r="J71" s="81">
        <f>+J69-H69-H70-H71-H72-H73</f>
        <v>-2.3879310344767646E-3</v>
      </c>
      <c r="N71" s="87">
        <v>2</v>
      </c>
      <c r="O71" s="264" t="s">
        <v>176</v>
      </c>
      <c r="P71" s="265">
        <v>752</v>
      </c>
      <c r="Q71" s="265">
        <v>2002</v>
      </c>
      <c r="R71" s="266">
        <f>74.13+858.49</f>
        <v>932.62</v>
      </c>
      <c r="S71" s="265"/>
      <c r="T71" s="266"/>
      <c r="U71" s="189">
        <f t="shared" si="34"/>
        <v>0</v>
      </c>
      <c r="V71" s="189">
        <f t="shared" si="35"/>
        <v>6.99465</v>
      </c>
      <c r="W71" s="189">
        <f t="shared" si="36"/>
        <v>0</v>
      </c>
      <c r="X71" s="189">
        <f t="shared" si="37"/>
        <v>0</v>
      </c>
      <c r="Y71" s="189">
        <f t="shared" si="38"/>
        <v>925.62535000000003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272" t="s">
        <v>216</v>
      </c>
      <c r="P72" s="228"/>
      <c r="Q72" s="228"/>
      <c r="R72" s="222"/>
      <c r="S72" s="228"/>
      <c r="T72" s="228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272" t="s">
        <v>216</v>
      </c>
      <c r="P73" s="228"/>
      <c r="Q73" s="228"/>
      <c r="R73" s="222"/>
      <c r="S73" s="228"/>
      <c r="T73" s="228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1646.2001999999998</v>
      </c>
      <c r="H74" s="89">
        <f t="shared" ref="H74" si="40">+H69+H70+H71+H72+H73</f>
        <v>68.932387931034484</v>
      </c>
      <c r="N74" s="87">
        <v>5</v>
      </c>
      <c r="O74" s="272" t="s">
        <v>216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2169.66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16.272449999999999</v>
      </c>
      <c r="W75" s="192">
        <f t="shared" si="41"/>
        <v>0</v>
      </c>
      <c r="X75" s="192">
        <f t="shared" si="41"/>
        <v>0</v>
      </c>
      <c r="Y75" s="192">
        <f t="shared" si="41"/>
        <v>2153.3875499999999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24.5+99.46</f>
        <v>123.96</v>
      </c>
      <c r="R78" s="82">
        <v>7.4999999999999997E-3</v>
      </c>
      <c r="S78" s="194">
        <f>+(P78+Q78)*R78</f>
        <v>0.92969999999999997</v>
      </c>
      <c r="T78" s="246">
        <f>+(P78+Q78)-S78</f>
        <v>123.0303</v>
      </c>
      <c r="U78" s="211">
        <f>97.81+103.71</f>
        <v>201.51999999999998</v>
      </c>
      <c r="V78" s="112"/>
      <c r="W78" s="113">
        <v>1.4999999999999999E-2</v>
      </c>
      <c r="X78" s="196">
        <f>+(U78+V78)*W78</f>
        <v>3.0227999999999997</v>
      </c>
      <c r="Y78" s="258">
        <f>+(U78+V78)-X78</f>
        <v>198.49719999999999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214.03</v>
      </c>
      <c r="N79" s="87">
        <v>2</v>
      </c>
      <c r="O79" s="87" t="s">
        <v>112</v>
      </c>
      <c r="P79" s="137"/>
      <c r="Q79" s="87">
        <f>91.69</f>
        <v>91.69</v>
      </c>
      <c r="R79" s="82">
        <v>7.4999999999999997E-3</v>
      </c>
      <c r="S79" s="194">
        <f t="shared" ref="S79:S97" si="43">+(P79+Q79)*R79</f>
        <v>0.68767499999999993</v>
      </c>
      <c r="T79" s="246">
        <f t="shared" ref="T79:T97" si="44">+(P79+Q79)-S79</f>
        <v>91.002324999999999</v>
      </c>
      <c r="U79" s="211">
        <v>118.19</v>
      </c>
      <c r="V79" s="112"/>
      <c r="W79" s="113">
        <v>1.4999999999999999E-2</v>
      </c>
      <c r="X79" s="196">
        <f t="shared" ref="X79:X97" si="45">+(U79+V79)*W79</f>
        <v>1.7728499999999998</v>
      </c>
      <c r="Y79" s="258">
        <f t="shared" ref="Y79:Y97" si="46">+(U79+V79)-X79</f>
        <v>116.41714999999999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87"/>
      <c r="R80" s="82">
        <v>7.4999999999999997E-3</v>
      </c>
      <c r="S80" s="194">
        <f t="shared" si="43"/>
        <v>0</v>
      </c>
      <c r="T80" s="246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58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214.03</v>
      </c>
      <c r="N81" s="87">
        <v>4</v>
      </c>
      <c r="O81" s="87" t="s">
        <v>112</v>
      </c>
      <c r="P81" s="137"/>
      <c r="Q81" s="87"/>
      <c r="R81" s="82">
        <v>7.4999999999999997E-3</v>
      </c>
      <c r="S81" s="194">
        <f t="shared" si="43"/>
        <v>0</v>
      </c>
      <c r="T81" s="213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3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3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215.64999999999998</v>
      </c>
      <c r="R98" s="111"/>
      <c r="S98" s="195">
        <f>SUM(S78:S97)</f>
        <v>1.617375</v>
      </c>
      <c r="T98" s="195">
        <f>SUM(T78:T97)</f>
        <v>214.032625</v>
      </c>
      <c r="U98" s="114">
        <f>SUM(U78:U97)</f>
        <v>319.70999999999998</v>
      </c>
      <c r="V98" s="114">
        <f>SUM(V78:V97)</f>
        <v>0</v>
      </c>
      <c r="W98" s="112"/>
      <c r="X98" s="197">
        <f>SUM(X78:X97)</f>
        <v>4.7956499999999993</v>
      </c>
      <c r="Y98" s="197">
        <f>SUM(Y78:Y97)</f>
        <v>314.91435000000001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  <c r="Q100" s="84"/>
    </row>
    <row r="101" spans="14:30" x14ac:dyDescent="0.25">
      <c r="N101" s="85"/>
      <c r="P101" s="84"/>
      <c r="Q101" s="215">
        <f>P78+U78+Q78</f>
        <v>325.47999999999996</v>
      </c>
    </row>
    <row r="102" spans="14:30" x14ac:dyDescent="0.25">
      <c r="N102" s="85"/>
      <c r="P102" s="84"/>
      <c r="Q102" s="215">
        <f>P79+U79+Q79</f>
        <v>209.88</v>
      </c>
    </row>
    <row r="103" spans="14:30" x14ac:dyDescent="0.25">
      <c r="N103" s="85"/>
      <c r="P103" s="84"/>
      <c r="Q103" s="215">
        <f>P80+Q80+U80</f>
        <v>0</v>
      </c>
    </row>
    <row r="104" spans="14:30" x14ac:dyDescent="0.25">
      <c r="N104" s="85"/>
      <c r="P104" s="84"/>
      <c r="Q104" s="215">
        <f>P81+Q81+U81</f>
        <v>0</v>
      </c>
    </row>
    <row r="105" spans="14:30" x14ac:dyDescent="0.25">
      <c r="N105" s="85"/>
      <c r="P105" s="84"/>
      <c r="Q105" s="236">
        <f>P82+Q82+U82</f>
        <v>0</v>
      </c>
    </row>
    <row r="106" spans="14:30" x14ac:dyDescent="0.25">
      <c r="N106" s="85"/>
      <c r="Q106" s="221">
        <f>P83+U83+Q83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9" priority="1" operator="greaterThan">
      <formula>0</formula>
    </cfRule>
    <cfRule type="cellIs" dxfId="5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27" zoomScale="90" zoomScaleNormal="90" workbookViewId="0">
      <selection activeCell="L56" sqref="L5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" style="85" customWidth="1"/>
    <col min="16" max="17" width="17" style="85" customWidth="1"/>
    <col min="18" max="18" width="18.140625" style="85" customWidth="1"/>
    <col min="19" max="19" width="14.285156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44776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5.8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56.5+112.5+296.5+43+11.5</f>
        <v>520</v>
      </c>
      <c r="C12" s="15"/>
      <c r="D12" s="56"/>
      <c r="E12" s="16"/>
      <c r="F12" s="56"/>
      <c r="G12" s="56"/>
      <c r="H12" s="17"/>
      <c r="I12" s="83">
        <v>520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273" t="s">
        <v>219</v>
      </c>
      <c r="P12" s="247">
        <v>234</v>
      </c>
      <c r="Q12" s="247">
        <v>2001</v>
      </c>
      <c r="R12" s="238">
        <f>155.35+188.38</f>
        <v>343.73</v>
      </c>
      <c r="S12" s="247"/>
      <c r="T12" s="238">
        <v>28.87</v>
      </c>
      <c r="U12" s="189">
        <f>((T12/U$10)*U$9)</f>
        <v>1.2443965517241382</v>
      </c>
      <c r="V12" s="189">
        <f>R12*V$10</f>
        <v>2.5779749999999999</v>
      </c>
      <c r="W12" s="189">
        <f>+S12*V$10</f>
        <v>0</v>
      </c>
      <c r="X12" s="189">
        <f>+T12*X$10</f>
        <v>0.72175000000000011</v>
      </c>
      <c r="Y12" s="189">
        <f>R12-V12</f>
        <v>341.15202500000004</v>
      </c>
      <c r="Z12" s="189">
        <f>S12-W12</f>
        <v>0</v>
      </c>
      <c r="AA12" s="189">
        <f>T12-U12-X12</f>
        <v>26.903853448275864</v>
      </c>
      <c r="AB12" s="156"/>
    </row>
    <row r="13" spans="1:28" ht="15.75" x14ac:dyDescent="0.25">
      <c r="A13" s="86" t="s">
        <v>76</v>
      </c>
      <c r="B13" s="89">
        <f>40+48+229+59+1</f>
        <v>377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377</v>
      </c>
      <c r="K13" s="75"/>
      <c r="L13" s="186">
        <f t="shared" ref="L13:L44" si="1">+G13-K13</f>
        <v>0</v>
      </c>
      <c r="M13" s="106"/>
      <c r="N13" s="104">
        <v>2</v>
      </c>
      <c r="O13" s="273" t="s">
        <v>219</v>
      </c>
      <c r="P13" s="247">
        <v>267</v>
      </c>
      <c r="Q13" s="247">
        <v>2001</v>
      </c>
      <c r="R13" s="238">
        <v>428.47</v>
      </c>
      <c r="S13" s="247"/>
      <c r="T13" s="247"/>
      <c r="U13" s="189">
        <f t="shared" ref="U13:U41" si="2">((T13/U$10)*U$9)</f>
        <v>0</v>
      </c>
      <c r="V13" s="189">
        <f t="shared" ref="V13:V41" si="3">R13*V$10</f>
        <v>3.2135250000000002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425.25647500000002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2186.6</v>
      </c>
      <c r="C14" s="15"/>
      <c r="D14" s="56"/>
      <c r="E14" s="16"/>
      <c r="F14" s="56"/>
      <c r="G14" s="56"/>
      <c r="H14" s="17"/>
      <c r="I14" s="83"/>
      <c r="J14" s="81">
        <f t="shared" si="0"/>
        <v>2186.6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377</v>
      </c>
      <c r="C19" s="95"/>
      <c r="D19" s="94"/>
      <c r="E19" s="96"/>
      <c r="F19" s="94"/>
      <c r="G19" s="94"/>
      <c r="H19" s="98"/>
      <c r="I19" s="99">
        <v>377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2186.6</v>
      </c>
      <c r="C20" s="95"/>
      <c r="D20" s="94"/>
      <c r="E20" s="96"/>
      <c r="F20" s="94"/>
      <c r="G20" s="94"/>
      <c r="H20" s="98"/>
      <c r="I20" s="99">
        <v>2201.6799999999998</v>
      </c>
      <c r="J20" s="185">
        <f t="shared" si="0"/>
        <v>-15.079999999999927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772.2</v>
      </c>
      <c r="S42" s="190">
        <f t="shared" si="8"/>
        <v>0</v>
      </c>
      <c r="T42" s="190">
        <f t="shared" si="8"/>
        <v>28.87</v>
      </c>
      <c r="U42" s="190">
        <f t="shared" si="8"/>
        <v>1.2443965517241382</v>
      </c>
      <c r="V42" s="190">
        <f t="shared" si="8"/>
        <v>5.7915000000000001</v>
      </c>
      <c r="W42" s="190">
        <f t="shared" si="8"/>
        <v>0</v>
      </c>
      <c r="X42" s="190">
        <f t="shared" si="8"/>
        <v>0.72175000000000011</v>
      </c>
      <c r="Y42" s="190">
        <f t="shared" si="8"/>
        <v>766.4085</v>
      </c>
      <c r="Z42" s="190">
        <f t="shared" si="8"/>
        <v>0</v>
      </c>
      <c r="AA42" s="190">
        <f t="shared" si="8"/>
        <v>26.903853448275864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218</v>
      </c>
      <c r="B46" s="117">
        <f>R42</f>
        <v>772.2</v>
      </c>
      <c r="C46" s="116">
        <v>7.4999999999999997E-3</v>
      </c>
      <c r="D46" s="117">
        <f>B46*C46</f>
        <v>5.7915000000000001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766.4085</v>
      </c>
      <c r="H46" s="173">
        <f>B$6+1</f>
        <v>44777</v>
      </c>
      <c r="I46" s="174">
        <v>772.2</v>
      </c>
      <c r="J46" s="81">
        <f t="shared" si="0"/>
        <v>0</v>
      </c>
      <c r="K46" s="80">
        <v>766.41</v>
      </c>
      <c r="L46" s="186">
        <f t="shared" ref="L46:L64" si="17">+G46-K46</f>
        <v>-1.4999999999645297E-3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44777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44777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1893.97</v>
      </c>
      <c r="C49" s="116">
        <v>7.4999999999999997E-3</v>
      </c>
      <c r="D49" s="117">
        <f t="shared" si="18"/>
        <v>14.204775</v>
      </c>
      <c r="E49" s="172">
        <v>0</v>
      </c>
      <c r="F49" s="117">
        <f t="shared" si="15"/>
        <v>0</v>
      </c>
      <c r="G49" s="117">
        <f t="shared" si="16"/>
        <v>1879.7652250000001</v>
      </c>
      <c r="H49" s="173">
        <f t="shared" si="19"/>
        <v>44777</v>
      </c>
      <c r="I49" s="176">
        <v>1893.97</v>
      </c>
      <c r="J49" s="81">
        <f t="shared" si="0"/>
        <v>0</v>
      </c>
      <c r="K49" s="80">
        <v>1879.77</v>
      </c>
      <c r="L49" s="186">
        <f t="shared" si="17"/>
        <v>-4.7749999998814019E-3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66.62</v>
      </c>
      <c r="C50" s="116">
        <v>7.4999999999999997E-3</v>
      </c>
      <c r="D50" s="117">
        <f t="shared" si="18"/>
        <v>0.49965000000000004</v>
      </c>
      <c r="E50" s="172">
        <v>0</v>
      </c>
      <c r="F50" s="117">
        <f t="shared" si="15"/>
        <v>0</v>
      </c>
      <c r="G50" s="117">
        <f t="shared" si="16"/>
        <v>66.120350000000002</v>
      </c>
      <c r="H50" s="173">
        <f t="shared" si="19"/>
        <v>44777</v>
      </c>
      <c r="I50" s="175">
        <v>409.37</v>
      </c>
      <c r="J50" s="81">
        <f t="shared" si="0"/>
        <v>-342.75</v>
      </c>
      <c r="K50" s="80">
        <v>66.12</v>
      </c>
      <c r="L50" s="186">
        <f t="shared" si="17"/>
        <v>3.4999999999740794E-4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342.75</v>
      </c>
      <c r="C51" s="116">
        <v>1.4999999999999999E-2</v>
      </c>
      <c r="D51" s="117">
        <f>+B51*C51</f>
        <v>5.1412499999999994</v>
      </c>
      <c r="E51" s="172">
        <v>0</v>
      </c>
      <c r="F51" s="117">
        <f>D51*E51</f>
        <v>0</v>
      </c>
      <c r="G51" s="117">
        <f t="shared" si="16"/>
        <v>337.60874999999999</v>
      </c>
      <c r="H51" s="173">
        <f t="shared" si="19"/>
        <v>44777</v>
      </c>
      <c r="I51" s="175"/>
      <c r="J51" s="81">
        <f t="shared" si="0"/>
        <v>342.75</v>
      </c>
      <c r="K51" s="80">
        <v>337.61</v>
      </c>
      <c r="L51" s="186">
        <f t="shared" si="17"/>
        <v>-1.2500000000272848E-3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28.87</v>
      </c>
      <c r="C52" s="116">
        <v>2.5000000000000001E-2</v>
      </c>
      <c r="D52" s="117">
        <f>B52*C52</f>
        <v>0.72175000000000011</v>
      </c>
      <c r="E52" s="172">
        <v>0.05</v>
      </c>
      <c r="F52" s="117">
        <f>(B52/E$10)*E52</f>
        <v>1.2443965517241382</v>
      </c>
      <c r="G52" s="117">
        <f>B52-D52-F52</f>
        <v>26.903853448275864</v>
      </c>
      <c r="H52" s="188">
        <f t="shared" si="19"/>
        <v>44777</v>
      </c>
      <c r="I52" s="176">
        <v>28.87</v>
      </c>
      <c r="J52" s="81">
        <f t="shared" si="0"/>
        <v>0</v>
      </c>
      <c r="K52" s="80">
        <v>26.9</v>
      </c>
      <c r="L52" s="186">
        <f t="shared" si="17"/>
        <v>3.8534482758656452E-3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5" si="20">B53*C53</f>
        <v>0</v>
      </c>
      <c r="E53" s="172">
        <v>0.05</v>
      </c>
      <c r="F53" s="117">
        <f t="shared" ref="F53:F55" si="21">(B53/E$10)*E53</f>
        <v>0</v>
      </c>
      <c r="G53" s="117">
        <f t="shared" ref="G53:G58" si="22">B53-D53-F53</f>
        <v>0</v>
      </c>
      <c r="H53" s="188">
        <f t="shared" si="19"/>
        <v>44777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44777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44777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192</v>
      </c>
      <c r="B56" s="117">
        <f>T75</f>
        <v>0</v>
      </c>
      <c r="C56" s="116">
        <v>2.5000000000000001E-2</v>
      </c>
      <c r="D56" s="117">
        <f>B56*C56</f>
        <v>0</v>
      </c>
      <c r="E56" s="172">
        <v>0.05</v>
      </c>
      <c r="F56" s="117">
        <f>(B56/E$10)*E56</f>
        <v>0</v>
      </c>
      <c r="G56" s="117">
        <f>B56-D56-F56</f>
        <v>0</v>
      </c>
      <c r="H56" s="173">
        <f t="shared" si="19"/>
        <v>44777</v>
      </c>
      <c r="I56" s="219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44779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44781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44806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26.358924999999999</v>
      </c>
      <c r="E61" s="177"/>
      <c r="F61" s="57">
        <f>SUM(F46:F58)</f>
        <v>1.2443965517241382</v>
      </c>
      <c r="G61" s="57">
        <f>SUM(G46:G58)</f>
        <v>3076.8066784482758</v>
      </c>
      <c r="H61" s="173">
        <f t="shared" si="19"/>
        <v>44777</v>
      </c>
      <c r="I61" s="175"/>
      <c r="J61" s="81">
        <f t="shared" si="0"/>
        <v>0</v>
      </c>
      <c r="K61" s="80"/>
      <c r="L61" s="186">
        <f t="shared" si="17"/>
        <v>3076.8066784482758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44777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6153.6133568965515</v>
      </c>
      <c r="H64" s="184"/>
      <c r="I64" s="175"/>
      <c r="J64" s="81">
        <f t="shared" si="0"/>
        <v>0</v>
      </c>
      <c r="K64" s="80"/>
      <c r="L64" s="186">
        <f t="shared" si="17"/>
        <v>6153.6133568965515</v>
      </c>
      <c r="M64" s="130"/>
      <c r="N64" s="87">
        <v>1</v>
      </c>
      <c r="O64" s="122" t="s">
        <v>190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5811.01</v>
      </c>
      <c r="G65" s="22"/>
      <c r="L65" s="132"/>
      <c r="M65" s="131"/>
      <c r="N65" s="87">
        <v>2</v>
      </c>
      <c r="O65" s="122" t="s">
        <v>190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190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190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5800.57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5747.4</v>
      </c>
      <c r="C69" s="59"/>
      <c r="F69" s="87" t="s">
        <v>129</v>
      </c>
      <c r="G69" s="22">
        <f>+G46</f>
        <v>766.4085</v>
      </c>
      <c r="H69" s="89">
        <f>+G52</f>
        <v>26.903853448275864</v>
      </c>
      <c r="I69" s="136"/>
      <c r="J69" s="136">
        <f>K52</f>
        <v>26.9</v>
      </c>
      <c r="N69" s="313" t="s">
        <v>191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53.170000000000073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/>
      <c r="Q70" s="228"/>
      <c r="R70" s="222"/>
      <c r="S70" s="228"/>
      <c r="T70" s="222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10.440000000000509</v>
      </c>
      <c r="C71" s="64"/>
      <c r="F71" s="87" t="s">
        <v>131</v>
      </c>
      <c r="G71" s="137"/>
      <c r="H71" s="87"/>
      <c r="I71" s="81">
        <f>+I69-G69-G70-G71-G72-G73</f>
        <v>-766.4085</v>
      </c>
      <c r="J71" s="81">
        <f>+J69-H69-H70-H71-H72-H73</f>
        <v>-3.8534482758656452E-3</v>
      </c>
      <c r="N71" s="87">
        <v>2</v>
      </c>
      <c r="O71" s="122" t="s">
        <v>219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64</v>
      </c>
      <c r="Q72" s="228">
        <v>2003</v>
      </c>
      <c r="R72" s="255">
        <f>205.85+416.06</f>
        <v>621.91</v>
      </c>
      <c r="S72" s="228"/>
      <c r="T72" s="222"/>
      <c r="U72" s="189">
        <f t="shared" si="34"/>
        <v>0</v>
      </c>
      <c r="V72" s="189">
        <f t="shared" si="35"/>
        <v>4.6643249999999998</v>
      </c>
      <c r="W72" s="189">
        <f t="shared" si="36"/>
        <v>0</v>
      </c>
      <c r="X72" s="189">
        <f t="shared" si="37"/>
        <v>0</v>
      </c>
      <c r="Y72" s="189">
        <f t="shared" si="38"/>
        <v>617.24567500000001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>
        <v>754</v>
      </c>
      <c r="Q73" s="228">
        <v>2002</v>
      </c>
      <c r="R73" s="222">
        <v>414.42</v>
      </c>
      <c r="S73" s="228"/>
      <c r="T73" s="256"/>
      <c r="U73" s="189">
        <f t="shared" si="34"/>
        <v>0</v>
      </c>
      <c r="V73" s="189">
        <f t="shared" si="35"/>
        <v>3.1081500000000002</v>
      </c>
      <c r="W73" s="189">
        <f t="shared" si="36"/>
        <v>0</v>
      </c>
      <c r="X73" s="189">
        <f t="shared" si="37"/>
        <v>0</v>
      </c>
      <c r="Y73" s="189">
        <f t="shared" si="38"/>
        <v>411.31184999999999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766.4085</v>
      </c>
      <c r="H74" s="89">
        <f t="shared" ref="H74" si="40">+H69+H70+H71+H72+H73</f>
        <v>26.903853448275864</v>
      </c>
      <c r="N74" s="87">
        <v>5</v>
      </c>
      <c r="O74" s="122" t="s">
        <v>172</v>
      </c>
      <c r="P74" s="228">
        <v>755</v>
      </c>
      <c r="Q74" s="228">
        <v>2002</v>
      </c>
      <c r="R74" s="255">
        <f>628.96+228.68</f>
        <v>857.6400000000001</v>
      </c>
      <c r="S74" s="228"/>
      <c r="T74" s="222"/>
      <c r="U74" s="189">
        <f t="shared" si="34"/>
        <v>0</v>
      </c>
      <c r="V74" s="189">
        <f t="shared" si="35"/>
        <v>6.4323000000000006</v>
      </c>
      <c r="W74" s="189">
        <f t="shared" si="36"/>
        <v>0</v>
      </c>
      <c r="X74" s="189">
        <f t="shared" si="37"/>
        <v>0</v>
      </c>
      <c r="Y74" s="189">
        <f t="shared" si="38"/>
        <v>851.20770000000005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K75" s="224"/>
      <c r="L75" s="224"/>
      <c r="N75" s="313" t="s">
        <v>179</v>
      </c>
      <c r="O75" s="313"/>
      <c r="P75" s="314"/>
      <c r="Q75" s="314"/>
      <c r="R75" s="192">
        <f>SUM(R70:R74)</f>
        <v>1893.97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14.204775000000001</v>
      </c>
      <c r="W75" s="192">
        <f t="shared" si="41"/>
        <v>0</v>
      </c>
      <c r="X75" s="192">
        <f t="shared" si="41"/>
        <v>0</v>
      </c>
      <c r="Y75" s="192">
        <f t="shared" si="41"/>
        <v>1879.7652250000001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K76" s="224"/>
      <c r="L76" s="212"/>
      <c r="M76" s="250">
        <f>L76</f>
        <v>0</v>
      </c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/>
      <c r="Q78" s="137">
        <f>11.36+27.34</f>
        <v>38.700000000000003</v>
      </c>
      <c r="R78" s="82">
        <v>7.4999999999999997E-3</v>
      </c>
      <c r="S78" s="194">
        <f>+(P78+Q78)*R78</f>
        <v>0.29025000000000001</v>
      </c>
      <c r="T78" s="258">
        <f>+(P78+Q78)-S78</f>
        <v>38.409750000000003</v>
      </c>
      <c r="U78" s="211">
        <f>76.64+74.77</f>
        <v>151.41</v>
      </c>
      <c r="V78" s="112"/>
      <c r="W78" s="113">
        <v>1.4999999999999999E-2</v>
      </c>
      <c r="X78" s="196">
        <f>+(U78+V78)*W78</f>
        <v>2.27115</v>
      </c>
      <c r="Y78" s="246">
        <f>+(U78+V78)-X78</f>
        <v>149.13884999999999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>
        <v>27.92</v>
      </c>
      <c r="R79" s="82">
        <v>7.4999999999999997E-3</v>
      </c>
      <c r="S79" s="194">
        <f t="shared" ref="S79:S97" si="43">+(P79+Q79)*R79</f>
        <v>0.2094</v>
      </c>
      <c r="T79" s="258">
        <f>+(P79+Q79)-S79</f>
        <v>27.710600000000003</v>
      </c>
      <c r="U79" s="211">
        <f>128.54+62.8</f>
        <v>191.33999999999997</v>
      </c>
      <c r="V79" s="112"/>
      <c r="W79" s="113">
        <v>1.4999999999999999E-2</v>
      </c>
      <c r="X79" s="196">
        <f t="shared" ref="X79:X97" si="44">+(U79+V79)*W79</f>
        <v>2.8700999999999994</v>
      </c>
      <c r="Y79" s="246">
        <f t="shared" ref="Y79:Y97" si="45">+(U79+V79)-X79</f>
        <v>188.46989999999997</v>
      </c>
      <c r="Z79" s="87"/>
      <c r="AA79" s="189">
        <f t="shared" si="42"/>
        <v>0</v>
      </c>
      <c r="AB79" s="189">
        <f t="shared" ref="AB79:AB97" si="46">+Z79*X$10</f>
        <v>0</v>
      </c>
      <c r="AC79" s="189">
        <f t="shared" ref="AC79:AC97" si="47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46">
        <f t="shared" ref="T80:T97" si="48">+(P80+Q80)-S80</f>
        <v>0</v>
      </c>
      <c r="U80" s="211"/>
      <c r="V80" s="112"/>
      <c r="W80" s="113">
        <v>1.4999999999999999E-2</v>
      </c>
      <c r="X80" s="196">
        <f t="shared" si="44"/>
        <v>0</v>
      </c>
      <c r="Y80" s="258">
        <f t="shared" si="45"/>
        <v>0</v>
      </c>
      <c r="Z80" s="87"/>
      <c r="AA80" s="189">
        <f t="shared" si="42"/>
        <v>0</v>
      </c>
      <c r="AB80" s="189">
        <f t="shared" si="46"/>
        <v>0</v>
      </c>
      <c r="AC80" s="189">
        <f t="shared" si="47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46">
        <f t="shared" si="48"/>
        <v>0</v>
      </c>
      <c r="U81" s="211"/>
      <c r="V81" s="112"/>
      <c r="W81" s="113">
        <v>1.4999999999999999E-2</v>
      </c>
      <c r="X81" s="196">
        <f t="shared" si="44"/>
        <v>0</v>
      </c>
      <c r="Y81" s="258">
        <f t="shared" si="45"/>
        <v>0</v>
      </c>
      <c r="Z81" s="87"/>
      <c r="AA81" s="189">
        <f t="shared" si="42"/>
        <v>0</v>
      </c>
      <c r="AB81" s="189">
        <f t="shared" si="46"/>
        <v>0</v>
      </c>
      <c r="AC81" s="189">
        <f t="shared" si="47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8"/>
        <v>0</v>
      </c>
      <c r="U82" s="211"/>
      <c r="V82" s="112"/>
      <c r="W82" s="113">
        <v>1.4999999999999999E-2</v>
      </c>
      <c r="X82" s="196">
        <f t="shared" si="44"/>
        <v>0</v>
      </c>
      <c r="Y82" s="217">
        <f t="shared" si="45"/>
        <v>0</v>
      </c>
      <c r="Z82" s="87"/>
      <c r="AA82" s="189">
        <f t="shared" si="42"/>
        <v>0</v>
      </c>
      <c r="AB82" s="189">
        <f t="shared" si="46"/>
        <v>0</v>
      </c>
      <c r="AC82" s="189">
        <f t="shared" si="47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8"/>
        <v>0</v>
      </c>
      <c r="U83" s="211"/>
      <c r="V83" s="112"/>
      <c r="W83" s="113">
        <v>1.4999999999999999E-2</v>
      </c>
      <c r="X83" s="196">
        <f t="shared" si="44"/>
        <v>0</v>
      </c>
      <c r="Y83" s="217">
        <f t="shared" si="45"/>
        <v>0</v>
      </c>
      <c r="Z83" s="87"/>
      <c r="AA83" s="189">
        <f t="shared" si="42"/>
        <v>0</v>
      </c>
      <c r="AB83" s="189">
        <f t="shared" si="46"/>
        <v>0</v>
      </c>
      <c r="AC83" s="189">
        <f t="shared" si="47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8"/>
        <v>0</v>
      </c>
      <c r="U84" s="211"/>
      <c r="V84" s="112"/>
      <c r="W84" s="113">
        <v>1.4999999999999999E-2</v>
      </c>
      <c r="X84" s="196">
        <f t="shared" si="44"/>
        <v>0</v>
      </c>
      <c r="Y84" s="217">
        <f t="shared" si="45"/>
        <v>0</v>
      </c>
      <c r="Z84" s="87"/>
      <c r="AA84" s="189">
        <f t="shared" si="42"/>
        <v>0</v>
      </c>
      <c r="AB84" s="189">
        <f t="shared" si="46"/>
        <v>0</v>
      </c>
      <c r="AC84" s="189">
        <f t="shared" si="47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8"/>
        <v>0</v>
      </c>
      <c r="U85" s="112"/>
      <c r="V85" s="112"/>
      <c r="W85" s="113">
        <v>1.4999999999999999E-2</v>
      </c>
      <c r="X85" s="196">
        <f t="shared" si="44"/>
        <v>0</v>
      </c>
      <c r="Y85" s="196">
        <f t="shared" si="45"/>
        <v>0</v>
      </c>
      <c r="Z85" s="87"/>
      <c r="AA85" s="189">
        <f t="shared" si="42"/>
        <v>0</v>
      </c>
      <c r="AB85" s="189">
        <f t="shared" si="46"/>
        <v>0</v>
      </c>
      <c r="AC85" s="189">
        <f t="shared" si="47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8"/>
        <v>0</v>
      </c>
      <c r="U86" s="112"/>
      <c r="V86" s="112"/>
      <c r="W86" s="113">
        <v>1.4999999999999999E-2</v>
      </c>
      <c r="X86" s="196">
        <f t="shared" si="44"/>
        <v>0</v>
      </c>
      <c r="Y86" s="196">
        <f t="shared" si="45"/>
        <v>0</v>
      </c>
      <c r="Z86" s="87"/>
      <c r="AA86" s="189">
        <f t="shared" si="42"/>
        <v>0</v>
      </c>
      <c r="AB86" s="189">
        <f t="shared" si="46"/>
        <v>0</v>
      </c>
      <c r="AC86" s="189">
        <f t="shared" si="47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8"/>
        <v>0</v>
      </c>
      <c r="U87" s="112"/>
      <c r="V87" s="112"/>
      <c r="W87" s="113">
        <v>1.4999999999999999E-2</v>
      </c>
      <c r="X87" s="196">
        <f t="shared" si="44"/>
        <v>0</v>
      </c>
      <c r="Y87" s="196">
        <f t="shared" si="45"/>
        <v>0</v>
      </c>
      <c r="Z87" s="87"/>
      <c r="AA87" s="189">
        <f t="shared" si="42"/>
        <v>0</v>
      </c>
      <c r="AB87" s="189">
        <f t="shared" si="46"/>
        <v>0</v>
      </c>
      <c r="AC87" s="189">
        <f t="shared" si="47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8"/>
        <v>0</v>
      </c>
      <c r="U88" s="112"/>
      <c r="V88" s="112"/>
      <c r="W88" s="113">
        <v>1.4999999999999999E-2</v>
      </c>
      <c r="X88" s="196">
        <f t="shared" si="44"/>
        <v>0</v>
      </c>
      <c r="Y88" s="196">
        <f t="shared" si="45"/>
        <v>0</v>
      </c>
      <c r="Z88" s="87"/>
      <c r="AA88" s="189">
        <f t="shared" si="42"/>
        <v>0</v>
      </c>
      <c r="AB88" s="189">
        <f t="shared" si="46"/>
        <v>0</v>
      </c>
      <c r="AC88" s="189">
        <f t="shared" si="47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8"/>
        <v>0</v>
      </c>
      <c r="U89" s="112"/>
      <c r="V89" s="112"/>
      <c r="W89" s="113">
        <v>1.4999999999999999E-2</v>
      </c>
      <c r="X89" s="196">
        <f t="shared" si="44"/>
        <v>0</v>
      </c>
      <c r="Y89" s="196">
        <f t="shared" si="45"/>
        <v>0</v>
      </c>
      <c r="Z89" s="87"/>
      <c r="AA89" s="189">
        <f t="shared" si="42"/>
        <v>0</v>
      </c>
      <c r="AB89" s="189">
        <f t="shared" si="46"/>
        <v>0</v>
      </c>
      <c r="AC89" s="189">
        <f t="shared" si="47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8"/>
        <v>0</v>
      </c>
      <c r="U90" s="112"/>
      <c r="V90" s="112"/>
      <c r="W90" s="113">
        <v>1.4999999999999999E-2</v>
      </c>
      <c r="X90" s="196">
        <f t="shared" si="44"/>
        <v>0</v>
      </c>
      <c r="Y90" s="196">
        <f t="shared" si="45"/>
        <v>0</v>
      </c>
      <c r="Z90" s="87"/>
      <c r="AA90" s="189">
        <f t="shared" si="42"/>
        <v>0</v>
      </c>
      <c r="AB90" s="189">
        <f t="shared" si="46"/>
        <v>0</v>
      </c>
      <c r="AC90" s="189">
        <f t="shared" si="47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8"/>
        <v>0</v>
      </c>
      <c r="U91" s="112"/>
      <c r="V91" s="112"/>
      <c r="W91" s="113">
        <v>1.4999999999999999E-2</v>
      </c>
      <c r="X91" s="196">
        <f t="shared" si="44"/>
        <v>0</v>
      </c>
      <c r="Y91" s="196">
        <f t="shared" si="45"/>
        <v>0</v>
      </c>
      <c r="Z91" s="87"/>
      <c r="AA91" s="189">
        <f t="shared" si="42"/>
        <v>0</v>
      </c>
      <c r="AB91" s="189">
        <f t="shared" si="46"/>
        <v>0</v>
      </c>
      <c r="AC91" s="189">
        <f t="shared" si="47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8"/>
        <v>0</v>
      </c>
      <c r="U92" s="112"/>
      <c r="V92" s="112"/>
      <c r="W92" s="113">
        <v>1.4999999999999999E-2</v>
      </c>
      <c r="X92" s="196">
        <f t="shared" si="44"/>
        <v>0</v>
      </c>
      <c r="Y92" s="196">
        <f t="shared" si="45"/>
        <v>0</v>
      </c>
      <c r="Z92" s="87"/>
      <c r="AA92" s="189">
        <f t="shared" si="42"/>
        <v>0</v>
      </c>
      <c r="AB92" s="189">
        <f t="shared" si="46"/>
        <v>0</v>
      </c>
      <c r="AC92" s="189">
        <f t="shared" si="47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8"/>
        <v>0</v>
      </c>
      <c r="U93" s="112"/>
      <c r="V93" s="112"/>
      <c r="W93" s="113">
        <v>1.4999999999999999E-2</v>
      </c>
      <c r="X93" s="196">
        <f t="shared" si="44"/>
        <v>0</v>
      </c>
      <c r="Y93" s="196">
        <f t="shared" si="45"/>
        <v>0</v>
      </c>
      <c r="Z93" s="87"/>
      <c r="AA93" s="189">
        <f t="shared" si="42"/>
        <v>0</v>
      </c>
      <c r="AB93" s="189">
        <f t="shared" si="46"/>
        <v>0</v>
      </c>
      <c r="AC93" s="189">
        <f t="shared" si="47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8"/>
        <v>0</v>
      </c>
      <c r="U94" s="112"/>
      <c r="V94" s="112"/>
      <c r="W94" s="113">
        <v>1.4999999999999999E-2</v>
      </c>
      <c r="X94" s="196">
        <f t="shared" si="44"/>
        <v>0</v>
      </c>
      <c r="Y94" s="196">
        <f t="shared" si="45"/>
        <v>0</v>
      </c>
      <c r="Z94" s="87"/>
      <c r="AA94" s="189">
        <f t="shared" si="42"/>
        <v>0</v>
      </c>
      <c r="AB94" s="189">
        <f t="shared" si="46"/>
        <v>0</v>
      </c>
      <c r="AC94" s="189">
        <f t="shared" si="47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8"/>
        <v>0</v>
      </c>
      <c r="U95" s="112"/>
      <c r="V95" s="112"/>
      <c r="W95" s="113">
        <v>1.4999999999999999E-2</v>
      </c>
      <c r="X95" s="196">
        <f t="shared" si="44"/>
        <v>0</v>
      </c>
      <c r="Y95" s="196">
        <f t="shared" si="45"/>
        <v>0</v>
      </c>
      <c r="Z95" s="87"/>
      <c r="AA95" s="189">
        <f t="shared" si="42"/>
        <v>0</v>
      </c>
      <c r="AB95" s="189">
        <f t="shared" si="46"/>
        <v>0</v>
      </c>
      <c r="AC95" s="189">
        <f t="shared" si="47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8"/>
        <v>0</v>
      </c>
      <c r="U96" s="112"/>
      <c r="V96" s="112"/>
      <c r="W96" s="113">
        <v>1.4999999999999999E-2</v>
      </c>
      <c r="X96" s="196">
        <f t="shared" si="44"/>
        <v>0</v>
      </c>
      <c r="Y96" s="196">
        <f t="shared" si="45"/>
        <v>0</v>
      </c>
      <c r="Z96" s="87"/>
      <c r="AA96" s="189">
        <f t="shared" si="42"/>
        <v>0</v>
      </c>
      <c r="AB96" s="189">
        <f t="shared" si="46"/>
        <v>0</v>
      </c>
      <c r="AC96" s="189">
        <f t="shared" si="47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8"/>
        <v>0</v>
      </c>
      <c r="U97" s="112"/>
      <c r="V97" s="112"/>
      <c r="W97" s="113">
        <v>1.4999999999999999E-2</v>
      </c>
      <c r="X97" s="196">
        <f t="shared" si="44"/>
        <v>0</v>
      </c>
      <c r="Y97" s="196">
        <f t="shared" si="45"/>
        <v>0</v>
      </c>
      <c r="Z97" s="87"/>
      <c r="AA97" s="189">
        <f t="shared" si="42"/>
        <v>0</v>
      </c>
      <c r="AB97" s="189">
        <f t="shared" si="46"/>
        <v>0</v>
      </c>
      <c r="AC97" s="189">
        <f t="shared" si="47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66.62</v>
      </c>
      <c r="R98" s="111"/>
      <c r="S98" s="195">
        <f>SUM(S78:S97)</f>
        <v>0.49965000000000004</v>
      </c>
      <c r="T98" s="195">
        <f>SUM(T78:T97)</f>
        <v>66.120350000000002</v>
      </c>
      <c r="U98" s="114">
        <f>SUM(U78:U97)</f>
        <v>342.75</v>
      </c>
      <c r="V98" s="114">
        <f>SUM(V78:V97)</f>
        <v>0</v>
      </c>
      <c r="W98" s="112"/>
      <c r="X98" s="197">
        <f>SUM(X78:X97)</f>
        <v>5.1412499999999994</v>
      </c>
      <c r="Y98" s="197">
        <f>SUM(Y78:Y97)</f>
        <v>337.60874999999999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5">
        <f>P78+Q78+U78</f>
        <v>190.11</v>
      </c>
    </row>
    <row r="101" spans="14:30" x14ac:dyDescent="0.25">
      <c r="N101" s="85"/>
      <c r="Q101" s="215">
        <f>P79+Q79+U79</f>
        <v>219.26</v>
      </c>
    </row>
    <row r="102" spans="14:30" x14ac:dyDescent="0.25">
      <c r="N102" s="85"/>
      <c r="Q102" s="215">
        <f>P80+Q80+U80</f>
        <v>0</v>
      </c>
    </row>
    <row r="103" spans="14:30" x14ac:dyDescent="0.25">
      <c r="N103" s="85"/>
      <c r="Q103" s="215">
        <f>U81+Q81+P81</f>
        <v>0</v>
      </c>
    </row>
    <row r="104" spans="14:30" x14ac:dyDescent="0.25">
      <c r="N104" s="85"/>
      <c r="Q104" s="212">
        <f>P82+Q82+U82</f>
        <v>0</v>
      </c>
    </row>
    <row r="105" spans="14:30" x14ac:dyDescent="0.25">
      <c r="N105" s="85"/>
      <c r="Q105" s="212">
        <f>P83+Q83+U83</f>
        <v>0</v>
      </c>
    </row>
    <row r="106" spans="14:30" x14ac:dyDescent="0.25">
      <c r="N106" s="85"/>
      <c r="Q106" s="212">
        <f>P84+Q84+U84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7" priority="1" operator="greaterThan">
      <formula>0</formula>
    </cfRule>
    <cfRule type="cellIs" dxfId="5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47" zoomScale="90" zoomScaleNormal="90" workbookViewId="0">
      <selection activeCell="L68" sqref="L6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44777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5.79</v>
      </c>
      <c r="C8" s="85" t="s">
        <v>94</v>
      </c>
      <c r="D8" s="108"/>
    </row>
    <row r="9" spans="1:28" x14ac:dyDescent="0.25">
      <c r="A9" s="7" t="s">
        <v>78</v>
      </c>
      <c r="B9" s="108">
        <v>5.78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339</v>
      </c>
      <c r="C12" s="15"/>
      <c r="D12" s="56"/>
      <c r="E12" s="16"/>
      <c r="F12" s="56"/>
      <c r="G12" s="56"/>
      <c r="H12" s="17"/>
      <c r="I12" s="83">
        <v>339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267" t="s">
        <v>216</v>
      </c>
      <c r="P12" s="268">
        <v>235</v>
      </c>
      <c r="Q12" s="268">
        <v>2001</v>
      </c>
      <c r="R12" s="269">
        <v>224.39</v>
      </c>
      <c r="S12" s="270"/>
      <c r="T12" s="270"/>
      <c r="U12" s="189">
        <f>((T12/U$10)*U$9)</f>
        <v>0</v>
      </c>
      <c r="V12" s="189">
        <f>R12*V$10</f>
        <v>1.6829249999999998</v>
      </c>
      <c r="W12" s="189">
        <f>+S12*V$10</f>
        <v>0</v>
      </c>
      <c r="X12" s="189">
        <f>+T12*X$10</f>
        <v>0</v>
      </c>
      <c r="Y12" s="189">
        <f>R12-V12</f>
        <v>222.70707499999997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154</v>
      </c>
      <c r="C13" s="15"/>
      <c r="D13" s="56"/>
      <c r="E13" s="16"/>
      <c r="F13" s="56"/>
      <c r="G13" s="56"/>
      <c r="H13" s="17"/>
      <c r="I13" s="137"/>
      <c r="J13" s="81">
        <f t="shared" ref="J13:J64" si="0">B13-I13</f>
        <v>154</v>
      </c>
      <c r="K13" s="75"/>
      <c r="L13" s="186">
        <f t="shared" ref="L13:L44" si="1">+G13-K13</f>
        <v>0</v>
      </c>
      <c r="M13" s="106"/>
      <c r="N13" s="104">
        <v>2</v>
      </c>
      <c r="O13" s="267" t="s">
        <v>216</v>
      </c>
      <c r="P13" s="268">
        <v>269</v>
      </c>
      <c r="Q13" s="268">
        <v>2001</v>
      </c>
      <c r="R13" s="269">
        <v>272.47000000000003</v>
      </c>
      <c r="S13" s="270"/>
      <c r="T13" s="271">
        <v>66.510000000000005</v>
      </c>
      <c r="U13" s="189">
        <f t="shared" ref="U13:U41" si="2">((T13/U$10)*U$9)</f>
        <v>2.8668103448275866</v>
      </c>
      <c r="V13" s="189">
        <f t="shared" ref="V13:V41" si="3">R13*V$10</f>
        <v>2.0435250000000003</v>
      </c>
      <c r="W13" s="189">
        <f t="shared" ref="W13:W41" si="4">+S13*V$10</f>
        <v>0</v>
      </c>
      <c r="X13" s="189">
        <f t="shared" ref="X13:X41" si="5">+T13*X$10</f>
        <v>1.6627500000000002</v>
      </c>
      <c r="Y13" s="189">
        <f t="shared" ref="Y13:Z41" si="6">R13-V13</f>
        <v>270.42647500000004</v>
      </c>
      <c r="Z13" s="189">
        <f t="shared" si="6"/>
        <v>0</v>
      </c>
      <c r="AA13" s="189">
        <f t="shared" ref="AA13:AA41" si="7">T13-U13-X13</f>
        <v>61.980439655172418</v>
      </c>
      <c r="AB13" s="156"/>
    </row>
    <row r="14" spans="1:28" ht="15.75" x14ac:dyDescent="0.25">
      <c r="A14" s="86" t="s">
        <v>83</v>
      </c>
      <c r="B14" s="57">
        <f>B13*B8</f>
        <v>891.66</v>
      </c>
      <c r="C14" s="15"/>
      <c r="D14" s="56"/>
      <c r="E14" s="16"/>
      <c r="F14" s="56"/>
      <c r="G14" s="56"/>
      <c r="H14" s="17"/>
      <c r="I14" s="83"/>
      <c r="J14" s="81">
        <f t="shared" si="0"/>
        <v>891.66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85</v>
      </c>
      <c r="C15" s="15"/>
      <c r="D15" s="56"/>
      <c r="E15" s="16"/>
      <c r="F15" s="56"/>
      <c r="G15" s="56"/>
      <c r="H15" s="17"/>
      <c r="I15" s="83"/>
      <c r="J15" s="81">
        <f t="shared" si="0"/>
        <v>85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491.3</v>
      </c>
      <c r="C16" s="15"/>
      <c r="D16" s="56"/>
      <c r="E16" s="16"/>
      <c r="F16" s="56"/>
      <c r="G16" s="56"/>
      <c r="H16" s="17"/>
      <c r="I16" s="83"/>
      <c r="J16" s="81">
        <f t="shared" si="0"/>
        <v>491.3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239</v>
      </c>
      <c r="C19" s="95"/>
      <c r="D19" s="94"/>
      <c r="E19" s="96"/>
      <c r="F19" s="94"/>
      <c r="G19" s="94"/>
      <c r="H19" s="98"/>
      <c r="I19" s="99">
        <v>239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1382.96</v>
      </c>
      <c r="C20" s="95"/>
      <c r="D20" s="94"/>
      <c r="E20" s="96"/>
      <c r="F20" s="94"/>
      <c r="G20" s="94"/>
      <c r="H20" s="98"/>
      <c r="I20" s="99">
        <v>1395.76</v>
      </c>
      <c r="J20" s="185">
        <f t="shared" si="0"/>
        <v>-12.799999999999955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/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496.86</v>
      </c>
      <c r="S42" s="190">
        <f t="shared" si="8"/>
        <v>0</v>
      </c>
      <c r="T42" s="190">
        <f t="shared" si="8"/>
        <v>66.510000000000005</v>
      </c>
      <c r="U42" s="190">
        <f t="shared" si="8"/>
        <v>2.8668103448275866</v>
      </c>
      <c r="V42" s="190">
        <f t="shared" si="8"/>
        <v>3.7264499999999998</v>
      </c>
      <c r="W42" s="190">
        <f t="shared" si="8"/>
        <v>0</v>
      </c>
      <c r="X42" s="190">
        <f t="shared" si="8"/>
        <v>1.6627500000000002</v>
      </c>
      <c r="Y42" s="190">
        <f t="shared" si="8"/>
        <v>493.13355000000001</v>
      </c>
      <c r="Z42" s="190">
        <f t="shared" si="8"/>
        <v>0</v>
      </c>
      <c r="AA42" s="190">
        <f t="shared" si="8"/>
        <v>61.980439655172418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496.86</v>
      </c>
      <c r="C46" s="116">
        <v>7.4999999999999997E-3</v>
      </c>
      <c r="D46" s="117">
        <f>B46*C46</f>
        <v>3.7264499999999998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493.13355000000001</v>
      </c>
      <c r="H46" s="173">
        <f>B$6+1</f>
        <v>44778</v>
      </c>
      <c r="I46" s="174">
        <v>496.86</v>
      </c>
      <c r="J46" s="81">
        <f t="shared" si="0"/>
        <v>0</v>
      </c>
      <c r="K46" s="80">
        <v>493.13</v>
      </c>
      <c r="L46" s="186">
        <f>K46-G46</f>
        <v>-3.5500000000183718E-3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206</v>
      </c>
      <c r="B49" s="117">
        <f>R75</f>
        <v>3825.11</v>
      </c>
      <c r="C49" s="116">
        <v>7.4999999999999997E-3</v>
      </c>
      <c r="D49" s="117">
        <f t="shared" si="17"/>
        <v>28.688324999999999</v>
      </c>
      <c r="E49" s="172">
        <v>0</v>
      </c>
      <c r="F49" s="117">
        <f t="shared" si="15"/>
        <v>0</v>
      </c>
      <c r="G49" s="117">
        <f t="shared" si="16"/>
        <v>3796.4216750000001</v>
      </c>
      <c r="H49" s="173">
        <f t="shared" si="19"/>
        <v>44778</v>
      </c>
      <c r="I49" s="176">
        <v>3825.11</v>
      </c>
      <c r="J49" s="81">
        <f t="shared" si="0"/>
        <v>0</v>
      </c>
      <c r="K49" s="80">
        <v>3796.42</v>
      </c>
      <c r="L49" s="186">
        <f t="shared" si="18"/>
        <v>1.6749999999774445E-3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339.39</v>
      </c>
      <c r="C50" s="116">
        <v>7.4999999999999997E-3</v>
      </c>
      <c r="D50" s="117">
        <f t="shared" si="17"/>
        <v>2.5454249999999998</v>
      </c>
      <c r="E50" s="172">
        <v>0</v>
      </c>
      <c r="F50" s="117">
        <f t="shared" si="15"/>
        <v>0</v>
      </c>
      <c r="G50" s="117">
        <f t="shared" si="16"/>
        <v>336.84457499999996</v>
      </c>
      <c r="H50" s="173">
        <f t="shared" si="19"/>
        <v>44778</v>
      </c>
      <c r="I50" s="175"/>
      <c r="J50" s="81">
        <f t="shared" si="0"/>
        <v>339.39</v>
      </c>
      <c r="K50" s="80">
        <v>336.84</v>
      </c>
      <c r="L50" s="186">
        <f t="shared" si="18"/>
        <v>4.5749999999884494E-3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538.98</v>
      </c>
      <c r="C51" s="116">
        <v>1.4999999999999999E-2</v>
      </c>
      <c r="D51" s="117">
        <f>+B51*C51</f>
        <v>8.0846999999999998</v>
      </c>
      <c r="E51" s="172">
        <v>0</v>
      </c>
      <c r="F51" s="117">
        <f>D51*E51</f>
        <v>0</v>
      </c>
      <c r="G51" s="117">
        <f t="shared" si="16"/>
        <v>530.89530000000002</v>
      </c>
      <c r="H51" s="173">
        <f t="shared" si="19"/>
        <v>44778</v>
      </c>
      <c r="I51" s="175"/>
      <c r="J51" s="81">
        <f t="shared" si="0"/>
        <v>538.98</v>
      </c>
      <c r="K51" s="80">
        <v>530.9</v>
      </c>
      <c r="L51" s="186">
        <f t="shared" si="18"/>
        <v>-4.6999999999570719E-3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66.510000000000005</v>
      </c>
      <c r="C52" s="116">
        <v>2.5000000000000001E-2</v>
      </c>
      <c r="D52" s="117">
        <f>B52*C52</f>
        <v>1.6627500000000002</v>
      </c>
      <c r="E52" s="172">
        <v>0.05</v>
      </c>
      <c r="F52" s="117">
        <f>(B52/E$10)*E52</f>
        <v>2.8668103448275866</v>
      </c>
      <c r="G52" s="117">
        <f>B52-D52-F52</f>
        <v>61.980439655172418</v>
      </c>
      <c r="H52" s="188">
        <f t="shared" si="19"/>
        <v>44778</v>
      </c>
      <c r="I52" s="176">
        <v>66.510000000000005</v>
      </c>
      <c r="J52" s="81">
        <f t="shared" si="0"/>
        <v>0</v>
      </c>
      <c r="K52" s="80">
        <v>61.98</v>
      </c>
      <c r="L52" s="186">
        <f>K52-G52</f>
        <v>-4.3965517242128271E-4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2.75" customHeight="1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187</v>
      </c>
      <c r="B56" s="117">
        <f>T75</f>
        <v>82.64</v>
      </c>
      <c r="C56" s="116">
        <v>2.5000000000000001E-2</v>
      </c>
      <c r="D56" s="117">
        <f t="shared" si="20"/>
        <v>2.0660000000000003</v>
      </c>
      <c r="E56" s="172">
        <v>0.05</v>
      </c>
      <c r="F56" s="117">
        <f t="shared" si="21"/>
        <v>3.5620689655172422</v>
      </c>
      <c r="G56" s="117">
        <f t="shared" si="22"/>
        <v>77.011931034482757</v>
      </c>
      <c r="H56" s="173">
        <f t="shared" si="19"/>
        <v>44778</v>
      </c>
      <c r="I56" s="176">
        <v>82.64</v>
      </c>
      <c r="J56" s="81">
        <f t="shared" si="0"/>
        <v>0</v>
      </c>
      <c r="K56" s="80">
        <v>77.010000000000005</v>
      </c>
      <c r="L56" s="186">
        <f t="shared" si="18"/>
        <v>1.9310344827516701E-3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46.773650000000004</v>
      </c>
      <c r="E61" s="177"/>
      <c r="F61" s="57">
        <f>SUM(F46:F58)</f>
        <v>6.4288793103448292</v>
      </c>
      <c r="G61" s="57">
        <f>SUM(G46:G58)</f>
        <v>5296.2874706896555</v>
      </c>
      <c r="H61" s="173">
        <f t="shared" si="19"/>
        <v>44778</v>
      </c>
      <c r="I61" s="175"/>
      <c r="J61" s="81">
        <f t="shared" si="0"/>
        <v>0</v>
      </c>
      <c r="K61" s="80"/>
      <c r="L61" s="186">
        <f t="shared" si="18"/>
        <v>5296.2874706896555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10592.574941379311</v>
      </c>
      <c r="H64" s="184"/>
      <c r="I64" s="175"/>
      <c r="J64" s="81">
        <f t="shared" si="0"/>
        <v>0</v>
      </c>
      <c r="K64" s="80"/>
      <c r="L64" s="186">
        <f t="shared" si="18"/>
        <v>10592.574941379311</v>
      </c>
      <c r="M64" s="130"/>
      <c r="N64" s="87">
        <v>1</v>
      </c>
      <c r="O64" s="122" t="s">
        <v>181</v>
      </c>
      <c r="P64" s="228"/>
      <c r="Q64" s="228"/>
      <c r="R64" s="222"/>
      <c r="S64" s="228"/>
      <c r="T64" s="228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7071.4500000000016</v>
      </c>
      <c r="G65" s="22"/>
      <c r="L65" s="132"/>
      <c r="M65" s="131"/>
      <c r="N65" s="87">
        <v>2</v>
      </c>
      <c r="O65" s="122" t="s">
        <v>181</v>
      </c>
      <c r="P65" s="228"/>
      <c r="Q65" s="228"/>
      <c r="R65" s="228"/>
      <c r="S65" s="228"/>
      <c r="T65" s="228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228"/>
      <c r="Q66" s="228"/>
      <c r="R66" s="228"/>
      <c r="S66" s="228"/>
      <c r="T66" s="228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181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7003.36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181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6973.99</v>
      </c>
      <c r="C69" s="59"/>
      <c r="F69" s="87" t="s">
        <v>129</v>
      </c>
      <c r="G69" s="22"/>
      <c r="H69" s="89"/>
      <c r="I69" s="136"/>
      <c r="J69" s="136">
        <f>K52</f>
        <v>61.98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29.369999999999891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172</v>
      </c>
      <c r="P70" s="228">
        <v>65</v>
      </c>
      <c r="Q70" s="228">
        <v>2003</v>
      </c>
      <c r="R70" s="222">
        <v>176.16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1.3211999999999999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174.83879999999999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68.090000000001965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61.98</v>
      </c>
      <c r="N71" s="87">
        <v>2</v>
      </c>
      <c r="O71" s="122" t="s">
        <v>172</v>
      </c>
      <c r="P71" s="228">
        <v>756</v>
      </c>
      <c r="Q71" s="228">
        <v>2002</v>
      </c>
      <c r="R71" s="222">
        <v>258.5</v>
      </c>
      <c r="S71" s="228"/>
      <c r="T71" s="228">
        <v>9.86</v>
      </c>
      <c r="U71" s="189">
        <f t="shared" si="34"/>
        <v>0.42500000000000004</v>
      </c>
      <c r="V71" s="189">
        <f t="shared" si="35"/>
        <v>1.93875</v>
      </c>
      <c r="W71" s="189">
        <f t="shared" si="36"/>
        <v>0</v>
      </c>
      <c r="X71" s="189">
        <f t="shared" si="37"/>
        <v>0.2465</v>
      </c>
      <c r="Y71" s="189">
        <f t="shared" si="38"/>
        <v>256.56124999999997</v>
      </c>
      <c r="Z71" s="189">
        <f t="shared" si="38"/>
        <v>0</v>
      </c>
      <c r="AA71" s="189">
        <f t="shared" si="39"/>
        <v>9.1884999999999994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757</v>
      </c>
      <c r="Q72" s="228">
        <v>2002</v>
      </c>
      <c r="R72" s="222">
        <v>1521.86</v>
      </c>
      <c r="S72" s="228"/>
      <c r="T72" s="228"/>
      <c r="U72" s="189">
        <f t="shared" si="34"/>
        <v>0</v>
      </c>
      <c r="V72" s="189">
        <f t="shared" si="35"/>
        <v>11.413949999999998</v>
      </c>
      <c r="W72" s="189">
        <f t="shared" si="36"/>
        <v>0</v>
      </c>
      <c r="X72" s="189">
        <f t="shared" si="37"/>
        <v>0</v>
      </c>
      <c r="Y72" s="189">
        <f t="shared" si="38"/>
        <v>1510.44605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>
        <v>765</v>
      </c>
      <c r="Q73" s="228">
        <v>2001</v>
      </c>
      <c r="R73" s="222">
        <v>1069.1600000000001</v>
      </c>
      <c r="S73" s="228"/>
      <c r="T73" s="228">
        <v>72.78</v>
      </c>
      <c r="U73" s="189">
        <f t="shared" si="34"/>
        <v>3.1370689655172419</v>
      </c>
      <c r="V73" s="189">
        <f t="shared" si="35"/>
        <v>8.0187000000000008</v>
      </c>
      <c r="W73" s="189">
        <f t="shared" si="36"/>
        <v>0</v>
      </c>
      <c r="X73" s="189">
        <f t="shared" si="37"/>
        <v>1.8195000000000001</v>
      </c>
      <c r="Y73" s="189">
        <f t="shared" si="38"/>
        <v>1061.1413</v>
      </c>
      <c r="Z73" s="189">
        <f t="shared" si="38"/>
        <v>0</v>
      </c>
      <c r="AA73" s="189">
        <f t="shared" si="39"/>
        <v>67.823431034482752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>
        <v>766</v>
      </c>
      <c r="Q74" s="228">
        <v>2001</v>
      </c>
      <c r="R74" s="222">
        <v>799.43</v>
      </c>
      <c r="S74" s="228"/>
      <c r="T74" s="228"/>
      <c r="U74" s="189">
        <f t="shared" si="34"/>
        <v>0</v>
      </c>
      <c r="V74" s="189">
        <f t="shared" si="35"/>
        <v>5.9957249999999993</v>
      </c>
      <c r="W74" s="189">
        <f t="shared" si="36"/>
        <v>0</v>
      </c>
      <c r="X74" s="189">
        <f t="shared" si="37"/>
        <v>0</v>
      </c>
      <c r="Y74" s="189">
        <f t="shared" si="38"/>
        <v>793.43427499999996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3825.11</v>
      </c>
      <c r="S75" s="192"/>
      <c r="T75" s="192">
        <f>SUM(T70:T74)</f>
        <v>82.64</v>
      </c>
      <c r="U75" s="192">
        <f>SUM(U70:U74)</f>
        <v>3.5620689655172422</v>
      </c>
      <c r="V75" s="192">
        <f t="shared" ref="V75:AA75" si="41">SUM(V70:V74)</f>
        <v>28.688324999999999</v>
      </c>
      <c r="W75" s="192">
        <f t="shared" si="41"/>
        <v>0</v>
      </c>
      <c r="X75" s="192">
        <f t="shared" si="41"/>
        <v>2.0660000000000003</v>
      </c>
      <c r="Y75" s="192">
        <f t="shared" si="41"/>
        <v>3796.4216750000001</v>
      </c>
      <c r="Z75" s="192">
        <f t="shared" si="41"/>
        <v>0</v>
      </c>
      <c r="AA75" s="193">
        <f t="shared" si="41"/>
        <v>77.011931034482757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6.06+15.22</f>
        <v>21.28</v>
      </c>
      <c r="R78" s="82">
        <v>7.4999999999999997E-3</v>
      </c>
      <c r="S78" s="194">
        <f>+(P78+Q78)*R78</f>
        <v>0.15959999999999999</v>
      </c>
      <c r="T78" s="219">
        <f>+(P78+Q78)-S78</f>
        <v>21.1204</v>
      </c>
      <c r="U78" s="211">
        <f>169.97+162.43</f>
        <v>332.4</v>
      </c>
      <c r="V78" s="112"/>
      <c r="W78" s="113">
        <v>1.4999999999999999E-2</v>
      </c>
      <c r="X78" s="196">
        <f>+(U78+V78)*W78</f>
        <v>4.9859999999999998</v>
      </c>
      <c r="Y78" s="217">
        <f>+(U78+V78)-X78</f>
        <v>327.41399999999999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>
        <f>196.75+101.1+20.26</f>
        <v>318.11</v>
      </c>
      <c r="R79" s="82">
        <v>7.4999999999999997E-3</v>
      </c>
      <c r="S79" s="194">
        <f t="shared" ref="S79:S97" si="43">+(P79+Q79)*R79</f>
        <v>2.3858250000000001</v>
      </c>
      <c r="T79" s="246">
        <f t="shared" ref="T79:T97" si="44">+(P79+Q79)-S79</f>
        <v>315.724175</v>
      </c>
      <c r="U79" s="211">
        <f>125.37+81.21</f>
        <v>206.57999999999998</v>
      </c>
      <c r="V79" s="112"/>
      <c r="W79" s="113">
        <v>1.4999999999999999E-2</v>
      </c>
      <c r="X79" s="196">
        <f t="shared" ref="X79:X97" si="45">+(U79+V79)*W79</f>
        <v>3.0986999999999996</v>
      </c>
      <c r="Y79" s="246">
        <f t="shared" ref="Y79:Y97" si="46">+(U79+V79)-X79</f>
        <v>203.48129999999998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46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46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339.39</v>
      </c>
      <c r="R98" s="111"/>
      <c r="S98" s="195">
        <f>SUM(S78:S97)</f>
        <v>2.5454250000000003</v>
      </c>
      <c r="T98" s="195">
        <f>SUM(T78:T97)</f>
        <v>336.84457500000002</v>
      </c>
      <c r="U98" s="114">
        <f>SUM(U78:U97)</f>
        <v>538.98</v>
      </c>
      <c r="V98" s="114">
        <f>SUM(V78:V97)</f>
        <v>0</v>
      </c>
      <c r="W98" s="112"/>
      <c r="X98" s="197">
        <f>SUM(X78:X97)</f>
        <v>8.0846999999999998</v>
      </c>
      <c r="Y98" s="197">
        <f>SUM(Y78:Y97)</f>
        <v>530.89529999999991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5">
        <f>P78+Q78+U78</f>
        <v>353.67999999999995</v>
      </c>
    </row>
    <row r="101" spans="14:30" x14ac:dyDescent="0.25">
      <c r="N101" s="85"/>
      <c r="P101" s="215">
        <f>P79+Q79+U79</f>
        <v>524.69000000000005</v>
      </c>
      <c r="Q101" s="212"/>
    </row>
    <row r="102" spans="14:30" x14ac:dyDescent="0.25">
      <c r="N102" s="85"/>
      <c r="P102" s="215">
        <f>P80+Q80+U80</f>
        <v>0</v>
      </c>
      <c r="Q102" s="212"/>
    </row>
    <row r="103" spans="14:30" x14ac:dyDescent="0.25">
      <c r="N103" s="85"/>
      <c r="P103" s="212">
        <f>P81+Q81+U81</f>
        <v>0</v>
      </c>
      <c r="Q103" s="212"/>
    </row>
    <row r="104" spans="14:30" x14ac:dyDescent="0.25">
      <c r="N104" s="85"/>
      <c r="Q104" s="212"/>
    </row>
    <row r="105" spans="14:30" x14ac:dyDescent="0.25">
      <c r="N105" s="85"/>
      <c r="Q105" s="212"/>
    </row>
    <row r="106" spans="14:30" x14ac:dyDescent="0.25">
      <c r="N106" s="85"/>
      <c r="Q106" s="212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5" priority="1" operator="greaterThan">
      <formula>0</formula>
    </cfRule>
    <cfRule type="cellIs" dxfId="5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V52" zoomScale="90" zoomScaleNormal="90" workbookViewId="0">
      <selection activeCell="Y79" sqref="Y7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44778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5.87</v>
      </c>
      <c r="C8" s="85" t="s">
        <v>94</v>
      </c>
      <c r="D8" s="108"/>
    </row>
    <row r="9" spans="1:28" x14ac:dyDescent="0.25">
      <c r="A9" s="7" t="s">
        <v>78</v>
      </c>
      <c r="B9" s="108">
        <v>5.84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235+71+256.6+129+29</f>
        <v>720.6</v>
      </c>
      <c r="C12" s="15"/>
      <c r="D12" s="56"/>
      <c r="E12" s="16"/>
      <c r="F12" s="56"/>
      <c r="G12" s="56"/>
      <c r="H12" s="17"/>
      <c r="I12" s="83">
        <v>720.5</v>
      </c>
      <c r="J12" s="81">
        <f>B12-I12</f>
        <v>0.10000000000002274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8">
        <v>236</v>
      </c>
      <c r="Q12" s="158">
        <v>2001</v>
      </c>
      <c r="R12" s="159">
        <v>647.61</v>
      </c>
      <c r="S12" s="155"/>
      <c r="T12" s="155">
        <v>21.87</v>
      </c>
      <c r="U12" s="189">
        <f>((T12/U$10)*U$9)</f>
        <v>0.94267241379310363</v>
      </c>
      <c r="V12" s="189">
        <f>R12*V$10</f>
        <v>4.857075</v>
      </c>
      <c r="W12" s="189">
        <f>+S12*V$10</f>
        <v>0</v>
      </c>
      <c r="X12" s="189">
        <f>+T12*X$10</f>
        <v>0.54675000000000007</v>
      </c>
      <c r="Y12" s="189">
        <f>R12-V12</f>
        <v>642.752925</v>
      </c>
      <c r="Z12" s="189">
        <f>S12-W12</f>
        <v>0</v>
      </c>
      <c r="AA12" s="189">
        <f>T12-U12-X12</f>
        <v>20.380577586206897</v>
      </c>
      <c r="AB12" s="156"/>
    </row>
    <row r="13" spans="1:28" ht="15.75" x14ac:dyDescent="0.25">
      <c r="A13" s="86" t="s">
        <v>76</v>
      </c>
      <c r="B13" s="89">
        <f>93+105</f>
        <v>198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198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8">
        <v>270</v>
      </c>
      <c r="Q13" s="158">
        <v>2001</v>
      </c>
      <c r="R13" s="159">
        <v>421.31</v>
      </c>
      <c r="S13" s="155"/>
      <c r="T13" s="157">
        <v>6.6</v>
      </c>
      <c r="U13" s="189">
        <f t="shared" ref="U13:U41" si="2">((T13/U$10)*U$9)</f>
        <v>0.28448275862068967</v>
      </c>
      <c r="V13" s="189">
        <f t="shared" ref="V13:V41" si="3">R13*V$10</f>
        <v>3.1598250000000001</v>
      </c>
      <c r="W13" s="189">
        <f t="shared" ref="W13:W41" si="4">+S13*V$10</f>
        <v>0</v>
      </c>
      <c r="X13" s="189">
        <f t="shared" ref="X13:X41" si="5">+T13*X$10</f>
        <v>0.16500000000000001</v>
      </c>
      <c r="Y13" s="189">
        <f t="shared" ref="Y13:Z41" si="6">R13-V13</f>
        <v>418.15017499999999</v>
      </c>
      <c r="Z13" s="189">
        <f t="shared" si="6"/>
        <v>0</v>
      </c>
      <c r="AA13" s="189">
        <f t="shared" ref="AA13:AA41" si="7">T13-U13-X13</f>
        <v>6.1505172413793101</v>
      </c>
      <c r="AB13" s="156"/>
    </row>
    <row r="14" spans="1:28" ht="15.75" x14ac:dyDescent="0.25">
      <c r="A14" s="86" t="s">
        <v>83</v>
      </c>
      <c r="B14" s="57">
        <f>B13*B8</f>
        <v>1162.26</v>
      </c>
      <c r="C14" s="15"/>
      <c r="D14" s="56"/>
      <c r="E14" s="16"/>
      <c r="F14" s="56"/>
      <c r="G14" s="56"/>
      <c r="H14" s="17"/>
      <c r="I14" s="83"/>
      <c r="J14" s="81">
        <f t="shared" si="0"/>
        <v>1162.26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8">
        <v>271</v>
      </c>
      <c r="Q14" s="158">
        <v>2001</v>
      </c>
      <c r="R14" s="159">
        <v>88.65</v>
      </c>
      <c r="S14" s="155"/>
      <c r="T14" s="157">
        <v>318.39</v>
      </c>
      <c r="U14" s="189">
        <f t="shared" si="2"/>
        <v>13.723706896551725</v>
      </c>
      <c r="V14" s="189">
        <f t="shared" si="3"/>
        <v>0.66487499999999999</v>
      </c>
      <c r="W14" s="189">
        <f t="shared" si="4"/>
        <v>0</v>
      </c>
      <c r="X14" s="189">
        <f t="shared" si="5"/>
        <v>7.9597499999999997</v>
      </c>
      <c r="Y14" s="189">
        <f t="shared" si="6"/>
        <v>87.985125000000011</v>
      </c>
      <c r="Z14" s="189">
        <f t="shared" si="6"/>
        <v>0</v>
      </c>
      <c r="AA14" s="189">
        <f t="shared" si="7"/>
        <v>296.70654310344827</v>
      </c>
      <c r="AB14" s="156"/>
    </row>
    <row r="15" spans="1:28" ht="15.75" x14ac:dyDescent="0.25">
      <c r="A15" s="86" t="s">
        <v>79</v>
      </c>
      <c r="B15" s="56">
        <f>50+22+46+20+65</f>
        <v>203</v>
      </c>
      <c r="C15" s="15"/>
      <c r="D15" s="56"/>
      <c r="E15" s="16"/>
      <c r="F15" s="56"/>
      <c r="G15" s="56"/>
      <c r="H15" s="17"/>
      <c r="I15" s="83"/>
      <c r="J15" s="81">
        <f t="shared" si="0"/>
        <v>203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8"/>
      <c r="Q15" s="158"/>
      <c r="R15" s="159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1185.52</v>
      </c>
      <c r="C16" s="15"/>
      <c r="D16" s="56"/>
      <c r="E16" s="16"/>
      <c r="F16" s="56"/>
      <c r="G16" s="56"/>
      <c r="H16" s="17"/>
      <c r="I16" s="83"/>
      <c r="J16" s="81">
        <f t="shared" si="0"/>
        <v>1185.52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401</v>
      </c>
      <c r="C19" s="95"/>
      <c r="D19" s="94"/>
      <c r="E19" s="96"/>
      <c r="F19" s="94"/>
      <c r="G19" s="94"/>
      <c r="H19" s="98"/>
      <c r="I19" s="99">
        <v>401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2347.7799999999997</v>
      </c>
      <c r="C20" s="95"/>
      <c r="D20" s="94"/>
      <c r="E20" s="96"/>
      <c r="F20" s="94"/>
      <c r="G20" s="94"/>
      <c r="H20" s="98"/>
      <c r="I20" s="99">
        <v>2353.87</v>
      </c>
      <c r="J20" s="185">
        <f t="shared" si="0"/>
        <v>-6.0900000000001455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257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1157.5700000000002</v>
      </c>
      <c r="S42" s="190">
        <f t="shared" si="8"/>
        <v>0</v>
      </c>
      <c r="T42" s="190">
        <f t="shared" si="8"/>
        <v>346.86</v>
      </c>
      <c r="U42" s="190">
        <f t="shared" si="8"/>
        <v>14.950862068965519</v>
      </c>
      <c r="V42" s="190">
        <f t="shared" si="8"/>
        <v>8.681775</v>
      </c>
      <c r="W42" s="190">
        <f t="shared" si="8"/>
        <v>0</v>
      </c>
      <c r="X42" s="190">
        <f t="shared" si="8"/>
        <v>8.6715</v>
      </c>
      <c r="Y42" s="190">
        <f t="shared" si="8"/>
        <v>1148.8882249999999</v>
      </c>
      <c r="Z42" s="190">
        <f t="shared" si="8"/>
        <v>0</v>
      </c>
      <c r="AA42" s="190">
        <f t="shared" si="8"/>
        <v>323.2376379310345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204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204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215</v>
      </c>
      <c r="B46" s="117">
        <f>R42</f>
        <v>1157.5700000000002</v>
      </c>
      <c r="C46" s="116">
        <v>7.4999999999999997E-3</v>
      </c>
      <c r="D46" s="117">
        <f>B46*C46</f>
        <v>8.681775</v>
      </c>
      <c r="E46" s="172">
        <v>0</v>
      </c>
      <c r="F46" s="117">
        <f t="shared" ref="F46:F50" si="15">D46*E46</f>
        <v>0</v>
      </c>
      <c r="G46" s="117">
        <f t="shared" ref="G46:G51" si="16">B46-D46-F46</f>
        <v>1148.8882250000001</v>
      </c>
      <c r="H46" s="173">
        <f>B$6+1</f>
        <v>44779</v>
      </c>
      <c r="I46" s="174">
        <v>1157.57</v>
      </c>
      <c r="J46" s="81">
        <f t="shared" si="0"/>
        <v>0</v>
      </c>
      <c r="K46" s="80">
        <v>1148.8900000000001</v>
      </c>
      <c r="L46" s="186">
        <f>K46-G46</f>
        <v>1.7749999999523425E-3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44779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44779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4386.93</v>
      </c>
      <c r="C49" s="116">
        <v>7.4999999999999997E-3</v>
      </c>
      <c r="D49" s="117">
        <f t="shared" si="17"/>
        <v>32.901975</v>
      </c>
      <c r="E49" s="172">
        <v>0</v>
      </c>
      <c r="F49" s="117">
        <f t="shared" si="15"/>
        <v>0</v>
      </c>
      <c r="G49" s="117">
        <f t="shared" si="16"/>
        <v>4354.0280250000005</v>
      </c>
      <c r="H49" s="173">
        <f t="shared" si="19"/>
        <v>44779</v>
      </c>
      <c r="I49" s="176">
        <v>4425.53</v>
      </c>
      <c r="J49" s="81">
        <f t="shared" si="0"/>
        <v>-38.599999999999454</v>
      </c>
      <c r="K49" s="80">
        <v>4354.03</v>
      </c>
      <c r="L49" s="186">
        <f t="shared" si="18"/>
        <v>-1.9749999992200173E-3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526.25</v>
      </c>
      <c r="C50" s="116">
        <v>7.4999999999999997E-3</v>
      </c>
      <c r="D50" s="117">
        <f t="shared" si="17"/>
        <v>3.9468749999999999</v>
      </c>
      <c r="E50" s="172">
        <v>0</v>
      </c>
      <c r="F50" s="117">
        <f t="shared" si="15"/>
        <v>0</v>
      </c>
      <c r="G50" s="117">
        <f t="shared" si="16"/>
        <v>522.30312500000002</v>
      </c>
      <c r="H50" s="173">
        <f t="shared" si="19"/>
        <v>44779</v>
      </c>
      <c r="I50" s="175">
        <v>1061.6400000000001</v>
      </c>
      <c r="J50" s="81">
        <f t="shared" si="0"/>
        <v>-535.3900000000001</v>
      </c>
      <c r="K50" s="80">
        <v>522.29999999999995</v>
      </c>
      <c r="L50" s="186">
        <f t="shared" si="18"/>
        <v>3.1250000000682121E-3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535.3900000000001</v>
      </c>
      <c r="C51" s="116">
        <v>1.4999999999999999E-2</v>
      </c>
      <c r="D51" s="117">
        <f>+B51*C51</f>
        <v>8.0308500000000009</v>
      </c>
      <c r="E51" s="172">
        <v>0</v>
      </c>
      <c r="F51" s="117">
        <f>D51*E51</f>
        <v>0</v>
      </c>
      <c r="G51" s="117">
        <f t="shared" si="16"/>
        <v>527.35915000000011</v>
      </c>
      <c r="H51" s="173">
        <f t="shared" si="19"/>
        <v>44779</v>
      </c>
      <c r="I51" s="175"/>
      <c r="J51" s="81">
        <f t="shared" si="0"/>
        <v>535.3900000000001</v>
      </c>
      <c r="K51" s="80">
        <v>527.36</v>
      </c>
      <c r="L51" s="186">
        <f t="shared" si="18"/>
        <v>-8.4999999990031938E-4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346.86</v>
      </c>
      <c r="C52" s="116">
        <v>2.5000000000000001E-2</v>
      </c>
      <c r="D52" s="117">
        <f>B52*C52</f>
        <v>8.6715</v>
      </c>
      <c r="E52" s="172">
        <v>0.05</v>
      </c>
      <c r="F52" s="117">
        <f>(B52/E$10)*E52</f>
        <v>14.95086206896552</v>
      </c>
      <c r="G52" s="117">
        <f>B52-D52-F52</f>
        <v>323.2376379310345</v>
      </c>
      <c r="H52" s="188">
        <f t="shared" si="19"/>
        <v>44779</v>
      </c>
      <c r="I52" s="176">
        <v>346.86</v>
      </c>
      <c r="J52" s="81">
        <f t="shared" si="0"/>
        <v>0</v>
      </c>
      <c r="K52" s="80">
        <v>323.24</v>
      </c>
      <c r="L52" s="186">
        <f>K52-G52</f>
        <v>2.3620689655103888E-3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44779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187</v>
      </c>
      <c r="B56" s="117">
        <f>T75</f>
        <v>38.6</v>
      </c>
      <c r="C56" s="116">
        <v>2.5000000000000001E-2</v>
      </c>
      <c r="D56" s="117">
        <f t="shared" si="20"/>
        <v>0.96500000000000008</v>
      </c>
      <c r="E56" s="172">
        <v>0.05</v>
      </c>
      <c r="F56" s="117">
        <f t="shared" si="21"/>
        <v>1.6637931034482762</v>
      </c>
      <c r="G56" s="117">
        <f t="shared" si="22"/>
        <v>35.97120689655172</v>
      </c>
      <c r="H56" s="173">
        <f t="shared" si="19"/>
        <v>44779</v>
      </c>
      <c r="I56" s="176"/>
      <c r="J56" s="81">
        <f t="shared" si="0"/>
        <v>38.6</v>
      </c>
      <c r="K56" s="80">
        <v>35.97</v>
      </c>
      <c r="L56" s="186">
        <f t="shared" si="18"/>
        <v>1.2068965517215702E-3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63.197975000000007</v>
      </c>
      <c r="E61" s="177"/>
      <c r="F61" s="57">
        <f>SUM(F46:F58)</f>
        <v>16.614655172413798</v>
      </c>
      <c r="G61" s="57">
        <f>SUM(G46:G58)</f>
        <v>6911.7873698275871</v>
      </c>
      <c r="H61" s="173">
        <f t="shared" si="19"/>
        <v>44779</v>
      </c>
      <c r="I61" s="175"/>
      <c r="J61" s="81">
        <f t="shared" si="0"/>
        <v>0</v>
      </c>
      <c r="K61" s="80"/>
      <c r="L61" s="186">
        <f t="shared" si="18"/>
        <v>6911.7873698275871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44779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13823.574739655174</v>
      </c>
      <c r="H64" s="184"/>
      <c r="I64" s="175"/>
      <c r="J64" s="81">
        <f t="shared" si="0"/>
        <v>0</v>
      </c>
      <c r="K64" s="80"/>
      <c r="L64" s="186">
        <f t="shared" si="18"/>
        <v>13823.574739655174</v>
      </c>
      <c r="M64" s="130"/>
      <c r="N64" s="87">
        <v>1</v>
      </c>
      <c r="O64" s="122" t="s">
        <v>193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10059.980000000001</v>
      </c>
      <c r="G65" s="22"/>
      <c r="L65" s="132"/>
      <c r="M65" s="131"/>
      <c r="N65" s="87">
        <v>2</v>
      </c>
      <c r="O65" s="122" t="s">
        <v>193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193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193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10051.42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193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9988.65</v>
      </c>
      <c r="C69" s="59"/>
      <c r="F69" s="87" t="s">
        <v>129</v>
      </c>
      <c r="G69" s="22"/>
      <c r="H69" s="89">
        <f>+G52</f>
        <v>323.2376379310345</v>
      </c>
      <c r="I69" s="136"/>
      <c r="J69" s="136">
        <f>K52</f>
        <v>323.24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62.770000000000437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172</v>
      </c>
      <c r="P70" s="228">
        <v>66</v>
      </c>
      <c r="Q70" s="228"/>
      <c r="R70" s="222">
        <v>14.1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0.10575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13.994249999999999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8.5600000000013097</v>
      </c>
      <c r="C71" s="64"/>
      <c r="F71" s="87" t="s">
        <v>131</v>
      </c>
      <c r="G71" s="137"/>
      <c r="H71" s="87"/>
      <c r="I71" s="81"/>
      <c r="J71" s="81">
        <f>+J69-H69-H70-H71-H72-H73</f>
        <v>2.3620689655103888E-3</v>
      </c>
      <c r="N71" s="87">
        <v>2</v>
      </c>
      <c r="O71" s="122" t="s">
        <v>172</v>
      </c>
      <c r="P71" s="228">
        <v>758</v>
      </c>
      <c r="Q71" s="228"/>
      <c r="R71" s="222">
        <v>235.3</v>
      </c>
      <c r="S71" s="228"/>
      <c r="T71" s="222"/>
      <c r="U71" s="189">
        <f t="shared" si="34"/>
        <v>0</v>
      </c>
      <c r="V71" s="189">
        <f t="shared" si="35"/>
        <v>1.76475</v>
      </c>
      <c r="W71" s="189">
        <f t="shared" si="36"/>
        <v>0</v>
      </c>
      <c r="X71" s="189">
        <f t="shared" si="37"/>
        <v>0</v>
      </c>
      <c r="Y71" s="189">
        <f t="shared" si="38"/>
        <v>233.53525000000002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759</v>
      </c>
      <c r="Q72" s="228"/>
      <c r="R72" s="222">
        <v>1688.2</v>
      </c>
      <c r="S72" s="228"/>
      <c r="T72" s="228"/>
      <c r="U72" s="189">
        <f t="shared" si="34"/>
        <v>0</v>
      </c>
      <c r="V72" s="189">
        <f t="shared" si="35"/>
        <v>12.6615</v>
      </c>
      <c r="W72" s="189">
        <f t="shared" si="36"/>
        <v>0</v>
      </c>
      <c r="X72" s="189">
        <f t="shared" si="37"/>
        <v>0</v>
      </c>
      <c r="Y72" s="189">
        <f t="shared" si="38"/>
        <v>1675.5385000000001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>
        <v>767</v>
      </c>
      <c r="Q73" s="228"/>
      <c r="R73" s="222">
        <v>494.43</v>
      </c>
      <c r="S73" s="228"/>
      <c r="T73" s="228"/>
      <c r="U73" s="189">
        <f t="shared" si="34"/>
        <v>0</v>
      </c>
      <c r="V73" s="189">
        <f t="shared" si="35"/>
        <v>3.7082250000000001</v>
      </c>
      <c r="W73" s="189">
        <f t="shared" si="36"/>
        <v>0</v>
      </c>
      <c r="X73" s="189">
        <f t="shared" si="37"/>
        <v>0</v>
      </c>
      <c r="Y73" s="189">
        <f t="shared" si="38"/>
        <v>490.72177499999998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323.2376379310345</v>
      </c>
      <c r="N74" s="87">
        <v>5</v>
      </c>
      <c r="O74" s="122" t="s">
        <v>172</v>
      </c>
      <c r="P74" s="228">
        <v>768</v>
      </c>
      <c r="Q74" s="228">
        <v>2001</v>
      </c>
      <c r="R74" s="222">
        <v>1954.9</v>
      </c>
      <c r="S74" s="228"/>
      <c r="T74" s="228">
        <v>38.6</v>
      </c>
      <c r="U74" s="189">
        <f t="shared" si="34"/>
        <v>1.6637931034482762</v>
      </c>
      <c r="V74" s="189">
        <f t="shared" si="35"/>
        <v>14.66175</v>
      </c>
      <c r="W74" s="189">
        <f t="shared" si="36"/>
        <v>0</v>
      </c>
      <c r="X74" s="189">
        <f t="shared" si="37"/>
        <v>0.96500000000000008</v>
      </c>
      <c r="Y74" s="189">
        <f t="shared" si="38"/>
        <v>1940.2382500000001</v>
      </c>
      <c r="Z74" s="189">
        <f t="shared" si="38"/>
        <v>0</v>
      </c>
      <c r="AA74" s="189">
        <f t="shared" si="39"/>
        <v>35.97120689655172</v>
      </c>
      <c r="AB74" s="87"/>
    </row>
    <row r="75" spans="1:30" ht="15.75" x14ac:dyDescent="0.25">
      <c r="N75" s="313"/>
      <c r="O75" s="313"/>
      <c r="P75" s="314"/>
      <c r="Q75" s="314"/>
      <c r="R75" s="192">
        <f>SUM(R70:R74)</f>
        <v>4386.93</v>
      </c>
      <c r="S75" s="192"/>
      <c r="T75" s="192">
        <f>SUM(T70:T74)</f>
        <v>38.6</v>
      </c>
      <c r="U75" s="192">
        <f>SUM(U70:U74)</f>
        <v>1.6637931034482762</v>
      </c>
      <c r="V75" s="192">
        <f t="shared" ref="V75:AA75" si="41">SUM(V70:V74)</f>
        <v>32.901975</v>
      </c>
      <c r="W75" s="192">
        <f t="shared" si="41"/>
        <v>0</v>
      </c>
      <c r="X75" s="192">
        <f t="shared" si="41"/>
        <v>0.96500000000000008</v>
      </c>
      <c r="Y75" s="192">
        <f t="shared" si="41"/>
        <v>4354.0280250000005</v>
      </c>
      <c r="Z75" s="192">
        <f t="shared" si="41"/>
        <v>0</v>
      </c>
      <c r="AA75" s="193">
        <f t="shared" si="41"/>
        <v>35.97120689655172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43.84+95.18+115.87</f>
        <v>254.89000000000001</v>
      </c>
      <c r="R78" s="82">
        <v>7.4999999999999997E-3</v>
      </c>
      <c r="S78" s="194">
        <f>+(P78+Q78)*R78</f>
        <v>1.911675</v>
      </c>
      <c r="T78" s="213">
        <f>+(P78+Q78)-S78</f>
        <v>252.97832500000001</v>
      </c>
      <c r="U78" s="211">
        <f>95.9+258.8</f>
        <v>354.70000000000005</v>
      </c>
      <c r="V78" s="112"/>
      <c r="W78" s="113">
        <v>1.4999999999999999E-2</v>
      </c>
      <c r="X78" s="196">
        <f>+(U78+V78)*W78</f>
        <v>5.3205000000000009</v>
      </c>
      <c r="Y78" s="213">
        <f>+(U78+V78)-X78</f>
        <v>349.37950000000006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>
        <f>231.66+39.7</f>
        <v>271.36</v>
      </c>
      <c r="R79" s="82">
        <v>7.4999999999999997E-3</v>
      </c>
      <c r="S79" s="194">
        <f t="shared" ref="S79:S97" si="43">+(P79+Q79)*R79</f>
        <v>2.0352000000000001</v>
      </c>
      <c r="T79" s="246">
        <f t="shared" ref="T79:T97" si="44">+(P79+Q79)-S79</f>
        <v>269.32480000000004</v>
      </c>
      <c r="U79" s="211">
        <f>5.84+174.85</f>
        <v>180.69</v>
      </c>
      <c r="V79" s="112"/>
      <c r="W79" s="113">
        <v>1.4999999999999999E-2</v>
      </c>
      <c r="X79" s="196">
        <f t="shared" ref="X79:X97" si="45">+(U79+V79)*W79</f>
        <v>2.71035</v>
      </c>
      <c r="Y79" s="246">
        <f t="shared" ref="Y79:Y97" si="46">+(U79+V79)-X79</f>
        <v>177.97964999999999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87"/>
      <c r="R80" s="82">
        <v>7.4999999999999997E-3</v>
      </c>
      <c r="S80" s="194">
        <f t="shared" si="43"/>
        <v>0</v>
      </c>
      <c r="T80" s="246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46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526.25</v>
      </c>
      <c r="R98" s="111"/>
      <c r="S98" s="195">
        <f>SUM(S78:S97)</f>
        <v>3.9468750000000004</v>
      </c>
      <c r="T98" s="195">
        <f>SUM(T78:T97)</f>
        <v>522.30312500000002</v>
      </c>
      <c r="U98" s="114">
        <f>SUM(U78:U97)</f>
        <v>535.3900000000001</v>
      </c>
      <c r="V98" s="114">
        <f>SUM(V78:V97)</f>
        <v>0</v>
      </c>
      <c r="W98" s="112"/>
      <c r="X98" s="197">
        <f>SUM(X78:X97)</f>
        <v>8.0308500000000009</v>
      </c>
      <c r="Y98" s="197">
        <f>SUM(Y78:Y97)</f>
        <v>527.35915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P78+Q78+U78</f>
        <v>609.59</v>
      </c>
    </row>
    <row r="103" spans="14:30" x14ac:dyDescent="0.25">
      <c r="N103" s="85"/>
      <c r="Q103" s="215">
        <f>U79+Q79+P79</f>
        <v>452.05</v>
      </c>
    </row>
    <row r="104" spans="14:30" x14ac:dyDescent="0.25">
      <c r="N104" s="85"/>
      <c r="Q104" s="215">
        <f>P80+Q80+U80</f>
        <v>0</v>
      </c>
    </row>
    <row r="105" spans="14:30" x14ac:dyDescent="0.25">
      <c r="N105" s="85"/>
      <c r="Q105" s="215">
        <f>P81+Q81+U81</f>
        <v>0</v>
      </c>
    </row>
    <row r="106" spans="14:30" x14ac:dyDescent="0.25">
      <c r="N106" s="85"/>
      <c r="Q106" s="212">
        <f>P82+U82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3" priority="1" operator="greaterThan">
      <formula>0</formula>
    </cfRule>
    <cfRule type="cellIs" dxfId="5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7" zoomScale="90" zoomScaleNormal="90" workbookViewId="0">
      <selection activeCell="F28" sqref="F2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140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44779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5.87</v>
      </c>
      <c r="C8" s="85" t="s">
        <v>94</v>
      </c>
      <c r="D8" s="108"/>
      <c r="R8" s="212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752</v>
      </c>
      <c r="C12" s="15"/>
      <c r="D12" s="56"/>
      <c r="E12" s="16"/>
      <c r="F12" s="56"/>
      <c r="G12" s="56"/>
      <c r="H12" s="17"/>
      <c r="I12" s="83">
        <v>752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3">
        <v>237</v>
      </c>
      <c r="Q12" s="153">
        <v>2002</v>
      </c>
      <c r="R12" s="154">
        <v>77.319999999999993</v>
      </c>
      <c r="S12" s="155"/>
      <c r="T12" s="155">
        <v>6.92</v>
      </c>
      <c r="U12" s="189">
        <f>((T12/U$10)*U$9)</f>
        <v>0.29827586206896556</v>
      </c>
      <c r="V12" s="189">
        <f>R12*V$10</f>
        <v>0.57989999999999997</v>
      </c>
      <c r="W12" s="189">
        <f>+S12*V$10</f>
        <v>0</v>
      </c>
      <c r="X12" s="189">
        <f>+T12*X$10</f>
        <v>0.17300000000000001</v>
      </c>
      <c r="Y12" s="189">
        <f>R12-V12</f>
        <v>76.740099999999998</v>
      </c>
      <c r="Z12" s="189">
        <f>S12-W12</f>
        <v>0</v>
      </c>
      <c r="AA12" s="189">
        <f>T12-U12-X12</f>
        <v>6.4487241379310341</v>
      </c>
      <c r="AB12" s="156"/>
    </row>
    <row r="13" spans="1:28" ht="15.75" x14ac:dyDescent="0.25">
      <c r="A13" s="86" t="s">
        <v>76</v>
      </c>
      <c r="B13" s="89">
        <f>91+110+229+41+134</f>
        <v>605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605</v>
      </c>
      <c r="K13" s="75"/>
      <c r="L13" s="186">
        <f t="shared" ref="L13:L42" si="1">+G13-K13</f>
        <v>0</v>
      </c>
      <c r="M13" s="106"/>
      <c r="N13" s="104">
        <v>2</v>
      </c>
      <c r="O13" s="152" t="s">
        <v>216</v>
      </c>
      <c r="P13" s="153">
        <v>238</v>
      </c>
      <c r="Q13" s="153">
        <v>2002</v>
      </c>
      <c r="R13" s="154">
        <v>79.75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0.59812500000000002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79.151875000000004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3551.35</v>
      </c>
      <c r="C14" s="15"/>
      <c r="D14" s="56"/>
      <c r="E14" s="16"/>
      <c r="F14" s="56"/>
      <c r="G14" s="56"/>
      <c r="H14" s="17"/>
      <c r="I14" s="83"/>
      <c r="J14" s="81">
        <f t="shared" si="0"/>
        <v>3551.35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3">
        <v>272</v>
      </c>
      <c r="Q14" s="153">
        <v>2001</v>
      </c>
      <c r="R14" s="154">
        <v>1489.28</v>
      </c>
      <c r="S14" s="155"/>
      <c r="T14" s="157">
        <v>56.99</v>
      </c>
      <c r="U14" s="189">
        <f t="shared" si="2"/>
        <v>2.4564655172413801</v>
      </c>
      <c r="V14" s="189">
        <f t="shared" si="3"/>
        <v>11.169599999999999</v>
      </c>
      <c r="W14" s="189">
        <f t="shared" si="4"/>
        <v>0</v>
      </c>
      <c r="X14" s="189">
        <f t="shared" si="5"/>
        <v>1.4247500000000002</v>
      </c>
      <c r="Y14" s="189">
        <f t="shared" si="6"/>
        <v>1478.1104</v>
      </c>
      <c r="Z14" s="189">
        <f t="shared" si="6"/>
        <v>0</v>
      </c>
      <c r="AA14" s="189">
        <f t="shared" si="7"/>
        <v>53.108784482758622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3">
        <v>273</v>
      </c>
      <c r="Q15" s="153">
        <v>2001</v>
      </c>
      <c r="R15" s="154">
        <v>166</v>
      </c>
      <c r="S15" s="155"/>
      <c r="T15" s="157">
        <v>28.96</v>
      </c>
      <c r="U15" s="189">
        <f t="shared" si="2"/>
        <v>1.2482758620689658</v>
      </c>
      <c r="V15" s="189">
        <f t="shared" si="3"/>
        <v>1.2449999999999999</v>
      </c>
      <c r="W15" s="189">
        <f t="shared" si="4"/>
        <v>0</v>
      </c>
      <c r="X15" s="189">
        <f t="shared" si="5"/>
        <v>0.72400000000000009</v>
      </c>
      <c r="Y15" s="189">
        <f t="shared" si="6"/>
        <v>164.755</v>
      </c>
      <c r="Z15" s="189">
        <f t="shared" si="6"/>
        <v>0</v>
      </c>
      <c r="AA15" s="189">
        <f t="shared" si="7"/>
        <v>26.987724137931036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605</v>
      </c>
      <c r="C19" s="95"/>
      <c r="D19" s="94"/>
      <c r="E19" s="96"/>
      <c r="F19" s="94"/>
      <c r="G19" s="94"/>
      <c r="H19" s="98"/>
      <c r="I19" s="99">
        <v>605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3551.35</v>
      </c>
      <c r="C20" s="95"/>
      <c r="D20" s="94"/>
      <c r="E20" s="96"/>
      <c r="F20" s="94"/>
      <c r="G20" s="94"/>
      <c r="H20" s="98"/>
      <c r="I20" s="99">
        <v>3551.35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19.760000000000002</v>
      </c>
      <c r="C37" s="100"/>
      <c r="D37" s="66"/>
      <c r="E37" s="67"/>
      <c r="F37" s="66"/>
      <c r="G37" s="66"/>
      <c r="H37" s="102"/>
      <c r="I37" s="79"/>
      <c r="J37" s="81">
        <f t="shared" si="0"/>
        <v>19.760000000000002</v>
      </c>
      <c r="K37" s="80"/>
      <c r="L37" s="186">
        <f>K37-B37</f>
        <v>-19.760000000000002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115.99120000000001</v>
      </c>
      <c r="C38" s="100"/>
      <c r="D38" s="66"/>
      <c r="E38" s="67"/>
      <c r="F38" s="66"/>
      <c r="G38" s="66"/>
      <c r="H38" s="102"/>
      <c r="I38" s="79"/>
      <c r="J38" s="81">
        <f t="shared" si="0"/>
        <v>115.99120000000001</v>
      </c>
      <c r="K38" s="80"/>
      <c r="L38" s="186">
        <f>K38-B38</f>
        <v>-115.99120000000001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1812.35</v>
      </c>
      <c r="S42" s="190">
        <f t="shared" si="8"/>
        <v>0</v>
      </c>
      <c r="T42" s="190">
        <f t="shared" si="8"/>
        <v>92.87</v>
      </c>
      <c r="U42" s="190">
        <f t="shared" si="8"/>
        <v>4.003017241379311</v>
      </c>
      <c r="V42" s="190">
        <f t="shared" si="8"/>
        <v>13.592624999999998</v>
      </c>
      <c r="W42" s="190">
        <f t="shared" si="8"/>
        <v>0</v>
      </c>
      <c r="X42" s="190">
        <f t="shared" si="8"/>
        <v>2.3217500000000002</v>
      </c>
      <c r="Y42" s="190">
        <f t="shared" si="8"/>
        <v>1798.7573750000001</v>
      </c>
      <c r="Z42" s="190">
        <f t="shared" si="8"/>
        <v>0</v>
      </c>
      <c r="AA42" s="190">
        <f t="shared" si="8"/>
        <v>86.545232758620699</v>
      </c>
      <c r="AB42" s="166"/>
    </row>
    <row r="43" spans="1:28" ht="15.75" x14ac:dyDescent="0.25">
      <c r="A43" s="93" t="s">
        <v>103</v>
      </c>
      <c r="B43" s="97">
        <f>+B37+B39+B41</f>
        <v>19.760000000000002</v>
      </c>
      <c r="C43" s="95"/>
      <c r="D43" s="94"/>
      <c r="E43" s="96"/>
      <c r="F43" s="94"/>
      <c r="G43" s="94"/>
      <c r="H43" s="98"/>
      <c r="I43" s="99"/>
      <c r="J43" s="185">
        <f t="shared" si="0"/>
        <v>19.760000000000002</v>
      </c>
      <c r="K43" s="99"/>
      <c r="L43" s="187">
        <f>K43-B43</f>
        <v>-19.760000000000002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115.99120000000001</v>
      </c>
      <c r="C44" s="95"/>
      <c r="D44" s="94"/>
      <c r="E44" s="96"/>
      <c r="F44" s="94"/>
      <c r="G44" s="94"/>
      <c r="H44" s="98"/>
      <c r="I44" s="99"/>
      <c r="J44" s="185">
        <f t="shared" si="0"/>
        <v>115.99120000000001</v>
      </c>
      <c r="K44" s="99"/>
      <c r="L44" s="187">
        <f>K44-B44</f>
        <v>-115.99120000000001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1812.35</v>
      </c>
      <c r="C46" s="116">
        <v>7.4999999999999997E-3</v>
      </c>
      <c r="D46" s="117">
        <f>B46*C46</f>
        <v>13.592624999999998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1798.7573749999999</v>
      </c>
      <c r="H46" s="173">
        <f>B$6+1</f>
        <v>44780</v>
      </c>
      <c r="I46" s="174">
        <v>1812.35</v>
      </c>
      <c r="J46" s="81">
        <f t="shared" si="0"/>
        <v>0</v>
      </c>
      <c r="K46" s="80">
        <v>1798.76</v>
      </c>
      <c r="L46" s="186">
        <f t="shared" ref="L46:L64" si="17">+G46-K46</f>
        <v>-2.6250000000800355E-3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44780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44780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4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218</v>
      </c>
      <c r="B49" s="117">
        <f>R75</f>
        <v>5003.4399999999996</v>
      </c>
      <c r="C49" s="116">
        <v>7.4999999999999997E-3</v>
      </c>
      <c r="D49" s="117">
        <f t="shared" si="18"/>
        <v>37.525799999999997</v>
      </c>
      <c r="E49" s="172">
        <v>0</v>
      </c>
      <c r="F49" s="117">
        <f t="shared" si="15"/>
        <v>0</v>
      </c>
      <c r="G49" s="117">
        <f t="shared" si="16"/>
        <v>4965.9141999999993</v>
      </c>
      <c r="H49" s="173">
        <f t="shared" si="19"/>
        <v>44780</v>
      </c>
      <c r="I49" s="176">
        <v>5003.4399999999996</v>
      </c>
      <c r="J49" s="81">
        <f t="shared" si="0"/>
        <v>0</v>
      </c>
      <c r="K49" s="80">
        <v>4965.91</v>
      </c>
      <c r="L49" s="186">
        <f t="shared" si="17"/>
        <v>4.1999999994004611E-3</v>
      </c>
      <c r="M49" s="107"/>
      <c r="N49" s="104">
        <v>7</v>
      </c>
      <c r="O49" s="167" t="s">
        <v>70</v>
      </c>
      <c r="P49" s="153"/>
      <c r="Q49" s="153"/>
      <c r="R49" s="154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368.90999999999997</v>
      </c>
      <c r="C50" s="116">
        <v>7.4999999999999997E-3</v>
      </c>
      <c r="D50" s="117">
        <f t="shared" si="18"/>
        <v>2.7668249999999999</v>
      </c>
      <c r="E50" s="172">
        <v>0</v>
      </c>
      <c r="F50" s="117">
        <f t="shared" si="15"/>
        <v>0</v>
      </c>
      <c r="G50" s="117">
        <f t="shared" si="16"/>
        <v>366.14317499999999</v>
      </c>
      <c r="H50" s="173">
        <f t="shared" si="19"/>
        <v>44780</v>
      </c>
      <c r="I50" s="175">
        <v>915.75</v>
      </c>
      <c r="J50" s="81">
        <f t="shared" si="0"/>
        <v>-546.84</v>
      </c>
      <c r="K50" s="80">
        <v>366.14</v>
      </c>
      <c r="L50" s="186">
        <f t="shared" si="17"/>
        <v>3.1749999999988177E-3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546.83999999999992</v>
      </c>
      <c r="C51" s="116">
        <v>1.4999999999999999E-2</v>
      </c>
      <c r="D51" s="117">
        <f>+B51*C51</f>
        <v>8.2025999999999986</v>
      </c>
      <c r="E51" s="172">
        <v>0</v>
      </c>
      <c r="F51" s="117">
        <f>D51*E51</f>
        <v>0</v>
      </c>
      <c r="G51" s="117">
        <f t="shared" si="16"/>
        <v>538.63739999999996</v>
      </c>
      <c r="H51" s="173">
        <f t="shared" si="19"/>
        <v>44780</v>
      </c>
      <c r="I51" s="175"/>
      <c r="J51" s="81">
        <f t="shared" si="0"/>
        <v>546.83999999999992</v>
      </c>
      <c r="K51" s="80">
        <v>538.64</v>
      </c>
      <c r="L51" s="186">
        <f t="shared" si="17"/>
        <v>-2.6000000000294676E-3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92.87</v>
      </c>
      <c r="C52" s="116">
        <v>2.5000000000000001E-2</v>
      </c>
      <c r="D52" s="117">
        <f>B52*C52</f>
        <v>2.3217500000000002</v>
      </c>
      <c r="E52" s="172">
        <v>0.05</v>
      </c>
      <c r="F52" s="117">
        <f>(B52/E$10)*E52</f>
        <v>4.003017241379311</v>
      </c>
      <c r="G52" s="117">
        <f>B52-D52-F52</f>
        <v>86.545232758620699</v>
      </c>
      <c r="H52" s="188">
        <f t="shared" si="19"/>
        <v>44780</v>
      </c>
      <c r="I52" s="176">
        <v>92.87</v>
      </c>
      <c r="J52" s="81">
        <f t="shared" si="0"/>
        <v>0</v>
      </c>
      <c r="K52" s="80">
        <v>86.55</v>
      </c>
      <c r="L52" s="186">
        <f t="shared" si="17"/>
        <v>-4.7672413792980706E-3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44780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44780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44780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28.41</v>
      </c>
      <c r="C56" s="116">
        <v>2.5000000000000001E-2</v>
      </c>
      <c r="D56" s="117">
        <f t="shared" si="20"/>
        <v>0.71025000000000005</v>
      </c>
      <c r="E56" s="172">
        <v>0.05</v>
      </c>
      <c r="F56" s="117">
        <f t="shared" si="21"/>
        <v>1.2245689655172416</v>
      </c>
      <c r="G56" s="117">
        <f t="shared" si="22"/>
        <v>26.475181034482759</v>
      </c>
      <c r="H56" s="173">
        <f t="shared" si="19"/>
        <v>44780</v>
      </c>
      <c r="I56" s="176">
        <v>28.41</v>
      </c>
      <c r="J56" s="81">
        <f t="shared" si="0"/>
        <v>0</v>
      </c>
      <c r="K56" s="80">
        <v>26.48</v>
      </c>
      <c r="L56" s="186">
        <f t="shared" si="17"/>
        <v>-4.8189655172414803E-3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44782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44784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44809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65.119849999999985</v>
      </c>
      <c r="E61" s="177"/>
      <c r="F61" s="57">
        <f>SUM(F46:F58)</f>
        <v>5.2275862068965528</v>
      </c>
      <c r="G61" s="57">
        <f>SUM(G46:G58)</f>
        <v>7782.4725637931024</v>
      </c>
      <c r="H61" s="173">
        <f t="shared" si="19"/>
        <v>44780</v>
      </c>
      <c r="I61" s="175"/>
      <c r="J61" s="81">
        <f t="shared" si="0"/>
        <v>0</v>
      </c>
      <c r="K61" s="80"/>
      <c r="L61" s="186">
        <f t="shared" si="17"/>
        <v>7782.4725637931024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44780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15564.945127586205</v>
      </c>
      <c r="H64" s="184"/>
      <c r="I64" s="175"/>
      <c r="J64" s="81">
        <f t="shared" si="0"/>
        <v>0</v>
      </c>
      <c r="K64" s="80"/>
      <c r="L64" s="186">
        <f t="shared" si="17"/>
        <v>15564.945127586205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12272.1612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12230.28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12134.99</v>
      </c>
      <c r="C69" s="59"/>
      <c r="F69" s="87" t="s">
        <v>129</v>
      </c>
      <c r="G69" s="22">
        <f>+G46</f>
        <v>1798.7573749999999</v>
      </c>
      <c r="H69" s="89">
        <f>+G52</f>
        <v>86.545232758620699</v>
      </c>
      <c r="I69" s="136"/>
      <c r="J69" s="136"/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95.290000000000873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172</v>
      </c>
      <c r="P70" s="228">
        <v>67</v>
      </c>
      <c r="Q70" s="228">
        <v>2003</v>
      </c>
      <c r="R70" s="228">
        <v>975.55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7.3166249999999993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968.23337499999991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41.881199999999808</v>
      </c>
      <c r="C71" s="64"/>
      <c r="F71" s="87" t="s">
        <v>131</v>
      </c>
      <c r="G71" s="137"/>
      <c r="H71" s="87"/>
      <c r="I71" s="81">
        <f>+I69-G69-G70-G71-G72-G73</f>
        <v>-1798.7573749999999</v>
      </c>
      <c r="J71" s="81">
        <f>+J69-H69-H70-H71-H72-H73</f>
        <v>-86.545232758620699</v>
      </c>
      <c r="N71" s="87">
        <v>2</v>
      </c>
      <c r="O71" s="122" t="s">
        <v>172</v>
      </c>
      <c r="P71" s="228">
        <v>760</v>
      </c>
      <c r="Q71" s="228">
        <v>2002</v>
      </c>
      <c r="R71" s="228">
        <v>1037.31</v>
      </c>
      <c r="S71" s="228"/>
      <c r="T71" s="228"/>
      <c r="U71" s="189">
        <f t="shared" si="34"/>
        <v>0</v>
      </c>
      <c r="V71" s="189">
        <f t="shared" si="35"/>
        <v>7.7798249999999989</v>
      </c>
      <c r="W71" s="189">
        <f t="shared" si="36"/>
        <v>0</v>
      </c>
      <c r="X71" s="189">
        <f t="shared" si="37"/>
        <v>0</v>
      </c>
      <c r="Y71" s="189">
        <f t="shared" si="38"/>
        <v>1029.5301749999999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761</v>
      </c>
      <c r="Q72" s="228">
        <v>2002</v>
      </c>
      <c r="R72" s="228">
        <v>1521.42</v>
      </c>
      <c r="S72" s="228"/>
      <c r="T72" s="228"/>
      <c r="U72" s="189">
        <f t="shared" si="34"/>
        <v>0</v>
      </c>
      <c r="V72" s="189">
        <f t="shared" si="35"/>
        <v>11.41065</v>
      </c>
      <c r="W72" s="189">
        <f t="shared" si="36"/>
        <v>0</v>
      </c>
      <c r="X72" s="189">
        <f t="shared" si="37"/>
        <v>0</v>
      </c>
      <c r="Y72" s="189">
        <f t="shared" si="38"/>
        <v>1510.00935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>
        <v>769</v>
      </c>
      <c r="Q73" s="228">
        <v>2001</v>
      </c>
      <c r="R73" s="228">
        <v>321.87</v>
      </c>
      <c r="S73" s="228"/>
      <c r="T73" s="228"/>
      <c r="U73" s="189">
        <f t="shared" si="34"/>
        <v>0</v>
      </c>
      <c r="V73" s="189">
        <f t="shared" si="35"/>
        <v>2.4140250000000001</v>
      </c>
      <c r="W73" s="189">
        <f t="shared" si="36"/>
        <v>0</v>
      </c>
      <c r="X73" s="189">
        <f t="shared" si="37"/>
        <v>0</v>
      </c>
      <c r="Y73" s="189">
        <f t="shared" si="38"/>
        <v>319.45597500000002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1798.7573749999999</v>
      </c>
      <c r="H74" s="89">
        <f t="shared" ref="H74" si="40">+H69+H70+H71+H72+H73</f>
        <v>86.545232758620699</v>
      </c>
      <c r="N74" s="87">
        <v>5</v>
      </c>
      <c r="O74" s="122" t="s">
        <v>172</v>
      </c>
      <c r="P74" s="228">
        <v>770</v>
      </c>
      <c r="Q74" s="228">
        <v>2001</v>
      </c>
      <c r="R74" s="222">
        <v>1147.29</v>
      </c>
      <c r="S74" s="228"/>
      <c r="T74" s="228">
        <v>28.41</v>
      </c>
      <c r="U74" s="189">
        <f t="shared" si="34"/>
        <v>1.2245689655172416</v>
      </c>
      <c r="V74" s="189">
        <f t="shared" si="35"/>
        <v>8.6046750000000003</v>
      </c>
      <c r="W74" s="189">
        <f t="shared" si="36"/>
        <v>0</v>
      </c>
      <c r="X74" s="189">
        <f t="shared" si="37"/>
        <v>0.71025000000000005</v>
      </c>
      <c r="Y74" s="189">
        <f t="shared" si="38"/>
        <v>1138.6853249999999</v>
      </c>
      <c r="Z74" s="189">
        <f t="shared" si="38"/>
        <v>0</v>
      </c>
      <c r="AA74" s="189">
        <f t="shared" si="39"/>
        <v>26.475181034482759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5003.4399999999996</v>
      </c>
      <c r="S75" s="192"/>
      <c r="T75" s="192">
        <f>SUM(T70:T74)</f>
        <v>28.41</v>
      </c>
      <c r="U75" s="192">
        <f>SUM(U70:U74)</f>
        <v>1.2245689655172416</v>
      </c>
      <c r="V75" s="192">
        <f t="shared" ref="V75:AA75" si="41">SUM(V70:V74)</f>
        <v>37.525799999999997</v>
      </c>
      <c r="W75" s="192">
        <f t="shared" si="41"/>
        <v>0</v>
      </c>
      <c r="X75" s="192">
        <f t="shared" si="41"/>
        <v>0.71025000000000005</v>
      </c>
      <c r="Y75" s="192">
        <f t="shared" si="41"/>
        <v>4965.9141999999993</v>
      </c>
      <c r="Z75" s="192">
        <f t="shared" si="41"/>
        <v>0</v>
      </c>
      <c r="AA75" s="193">
        <f t="shared" si="41"/>
        <v>26.475181034482759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179.08+108.56+30.03</f>
        <v>317.66999999999996</v>
      </c>
      <c r="R78" s="82">
        <v>7.4999999999999997E-3</v>
      </c>
      <c r="S78" s="194">
        <f>+(P78+Q78)*R78</f>
        <v>2.3825249999999998</v>
      </c>
      <c r="T78" s="213">
        <f>+(P78+Q78)-S78</f>
        <v>315.28747499999997</v>
      </c>
      <c r="U78" s="211">
        <f>160.47+63.34</f>
        <v>223.81</v>
      </c>
      <c r="V78" s="112"/>
      <c r="W78" s="113">
        <v>1.4999999999999999E-2</v>
      </c>
      <c r="X78" s="196">
        <f>+(U78+V78)*W78</f>
        <v>3.3571499999999999</v>
      </c>
      <c r="Y78" s="246">
        <f>+(U78+V78)-X78</f>
        <v>220.45285000000001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>
        <f>26.27+24.97</f>
        <v>51.239999999999995</v>
      </c>
      <c r="R79" s="82">
        <v>7.4999999999999997E-3</v>
      </c>
      <c r="S79" s="194">
        <f t="shared" ref="S79:S97" si="43">+(P79+Q79)*R79</f>
        <v>0.38429999999999997</v>
      </c>
      <c r="T79" s="213">
        <f t="shared" ref="T79:T97" si="44">+(P79+Q79)-S79</f>
        <v>50.855699999999992</v>
      </c>
      <c r="U79" s="211">
        <f>228.67+94.36</f>
        <v>323.02999999999997</v>
      </c>
      <c r="V79" s="112"/>
      <c r="W79" s="113">
        <v>1.4999999999999999E-2</v>
      </c>
      <c r="X79" s="196">
        <f t="shared" ref="X79:X97" si="45">+(U79+V79)*W79</f>
        <v>4.8454499999999996</v>
      </c>
      <c r="Y79" s="246">
        <f t="shared" ref="Y79:Y97" si="46">+(U79+V79)-X79</f>
        <v>318.18454999999994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46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3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46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368.90999999999997</v>
      </c>
      <c r="R98" s="111"/>
      <c r="S98" s="195">
        <f>SUM(S78:S97)</f>
        <v>2.7668249999999999</v>
      </c>
      <c r="T98" s="195">
        <f>SUM(T78:T97)</f>
        <v>366.14317499999999</v>
      </c>
      <c r="U98" s="114">
        <f>SUM(U78:U97)</f>
        <v>546.83999999999992</v>
      </c>
      <c r="V98" s="114">
        <f>SUM(V78:V97)</f>
        <v>0</v>
      </c>
      <c r="W98" s="112"/>
      <c r="X98" s="197">
        <f>SUM(X78:X97)</f>
        <v>8.2026000000000003</v>
      </c>
      <c r="Y98" s="197">
        <f>SUM(Y78:Y97)</f>
        <v>538.63739999999996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Q103" s="215">
        <f t="shared" ref="Q103:Q109" si="50">P78+Q78+U78</f>
        <v>541.48</v>
      </c>
    </row>
    <row r="104" spans="14:30" x14ac:dyDescent="0.25">
      <c r="N104" s="85"/>
      <c r="Q104" s="215">
        <f t="shared" si="50"/>
        <v>374.27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15">
        <f t="shared" si="50"/>
        <v>0</v>
      </c>
    </row>
    <row r="107" spans="14:30" x14ac:dyDescent="0.25">
      <c r="N107" s="85"/>
      <c r="Q107" s="212">
        <f t="shared" si="50"/>
        <v>0</v>
      </c>
    </row>
    <row r="108" spans="14:30" x14ac:dyDescent="0.25">
      <c r="N108" s="85"/>
      <c r="Q108" s="85">
        <f t="shared" si="50"/>
        <v>0</v>
      </c>
    </row>
    <row r="109" spans="14:30" x14ac:dyDescent="0.25">
      <c r="N109" s="85"/>
      <c r="Q109" s="85">
        <f t="shared" si="50"/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1" priority="1" operator="greaterThan">
      <formula>0</formula>
    </cfRule>
    <cfRule type="cellIs" dxfId="5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" zoomScale="90" zoomScaleNormal="90" workbookViewId="0">
      <selection activeCell="H29" sqref="H2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44780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5.87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366.5+249.5+136+506+149</f>
        <v>1407</v>
      </c>
      <c r="C12" s="15"/>
      <c r="D12" s="56"/>
      <c r="E12" s="16"/>
      <c r="F12" s="56"/>
      <c r="G12" s="56"/>
      <c r="H12" s="17"/>
      <c r="I12" s="83">
        <v>1407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3">
        <v>239</v>
      </c>
      <c r="Q12" s="153">
        <v>2001</v>
      </c>
      <c r="R12" s="154">
        <v>765.67</v>
      </c>
      <c r="S12" s="155"/>
      <c r="T12" s="155"/>
      <c r="U12" s="189">
        <f>((T12/U$10)*U$9)</f>
        <v>0</v>
      </c>
      <c r="V12" s="189">
        <f>R12*V$10</f>
        <v>5.7425249999999997</v>
      </c>
      <c r="W12" s="189">
        <f>+S12*V$10</f>
        <v>0</v>
      </c>
      <c r="X12" s="189">
        <f>+T12*X$10</f>
        <v>0</v>
      </c>
      <c r="Y12" s="189">
        <f>R12-V12</f>
        <v>759.92747499999996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f>116+249+130+120+138</f>
        <v>753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753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3">
        <v>139</v>
      </c>
      <c r="Q13" s="153">
        <v>2001</v>
      </c>
      <c r="R13" s="154">
        <v>38.78</v>
      </c>
      <c r="S13" s="155"/>
      <c r="T13" s="157">
        <v>29.34</v>
      </c>
      <c r="U13" s="189">
        <f t="shared" ref="U13:U41" si="2">((T13/U$10)*U$9)</f>
        <v>1.2646551724137933</v>
      </c>
      <c r="V13" s="189">
        <f t="shared" ref="V13:V41" si="3">R13*V$10</f>
        <v>0.29085</v>
      </c>
      <c r="W13" s="189">
        <f t="shared" ref="W13:W41" si="4">+S13*V$10</f>
        <v>0</v>
      </c>
      <c r="X13" s="189">
        <f t="shared" ref="X13:X41" si="5">+T13*X$10</f>
        <v>0.73350000000000004</v>
      </c>
      <c r="Y13" s="189">
        <f t="shared" ref="Y13:Z41" si="6">R13-V13</f>
        <v>38.489150000000002</v>
      </c>
      <c r="Z13" s="189">
        <f t="shared" si="6"/>
        <v>0</v>
      </c>
      <c r="AA13" s="189">
        <f t="shared" ref="AA13:AA41" si="7">T13-U13-X13</f>
        <v>27.341844827586208</v>
      </c>
      <c r="AB13" s="156"/>
    </row>
    <row r="14" spans="1:28" ht="15.75" x14ac:dyDescent="0.25">
      <c r="A14" s="86" t="s">
        <v>83</v>
      </c>
      <c r="B14" s="57">
        <f>B13*B8</f>
        <v>4420.1099999999997</v>
      </c>
      <c r="C14" s="15"/>
      <c r="D14" s="56"/>
      <c r="E14" s="16"/>
      <c r="F14" s="56"/>
      <c r="G14" s="56"/>
      <c r="H14" s="17"/>
      <c r="I14" s="83"/>
      <c r="J14" s="81">
        <f t="shared" si="0"/>
        <v>4420.1099999999997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3">
        <v>275</v>
      </c>
      <c r="Q14" s="153">
        <v>2001</v>
      </c>
      <c r="R14" s="154">
        <v>4</v>
      </c>
      <c r="S14" s="155"/>
      <c r="T14" s="157">
        <v>29.12</v>
      </c>
      <c r="U14" s="189">
        <f t="shared" si="2"/>
        <v>1.2551724137931037</v>
      </c>
      <c r="V14" s="189">
        <f t="shared" si="3"/>
        <v>0.03</v>
      </c>
      <c r="W14" s="189">
        <f t="shared" si="4"/>
        <v>0</v>
      </c>
      <c r="X14" s="189">
        <f t="shared" si="5"/>
        <v>0.72800000000000009</v>
      </c>
      <c r="Y14" s="189">
        <f t="shared" si="6"/>
        <v>3.97</v>
      </c>
      <c r="Z14" s="189">
        <f t="shared" si="6"/>
        <v>0</v>
      </c>
      <c r="AA14" s="189">
        <f t="shared" si="7"/>
        <v>27.136827586206895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753</v>
      </c>
      <c r="C19" s="95"/>
      <c r="D19" s="94"/>
      <c r="E19" s="96"/>
      <c r="F19" s="94"/>
      <c r="G19" s="94"/>
      <c r="H19" s="98"/>
      <c r="I19" s="99">
        <v>753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4420.1099999999997</v>
      </c>
      <c r="C20" s="95"/>
      <c r="D20" s="94"/>
      <c r="E20" s="96"/>
      <c r="F20" s="94"/>
      <c r="G20" s="94"/>
      <c r="H20" s="98"/>
      <c r="I20" s="99">
        <v>4420.1099999999997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44.51</v>
      </c>
      <c r="C37" s="100"/>
      <c r="D37" s="66"/>
      <c r="E37" s="67"/>
      <c r="F37" s="66"/>
      <c r="G37" s="66"/>
      <c r="H37" s="102"/>
      <c r="I37" s="79"/>
      <c r="J37" s="81">
        <f t="shared" si="0"/>
        <v>44.51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261.27370000000002</v>
      </c>
      <c r="C38" s="100"/>
      <c r="D38" s="66"/>
      <c r="E38" s="67"/>
      <c r="F38" s="66"/>
      <c r="G38" s="66"/>
      <c r="H38" s="102"/>
      <c r="I38" s="79"/>
      <c r="J38" s="81">
        <f t="shared" si="0"/>
        <v>261.27370000000002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808.44999999999993</v>
      </c>
      <c r="S42" s="190">
        <f t="shared" si="8"/>
        <v>0</v>
      </c>
      <c r="T42" s="190">
        <f t="shared" si="8"/>
        <v>58.46</v>
      </c>
      <c r="U42" s="190">
        <f t="shared" si="8"/>
        <v>2.5198275862068971</v>
      </c>
      <c r="V42" s="190">
        <f t="shared" si="8"/>
        <v>6.0633749999999997</v>
      </c>
      <c r="W42" s="190">
        <f t="shared" si="8"/>
        <v>0</v>
      </c>
      <c r="X42" s="190">
        <f t="shared" si="8"/>
        <v>1.4615</v>
      </c>
      <c r="Y42" s="190">
        <f t="shared" si="8"/>
        <v>802.38662499999998</v>
      </c>
      <c r="Z42" s="190">
        <f t="shared" si="8"/>
        <v>0</v>
      </c>
      <c r="AA42" s="190">
        <f t="shared" si="8"/>
        <v>54.478672413793106</v>
      </c>
      <c r="AB42" s="166"/>
    </row>
    <row r="43" spans="1:28" ht="15.75" x14ac:dyDescent="0.25">
      <c r="A43" s="93" t="s">
        <v>103</v>
      </c>
      <c r="B43" s="97">
        <f>+B37+B39+B41</f>
        <v>44.51</v>
      </c>
      <c r="C43" s="95"/>
      <c r="D43" s="94"/>
      <c r="E43" s="96"/>
      <c r="F43" s="94"/>
      <c r="G43" s="94"/>
      <c r="H43" s="98"/>
      <c r="I43" s="99">
        <v>44.51</v>
      </c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204</v>
      </c>
      <c r="P43" s="158"/>
      <c r="Q43" s="158"/>
      <c r="R43" s="162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261.27370000000002</v>
      </c>
      <c r="C44" s="95"/>
      <c r="D44" s="94"/>
      <c r="E44" s="96"/>
      <c r="F44" s="94"/>
      <c r="G44" s="94"/>
      <c r="H44" s="98"/>
      <c r="I44" s="99"/>
      <c r="J44" s="185">
        <f t="shared" si="0"/>
        <v>261.27370000000002</v>
      </c>
      <c r="K44" s="99"/>
      <c r="L44" s="187">
        <f t="shared" si="1"/>
        <v>0</v>
      </c>
      <c r="M44" s="107"/>
      <c r="N44" s="104">
        <v>2</v>
      </c>
      <c r="O44" s="167" t="s">
        <v>204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808.44999999999993</v>
      </c>
      <c r="C46" s="116">
        <v>7.4999999999999997E-3</v>
      </c>
      <c r="D46" s="117">
        <f>B46*C46</f>
        <v>6.0633749999999988</v>
      </c>
      <c r="E46" s="172">
        <v>0</v>
      </c>
      <c r="F46" s="117">
        <f t="shared" ref="F46:F50" si="15">D46*E46</f>
        <v>0</v>
      </c>
      <c r="G46" s="117">
        <f t="shared" ref="G46:G51" si="16">B46-D46-F46</f>
        <v>802.38662499999998</v>
      </c>
      <c r="H46" s="173">
        <f>B$6+1</f>
        <v>44781</v>
      </c>
      <c r="I46" s="174">
        <v>808.45</v>
      </c>
      <c r="J46" s="81">
        <f t="shared" si="0"/>
        <v>0</v>
      </c>
      <c r="K46" s="80">
        <v>802.39</v>
      </c>
      <c r="L46" s="186">
        <f>K46-G46</f>
        <v>3.375000000005457E-3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5297.74</v>
      </c>
      <c r="C49" s="116">
        <v>7.4999999999999997E-3</v>
      </c>
      <c r="D49" s="117">
        <f t="shared" si="17"/>
        <v>39.733049999999999</v>
      </c>
      <c r="E49" s="172">
        <v>0</v>
      </c>
      <c r="F49" s="117">
        <f t="shared" si="15"/>
        <v>0</v>
      </c>
      <c r="G49" s="117">
        <f t="shared" si="16"/>
        <v>5258.00695</v>
      </c>
      <c r="H49" s="173">
        <f t="shared" si="19"/>
        <v>44781</v>
      </c>
      <c r="I49" s="219">
        <v>5297.74</v>
      </c>
      <c r="J49" s="81">
        <f t="shared" si="0"/>
        <v>0</v>
      </c>
      <c r="K49" s="80">
        <v>5258.01</v>
      </c>
      <c r="L49" s="186">
        <f t="shared" si="18"/>
        <v>-3.0500000002575689E-3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544.47</v>
      </c>
      <c r="C50" s="116">
        <v>7.4999999999999997E-3</v>
      </c>
      <c r="D50" s="117">
        <f t="shared" si="17"/>
        <v>4.0835249999999998</v>
      </c>
      <c r="E50" s="172">
        <v>0</v>
      </c>
      <c r="F50" s="117">
        <f t="shared" si="15"/>
        <v>0</v>
      </c>
      <c r="G50" s="117">
        <f t="shared" si="16"/>
        <v>540.38647500000002</v>
      </c>
      <c r="H50" s="173">
        <f t="shared" si="19"/>
        <v>44781</v>
      </c>
      <c r="I50" s="175">
        <v>726.87</v>
      </c>
      <c r="J50" s="81">
        <f t="shared" si="0"/>
        <v>-182.39999999999998</v>
      </c>
      <c r="K50" s="80">
        <v>540.39</v>
      </c>
      <c r="L50" s="186">
        <f t="shared" si="18"/>
        <v>-3.5249999999678039E-3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182.4</v>
      </c>
      <c r="C51" s="116">
        <v>1.4999999999999999E-2</v>
      </c>
      <c r="D51" s="117">
        <f>+B51*C51</f>
        <v>2.7359999999999998</v>
      </c>
      <c r="E51" s="172">
        <v>0</v>
      </c>
      <c r="F51" s="117">
        <f>D51*E51</f>
        <v>0</v>
      </c>
      <c r="G51" s="117">
        <f t="shared" si="16"/>
        <v>179.66400000000002</v>
      </c>
      <c r="H51" s="173">
        <f t="shared" si="19"/>
        <v>44781</v>
      </c>
      <c r="I51" s="175"/>
      <c r="J51" s="81">
        <f t="shared" si="0"/>
        <v>182.4</v>
      </c>
      <c r="K51" s="80">
        <v>179.66</v>
      </c>
      <c r="L51" s="186">
        <f t="shared" si="18"/>
        <v>4.0000000000190994E-3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58.46</v>
      </c>
      <c r="C52" s="116">
        <v>2.5000000000000001E-2</v>
      </c>
      <c r="D52" s="117">
        <f>B52*C52</f>
        <v>1.4615</v>
      </c>
      <c r="E52" s="172">
        <v>0.05</v>
      </c>
      <c r="F52" s="117">
        <f>(B52/E$10)*E52</f>
        <v>2.5198275862068971</v>
      </c>
      <c r="G52" s="117">
        <f>B52-D52-F52</f>
        <v>54.478672413793106</v>
      </c>
      <c r="H52" s="188">
        <f t="shared" si="19"/>
        <v>44781</v>
      </c>
      <c r="I52" s="176">
        <v>58.46</v>
      </c>
      <c r="J52" s="81">
        <f t="shared" si="0"/>
        <v>0</v>
      </c>
      <c r="K52" s="80">
        <v>54.48</v>
      </c>
      <c r="L52" s="186">
        <f>K52-G52</f>
        <v>1.327586206890885E-3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174</v>
      </c>
      <c r="B56" s="117">
        <f>T75</f>
        <v>50.75</v>
      </c>
      <c r="C56" s="116">
        <v>2.5000000000000001E-2</v>
      </c>
      <c r="D56" s="117">
        <f t="shared" si="20"/>
        <v>1.26875</v>
      </c>
      <c r="E56" s="172">
        <v>0.05</v>
      </c>
      <c r="F56" s="117">
        <f t="shared" si="21"/>
        <v>2.1875</v>
      </c>
      <c r="G56" s="117">
        <f t="shared" si="22"/>
        <v>47.293750000000003</v>
      </c>
      <c r="H56" s="173">
        <f t="shared" si="19"/>
        <v>44781</v>
      </c>
      <c r="I56" s="176">
        <v>50.75</v>
      </c>
      <c r="J56" s="81">
        <f t="shared" si="0"/>
        <v>0</v>
      </c>
      <c r="K56" s="80">
        <v>47.29</v>
      </c>
      <c r="L56" s="186">
        <f t="shared" si="18"/>
        <v>3.7500000000036948E-3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/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55.346199999999996</v>
      </c>
      <c r="E61" s="177"/>
      <c r="F61" s="57">
        <f>SUM(F46:F58)</f>
        <v>4.7073275862068975</v>
      </c>
      <c r="G61" s="57">
        <f>SUM(G46:G58)</f>
        <v>6882.2164724137929</v>
      </c>
      <c r="H61" s="173">
        <f t="shared" si="19"/>
        <v>44781</v>
      </c>
      <c r="I61" s="175"/>
      <c r="J61" s="81">
        <f t="shared" si="0"/>
        <v>0</v>
      </c>
      <c r="K61" s="80"/>
      <c r="L61" s="186">
        <f t="shared" si="18"/>
        <v>6882.2164724137929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13764.432944827586</v>
      </c>
      <c r="H64" s="184"/>
      <c r="I64" s="175"/>
      <c r="J64" s="81">
        <f t="shared" si="0"/>
        <v>0</v>
      </c>
      <c r="K64" s="80"/>
      <c r="L64" s="186">
        <f t="shared" si="18"/>
        <v>13764.432944827586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13030.653699999997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13014.61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12889.62</v>
      </c>
      <c r="C69" s="59"/>
      <c r="F69" s="87" t="s">
        <v>129</v>
      </c>
      <c r="G69" s="22"/>
      <c r="H69" s="89"/>
      <c r="I69" s="136"/>
      <c r="J69" s="136">
        <f>K52</f>
        <v>54.48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124.98999999999978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172</v>
      </c>
      <c r="P70" s="228">
        <v>68</v>
      </c>
      <c r="Q70" s="228">
        <v>2003</v>
      </c>
      <c r="R70" s="222">
        <v>555.25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4.1643749999999997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551.08562500000005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16.043699999996534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54.48</v>
      </c>
      <c r="N71" s="87">
        <v>2</v>
      </c>
      <c r="O71" s="122" t="s">
        <v>172</v>
      </c>
      <c r="P71" s="228">
        <v>762</v>
      </c>
      <c r="Q71" s="228">
        <v>2002</v>
      </c>
      <c r="R71" s="222">
        <v>556.98</v>
      </c>
      <c r="S71" s="228"/>
      <c r="T71" s="228"/>
      <c r="U71" s="189">
        <f t="shared" si="34"/>
        <v>0</v>
      </c>
      <c r="V71" s="189">
        <f t="shared" si="35"/>
        <v>4.1773499999999997</v>
      </c>
      <c r="W71" s="189">
        <f t="shared" si="36"/>
        <v>0</v>
      </c>
      <c r="X71" s="189">
        <f t="shared" si="37"/>
        <v>0</v>
      </c>
      <c r="Y71" s="189">
        <f t="shared" si="38"/>
        <v>552.80264999999997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763</v>
      </c>
      <c r="Q72" s="228">
        <v>2002</v>
      </c>
      <c r="R72" s="222">
        <v>1924.66</v>
      </c>
      <c r="S72" s="228"/>
      <c r="T72" s="222"/>
      <c r="U72" s="189">
        <f t="shared" si="34"/>
        <v>0</v>
      </c>
      <c r="V72" s="189">
        <f t="shared" si="35"/>
        <v>14.434950000000001</v>
      </c>
      <c r="W72" s="189">
        <f t="shared" si="36"/>
        <v>0</v>
      </c>
      <c r="X72" s="189">
        <f t="shared" si="37"/>
        <v>0</v>
      </c>
      <c r="Y72" s="189">
        <f t="shared" si="38"/>
        <v>1910.22505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>
        <v>771</v>
      </c>
      <c r="Q73" s="228">
        <v>2001</v>
      </c>
      <c r="R73" s="222">
        <v>1352.29</v>
      </c>
      <c r="S73" s="228"/>
      <c r="T73" s="228">
        <v>50.75</v>
      </c>
      <c r="U73" s="189">
        <f t="shared" si="34"/>
        <v>2.1875</v>
      </c>
      <c r="V73" s="189">
        <f t="shared" si="35"/>
        <v>10.142175</v>
      </c>
      <c r="W73" s="189">
        <f t="shared" si="36"/>
        <v>0</v>
      </c>
      <c r="X73" s="189">
        <f t="shared" si="37"/>
        <v>1.26875</v>
      </c>
      <c r="Y73" s="189">
        <f t="shared" si="38"/>
        <v>1342.147825</v>
      </c>
      <c r="Z73" s="189">
        <f t="shared" si="38"/>
        <v>0</v>
      </c>
      <c r="AA73" s="189">
        <f t="shared" si="39"/>
        <v>47.293750000000003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>
        <v>772</v>
      </c>
      <c r="Q74" s="228">
        <v>2001</v>
      </c>
      <c r="R74" s="222">
        <v>908.56</v>
      </c>
      <c r="S74" s="228"/>
      <c r="T74" s="228"/>
      <c r="U74" s="189">
        <f t="shared" si="34"/>
        <v>0</v>
      </c>
      <c r="V74" s="189">
        <f t="shared" si="35"/>
        <v>6.8141999999999996</v>
      </c>
      <c r="W74" s="189">
        <f t="shared" si="36"/>
        <v>0</v>
      </c>
      <c r="X74" s="189">
        <f t="shared" si="37"/>
        <v>0</v>
      </c>
      <c r="Y74" s="189">
        <f t="shared" si="38"/>
        <v>901.74579999999992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5297.74</v>
      </c>
      <c r="S75" s="192"/>
      <c r="T75" s="192">
        <f>SUM(T70:T74)</f>
        <v>50.75</v>
      </c>
      <c r="U75" s="192">
        <f>SUM(U70:U74)</f>
        <v>2.1875</v>
      </c>
      <c r="V75" s="192">
        <f t="shared" ref="V75:AA75" si="41">SUM(V70:V74)</f>
        <v>39.733049999999999</v>
      </c>
      <c r="W75" s="192">
        <f t="shared" si="41"/>
        <v>0</v>
      </c>
      <c r="X75" s="192">
        <f t="shared" si="41"/>
        <v>1.26875</v>
      </c>
      <c r="Y75" s="192">
        <f t="shared" si="41"/>
        <v>5258.00695</v>
      </c>
      <c r="Z75" s="192">
        <f t="shared" si="41"/>
        <v>0</v>
      </c>
      <c r="AA75" s="193">
        <f t="shared" si="41"/>
        <v>47.293750000000003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149.63+39.67+143.35+31.62</f>
        <v>364.27</v>
      </c>
      <c r="R78" s="82">
        <v>7.4999999999999997E-3</v>
      </c>
      <c r="S78" s="194">
        <f>+(P78+Q78)*R78</f>
        <v>2.7320249999999997</v>
      </c>
      <c r="T78" s="219">
        <f>+(P78+Q78)-S78</f>
        <v>361.53797499999996</v>
      </c>
      <c r="U78" s="211">
        <f>8+22.37</f>
        <v>30.37</v>
      </c>
      <c r="V78" s="112"/>
      <c r="W78" s="113">
        <v>1.4999999999999999E-2</v>
      </c>
      <c r="X78" s="196">
        <f>+(U78+V78)*W78</f>
        <v>0.45555000000000001</v>
      </c>
      <c r="Y78" s="213">
        <f>+(U78+V78)-X78</f>
        <v>29.914450000000002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540.39</v>
      </c>
      <c r="N79" s="87">
        <v>2</v>
      </c>
      <c r="O79" s="87" t="s">
        <v>112</v>
      </c>
      <c r="P79" s="137"/>
      <c r="Q79" s="137">
        <f>67.68+102.36+10.16</f>
        <v>180.20000000000002</v>
      </c>
      <c r="R79" s="82">
        <v>7.4999999999999997E-3</v>
      </c>
      <c r="S79" s="194">
        <f t="shared" ref="S79:S97" si="43">+(P79+Q79)*R79</f>
        <v>1.3515000000000001</v>
      </c>
      <c r="T79" s="219">
        <f t="shared" ref="T79:T97" si="44">+(P79+Q79)-S79</f>
        <v>178.84850000000003</v>
      </c>
      <c r="U79" s="211">
        <f>39.39+112.64</f>
        <v>152.03</v>
      </c>
      <c r="V79" s="112"/>
      <c r="W79" s="113">
        <v>1.4999999999999999E-2</v>
      </c>
      <c r="X79" s="196">
        <f t="shared" ref="X79:X97" si="45">+(U79+V79)*W79</f>
        <v>2.2804500000000001</v>
      </c>
      <c r="Y79" s="213">
        <f t="shared" ref="Y79:Y97" si="46">+(U79+V79)-X79</f>
        <v>149.74955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3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540.39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37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3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46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46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87"/>
      <c r="R83" s="82">
        <v>7.4999999999999997E-3</v>
      </c>
      <c r="S83" s="194">
        <f t="shared" si="43"/>
        <v>0</v>
      </c>
      <c r="T83" s="237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3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46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24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544.47</v>
      </c>
      <c r="R98" s="111"/>
      <c r="S98" s="195">
        <f>SUM(S78:S97)</f>
        <v>4.0835249999999998</v>
      </c>
      <c r="T98" s="195">
        <f>SUM(T78:T97)</f>
        <v>540.38647500000002</v>
      </c>
      <c r="U98" s="114">
        <f>SUM(U78:U97)</f>
        <v>182.4</v>
      </c>
      <c r="V98" s="114">
        <f>SUM(V78:V97)</f>
        <v>0</v>
      </c>
      <c r="W98" s="112"/>
      <c r="X98" s="197">
        <f>SUM(X78:X97)</f>
        <v>2.7360000000000002</v>
      </c>
      <c r="Y98" s="197">
        <f>SUM(Y78:Y97)</f>
        <v>179.66399999999999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P78+Q78+U78</f>
        <v>394.64</v>
      </c>
    </row>
    <row r="102" spans="14:30" x14ac:dyDescent="0.25">
      <c r="N102" s="85"/>
      <c r="Q102" s="212">
        <f>P79+U79+Q79</f>
        <v>332.23</v>
      </c>
    </row>
    <row r="103" spans="14:30" x14ac:dyDescent="0.25">
      <c r="N103" s="85"/>
      <c r="Q103" s="212">
        <f>P80+Q80+U80</f>
        <v>0</v>
      </c>
    </row>
    <row r="104" spans="14:30" x14ac:dyDescent="0.25">
      <c r="N104" s="85"/>
      <c r="Q104" s="215">
        <f>P81+Q81+U81</f>
        <v>0</v>
      </c>
    </row>
    <row r="105" spans="14:30" x14ac:dyDescent="0.25">
      <c r="N105" s="85"/>
      <c r="Q105" s="212">
        <f>P82+Q82+U82</f>
        <v>0</v>
      </c>
    </row>
    <row r="106" spans="14:30" x14ac:dyDescent="0.25">
      <c r="N106" s="85"/>
      <c r="Q106" s="212">
        <f>P83+U83</f>
        <v>0</v>
      </c>
    </row>
    <row r="107" spans="14:30" x14ac:dyDescent="0.25">
      <c r="N107" s="85"/>
      <c r="Q107" s="85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9" priority="1" operator="greaterThan">
      <formula>0</formula>
    </cfRule>
    <cfRule type="cellIs" dxfId="4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G48" zoomScale="90" zoomScaleNormal="90" workbookViewId="0">
      <selection activeCell="O70" sqref="O7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4.71093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44781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5.87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60.5+436.5+159.5+9.5</f>
        <v>666</v>
      </c>
      <c r="C12" s="15"/>
      <c r="D12" s="56"/>
      <c r="E12" s="16"/>
      <c r="F12" s="56"/>
      <c r="G12" s="56"/>
      <c r="H12" s="17"/>
      <c r="I12" s="83"/>
      <c r="J12" s="81">
        <f>B12-I12</f>
        <v>666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3">
        <v>277</v>
      </c>
      <c r="Q12" s="153">
        <v>2001</v>
      </c>
      <c r="R12" s="154">
        <v>84.33</v>
      </c>
      <c r="S12" s="155"/>
      <c r="T12" s="155"/>
      <c r="U12" s="189">
        <f>((T12/U$10)*U$9)</f>
        <v>0</v>
      </c>
      <c r="V12" s="189">
        <f>R12*V$10</f>
        <v>0.63247500000000001</v>
      </c>
      <c r="W12" s="189">
        <f>+S12*V$10</f>
        <v>0</v>
      </c>
      <c r="X12" s="189">
        <f>+T12*X$10</f>
        <v>0</v>
      </c>
      <c r="Y12" s="189">
        <f>R12-V12</f>
        <v>83.697524999999999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f>5+227+150+140</f>
        <v>522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522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3">
        <v>276</v>
      </c>
      <c r="Q13" s="153">
        <v>2001</v>
      </c>
      <c r="R13" s="154">
        <v>271.51</v>
      </c>
      <c r="S13" s="155"/>
      <c r="T13" s="157">
        <v>46.72</v>
      </c>
      <c r="U13" s="189">
        <f t="shared" ref="U13:U41" si="2">((T13/U$10)*U$9)</f>
        <v>2.0137931034482759</v>
      </c>
      <c r="V13" s="189">
        <f t="shared" ref="V13:V41" si="3">R13*V$10</f>
        <v>2.0363249999999997</v>
      </c>
      <c r="W13" s="189">
        <f t="shared" ref="W13:W41" si="4">+S13*V$10</f>
        <v>0</v>
      </c>
      <c r="X13" s="189">
        <f t="shared" ref="X13:X41" si="5">+T13*X$10</f>
        <v>1.1679999999999999</v>
      </c>
      <c r="Y13" s="189">
        <f t="shared" ref="Y13:Z41" si="6">R13-V13</f>
        <v>269.47367500000001</v>
      </c>
      <c r="Z13" s="189">
        <f t="shared" si="6"/>
        <v>0</v>
      </c>
      <c r="AA13" s="189">
        <f t="shared" ref="AA13:AA41" si="7">T13-U13-X13</f>
        <v>43.538206896551721</v>
      </c>
      <c r="AB13" s="156"/>
    </row>
    <row r="14" spans="1:28" ht="15.75" x14ac:dyDescent="0.25">
      <c r="A14" s="86" t="s">
        <v>83</v>
      </c>
      <c r="B14" s="57">
        <f>B13*B8</f>
        <v>3064.14</v>
      </c>
      <c r="C14" s="15"/>
      <c r="D14" s="56"/>
      <c r="E14" s="16"/>
      <c r="F14" s="56"/>
      <c r="G14" s="56"/>
      <c r="H14" s="17"/>
      <c r="I14" s="83"/>
      <c r="J14" s="81">
        <f t="shared" si="0"/>
        <v>3064.14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214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522</v>
      </c>
      <c r="C19" s="95"/>
      <c r="D19" s="94"/>
      <c r="E19" s="96"/>
      <c r="F19" s="94"/>
      <c r="G19" s="94"/>
      <c r="H19" s="98"/>
      <c r="I19" s="99"/>
      <c r="J19" s="185">
        <f>B19-I19</f>
        <v>522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3064.14</v>
      </c>
      <c r="C20" s="95"/>
      <c r="D20" s="94"/>
      <c r="E20" s="96"/>
      <c r="F20" s="94"/>
      <c r="G20" s="94"/>
      <c r="H20" s="98"/>
      <c r="I20" s="99"/>
      <c r="J20" s="185">
        <f t="shared" si="0"/>
        <v>3064.14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355.84</v>
      </c>
      <c r="S42" s="190">
        <f t="shared" si="8"/>
        <v>0</v>
      </c>
      <c r="T42" s="190">
        <f t="shared" si="8"/>
        <v>46.72</v>
      </c>
      <c r="U42" s="190">
        <f t="shared" si="8"/>
        <v>2.0137931034482759</v>
      </c>
      <c r="V42" s="190">
        <f t="shared" si="8"/>
        <v>2.6687999999999996</v>
      </c>
      <c r="W42" s="190">
        <f t="shared" si="8"/>
        <v>0</v>
      </c>
      <c r="X42" s="190">
        <f t="shared" si="8"/>
        <v>1.1679999999999999</v>
      </c>
      <c r="Y42" s="190">
        <f t="shared" si="8"/>
        <v>353.1712</v>
      </c>
      <c r="Z42" s="190">
        <f t="shared" si="8"/>
        <v>0</v>
      </c>
      <c r="AA42" s="190">
        <f t="shared" si="8"/>
        <v>43.538206896551721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204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204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58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355.84</v>
      </c>
      <c r="C46" s="116">
        <v>7.4999999999999997E-3</v>
      </c>
      <c r="D46" s="117">
        <f>B46*C46</f>
        <v>2.6687999999999996</v>
      </c>
      <c r="E46" s="172">
        <v>0</v>
      </c>
      <c r="F46" s="117">
        <f t="shared" ref="F46:F50" si="15">D46*E46</f>
        <v>0</v>
      </c>
      <c r="G46" s="117">
        <f t="shared" ref="G46:G51" si="16">B46-D46-F46</f>
        <v>353.1712</v>
      </c>
      <c r="H46" s="173">
        <f>B$6+1</f>
        <v>44782</v>
      </c>
      <c r="I46" s="174"/>
      <c r="J46" s="81">
        <f t="shared" si="0"/>
        <v>355.84</v>
      </c>
      <c r="K46" s="80"/>
      <c r="L46" s="186">
        <f>K46-G46</f>
        <v>-353.1712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44782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44782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4295.01</v>
      </c>
      <c r="C49" s="116">
        <v>7.4999999999999997E-3</v>
      </c>
      <c r="D49" s="117">
        <f t="shared" si="17"/>
        <v>32.212575000000001</v>
      </c>
      <c r="E49" s="172">
        <v>0</v>
      </c>
      <c r="F49" s="117">
        <f t="shared" si="15"/>
        <v>0</v>
      </c>
      <c r="G49" s="117">
        <f t="shared" si="16"/>
        <v>4262.7974250000007</v>
      </c>
      <c r="H49" s="173">
        <f t="shared" si="19"/>
        <v>44782</v>
      </c>
      <c r="I49" s="176">
        <v>4295.01</v>
      </c>
      <c r="J49" s="81">
        <f t="shared" si="0"/>
        <v>0</v>
      </c>
      <c r="K49" s="80"/>
      <c r="L49" s="186">
        <f t="shared" si="18"/>
        <v>4262.7974250000007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9.34</v>
      </c>
      <c r="C50" s="116">
        <v>7.4999999999999997E-3</v>
      </c>
      <c r="D50" s="117">
        <f t="shared" si="17"/>
        <v>7.0050000000000001E-2</v>
      </c>
      <c r="E50" s="172">
        <v>0</v>
      </c>
      <c r="F50" s="117">
        <f t="shared" si="15"/>
        <v>0</v>
      </c>
      <c r="G50" s="117">
        <f t="shared" si="16"/>
        <v>9.2699499999999997</v>
      </c>
      <c r="H50" s="173">
        <f t="shared" si="19"/>
        <v>44782</v>
      </c>
      <c r="I50" s="175"/>
      <c r="J50" s="81">
        <f t="shared" si="0"/>
        <v>9.34</v>
      </c>
      <c r="K50" s="80"/>
      <c r="L50" s="186">
        <f t="shared" si="18"/>
        <v>9.2699499999999997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177.42000000000002</v>
      </c>
      <c r="C51" s="116">
        <v>1.4999999999999999E-2</v>
      </c>
      <c r="D51" s="117">
        <f>+B51*C51</f>
        <v>2.6613000000000002</v>
      </c>
      <c r="E51" s="172">
        <v>0</v>
      </c>
      <c r="F51" s="117">
        <f>D51*E51</f>
        <v>0</v>
      </c>
      <c r="G51" s="117">
        <f t="shared" si="16"/>
        <v>174.7587</v>
      </c>
      <c r="H51" s="173">
        <f t="shared" si="19"/>
        <v>44782</v>
      </c>
      <c r="I51" s="175">
        <v>185.93</v>
      </c>
      <c r="J51" s="81">
        <f t="shared" si="0"/>
        <v>-8.5099999999999909</v>
      </c>
      <c r="K51" s="80"/>
      <c r="L51" s="186">
        <f t="shared" si="18"/>
        <v>174.7587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46.72</v>
      </c>
      <c r="C52" s="116">
        <v>2.5000000000000001E-2</v>
      </c>
      <c r="D52" s="117">
        <f>B52*C52</f>
        <v>1.1679999999999999</v>
      </c>
      <c r="E52" s="172">
        <v>0.05</v>
      </c>
      <c r="F52" s="117">
        <f>(B52/E$10)*E52</f>
        <v>2.0137931034482759</v>
      </c>
      <c r="G52" s="117">
        <f>B52-D52-F52</f>
        <v>43.538206896551721</v>
      </c>
      <c r="H52" s="188">
        <f t="shared" si="19"/>
        <v>44782</v>
      </c>
      <c r="I52" s="176">
        <v>46.72</v>
      </c>
      <c r="J52" s="81">
        <f t="shared" si="0"/>
        <v>0</v>
      </c>
      <c r="K52" s="80"/>
      <c r="L52" s="186">
        <f>K52-G52</f>
        <v>-43.538206896551721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44782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29.94</v>
      </c>
      <c r="C56" s="116">
        <v>2.5000000000000001E-2</v>
      </c>
      <c r="D56" s="117">
        <f t="shared" si="20"/>
        <v>0.74850000000000005</v>
      </c>
      <c r="E56" s="172">
        <v>0.05</v>
      </c>
      <c r="F56" s="117">
        <f t="shared" si="21"/>
        <v>1.2905172413793107</v>
      </c>
      <c r="G56" s="117">
        <f t="shared" si="22"/>
        <v>27.900982758620692</v>
      </c>
      <c r="H56" s="173">
        <f t="shared" si="19"/>
        <v>44782</v>
      </c>
      <c r="I56" s="176">
        <v>29.94</v>
      </c>
      <c r="J56" s="81">
        <f t="shared" si="0"/>
        <v>0</v>
      </c>
      <c r="K56" s="80"/>
      <c r="L56" s="186">
        <f t="shared" si="18"/>
        <v>27.900982758620692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39.529224999999997</v>
      </c>
      <c r="E61" s="177"/>
      <c r="F61" s="57">
        <f>SUM(F46:F58)</f>
        <v>3.3043103448275866</v>
      </c>
      <c r="G61" s="57">
        <f>SUM(G46:G58)</f>
        <v>4871.436464655173</v>
      </c>
      <c r="H61" s="173">
        <f t="shared" si="19"/>
        <v>44782</v>
      </c>
      <c r="I61" s="175"/>
      <c r="J61" s="81">
        <f t="shared" si="0"/>
        <v>0</v>
      </c>
      <c r="K61" s="80"/>
      <c r="L61" s="186">
        <f t="shared" si="18"/>
        <v>4871.436464655173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9742.8729293103461</v>
      </c>
      <c r="H64" s="184"/>
      <c r="I64" s="175"/>
      <c r="J64" s="81">
        <f t="shared" si="0"/>
        <v>0</v>
      </c>
      <c r="K64" s="80"/>
      <c r="L64" s="186">
        <f t="shared" si="18"/>
        <v>9742.8729293103461</v>
      </c>
      <c r="M64" s="130"/>
      <c r="N64" s="87">
        <v>1</v>
      </c>
      <c r="O64" s="122" t="s">
        <v>175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8644.41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8637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8555.48</v>
      </c>
      <c r="C69" s="59"/>
      <c r="F69" s="87" t="s">
        <v>129</v>
      </c>
      <c r="G69" s="22"/>
      <c r="H69" s="89"/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81.520000000000437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172</v>
      </c>
      <c r="P70" s="228">
        <v>765</v>
      </c>
      <c r="Q70" s="228">
        <v>2002</v>
      </c>
      <c r="R70" s="255">
        <v>1470.55</v>
      </c>
      <c r="S70" s="228"/>
      <c r="T70" s="228">
        <v>29.94</v>
      </c>
      <c r="U70" s="189">
        <f t="shared" ref="U70:U74" si="34">((T70/U$10)*U$9)</f>
        <v>1.2905172413793107</v>
      </c>
      <c r="V70" s="189">
        <f t="shared" ref="V70:V74" si="35">R70*V$10</f>
        <v>11.029124999999999</v>
      </c>
      <c r="W70" s="189">
        <f t="shared" ref="W70:W74" si="36">+S70*V$10</f>
        <v>0</v>
      </c>
      <c r="X70" s="189">
        <f t="shared" ref="X70:X74" si="37">+T70*X$10</f>
        <v>0.74850000000000005</v>
      </c>
      <c r="Y70" s="189">
        <f t="shared" ref="Y70:Z74" si="38">R70-V70</f>
        <v>1459.5208749999999</v>
      </c>
      <c r="Z70" s="189">
        <f t="shared" si="38"/>
        <v>0</v>
      </c>
      <c r="AA70" s="189">
        <f t="shared" ref="AA70:AA74" si="39">T70-U70-X70</f>
        <v>27.900982758620692</v>
      </c>
      <c r="AB70" s="87"/>
    </row>
    <row r="71" spans="1:30" ht="28.5" customHeight="1" thickBot="1" x14ac:dyDescent="0.3">
      <c r="A71" s="25" t="s">
        <v>57</v>
      </c>
      <c r="B71" s="70">
        <f>B65-B68</f>
        <v>7.4099999999998545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172</v>
      </c>
      <c r="P71" s="228">
        <v>764</v>
      </c>
      <c r="Q71" s="228">
        <v>2002</v>
      </c>
      <c r="R71" s="255">
        <v>1022.84</v>
      </c>
      <c r="S71" s="228"/>
      <c r="T71" s="222"/>
      <c r="U71" s="189">
        <f t="shared" si="34"/>
        <v>0</v>
      </c>
      <c r="V71" s="189">
        <f t="shared" si="35"/>
        <v>7.6712999999999996</v>
      </c>
      <c r="W71" s="189">
        <f t="shared" si="36"/>
        <v>0</v>
      </c>
      <c r="X71" s="189">
        <f t="shared" si="37"/>
        <v>0</v>
      </c>
      <c r="Y71" s="189">
        <f t="shared" si="38"/>
        <v>1015.1687000000001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773</v>
      </c>
      <c r="Q72" s="228">
        <v>2001</v>
      </c>
      <c r="R72" s="255">
        <v>1743.41</v>
      </c>
      <c r="S72" s="228"/>
      <c r="T72" s="228"/>
      <c r="U72" s="189">
        <f t="shared" si="34"/>
        <v>0</v>
      </c>
      <c r="V72" s="189">
        <f t="shared" si="35"/>
        <v>13.075575000000001</v>
      </c>
      <c r="W72" s="189">
        <f t="shared" si="36"/>
        <v>0</v>
      </c>
      <c r="X72" s="189">
        <f t="shared" si="37"/>
        <v>0</v>
      </c>
      <c r="Y72" s="189">
        <f t="shared" si="38"/>
        <v>1730.334425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/>
      <c r="Q73" s="228"/>
      <c r="R73" s="255">
        <v>58.21</v>
      </c>
      <c r="S73" s="228"/>
      <c r="T73" s="228"/>
      <c r="U73" s="189">
        <f t="shared" si="34"/>
        <v>0</v>
      </c>
      <c r="V73" s="189">
        <f t="shared" si="35"/>
        <v>0.43657499999999999</v>
      </c>
      <c r="W73" s="189">
        <f t="shared" si="36"/>
        <v>0</v>
      </c>
      <c r="X73" s="189">
        <f t="shared" si="37"/>
        <v>0</v>
      </c>
      <c r="Y73" s="189">
        <f t="shared" si="38"/>
        <v>57.773425000000003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/>
      <c r="Q74" s="228"/>
      <c r="R74" s="255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4295.01</v>
      </c>
      <c r="S75" s="192"/>
      <c r="T75" s="192">
        <f>SUM(T70:T74)</f>
        <v>29.94</v>
      </c>
      <c r="U75" s="192">
        <f>SUM(U70:U74)</f>
        <v>1.2905172413793107</v>
      </c>
      <c r="V75" s="192">
        <f t="shared" ref="V75:AA75" si="41">SUM(V70:V74)</f>
        <v>32.212575000000001</v>
      </c>
      <c r="W75" s="192">
        <f t="shared" si="41"/>
        <v>0</v>
      </c>
      <c r="X75" s="192">
        <f t="shared" si="41"/>
        <v>0.74850000000000005</v>
      </c>
      <c r="Y75" s="192">
        <f t="shared" si="41"/>
        <v>4262.7974249999997</v>
      </c>
      <c r="Z75" s="192">
        <f t="shared" si="41"/>
        <v>0</v>
      </c>
      <c r="AA75" s="193">
        <f t="shared" si="41"/>
        <v>27.900982758620692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0.83</f>
        <v>0.83</v>
      </c>
      <c r="R78" s="82">
        <v>7.4999999999999997E-3</v>
      </c>
      <c r="S78" s="194">
        <f>+(P78+Q78)*R78</f>
        <v>6.2249999999999996E-3</v>
      </c>
      <c r="T78" s="246">
        <f>+(P78+Q78)-S78</f>
        <v>0.82377499999999992</v>
      </c>
      <c r="U78" s="211">
        <f>47.24+117.09</f>
        <v>164.33</v>
      </c>
      <c r="V78" s="112"/>
      <c r="W78" s="113">
        <v>1.4999999999999999E-2</v>
      </c>
      <c r="X78" s="196">
        <f>+(U78+V78)*W78</f>
        <v>2.46495</v>
      </c>
      <c r="Y78" s="246">
        <f>+(U78+V78)-X78</f>
        <v>161.86505000000002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>
        <f>8.51</f>
        <v>8.51</v>
      </c>
      <c r="R79" s="82">
        <v>7.4999999999999997E-3</v>
      </c>
      <c r="S79" s="194">
        <f t="shared" ref="S79:S97" si="43">+(P79+Q79)*R79</f>
        <v>6.3824999999999993E-2</v>
      </c>
      <c r="T79" s="246">
        <f t="shared" ref="T79:T97" si="44">+(P79+Q79)-S79</f>
        <v>8.4461750000000002</v>
      </c>
      <c r="U79" s="211">
        <f>13.09</f>
        <v>13.09</v>
      </c>
      <c r="V79" s="112"/>
      <c r="W79" s="113">
        <v>1.4999999999999999E-2</v>
      </c>
      <c r="X79" s="196">
        <f t="shared" ref="X79:X97" si="45">+(U79+V79)*W79</f>
        <v>0.19635</v>
      </c>
      <c r="Y79" s="246">
        <f t="shared" ref="Y79:Y97" si="46">+(U79+V79)-X79</f>
        <v>12.893649999999999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3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3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3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9.34</v>
      </c>
      <c r="R98" s="111"/>
      <c r="S98" s="195">
        <f>SUM(S78:S97)</f>
        <v>7.0049999999999987E-2</v>
      </c>
      <c r="T98" s="195">
        <f>SUM(T78:T97)</f>
        <v>9.2699499999999997</v>
      </c>
      <c r="U98" s="114">
        <f>SUM(U78:U97)</f>
        <v>177.42000000000002</v>
      </c>
      <c r="V98" s="114">
        <f>SUM(V78:V97)</f>
        <v>0</v>
      </c>
      <c r="W98" s="112"/>
      <c r="X98" s="197">
        <f>SUM(X78:X97)</f>
        <v>2.6612999999999998</v>
      </c>
      <c r="Y98" s="197">
        <f>SUM(Y78:Y97)</f>
        <v>174.75870000000003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 t="shared" ref="P101:P106" si="50">P78+Q78+U78</f>
        <v>165.16000000000003</v>
      </c>
    </row>
    <row r="102" spans="14:30" x14ac:dyDescent="0.25">
      <c r="N102" s="85"/>
      <c r="P102" s="215">
        <f t="shared" si="50"/>
        <v>21.6</v>
      </c>
    </row>
    <row r="103" spans="14:30" x14ac:dyDescent="0.25">
      <c r="N103" s="85"/>
      <c r="P103" s="215">
        <f t="shared" si="50"/>
        <v>0</v>
      </c>
    </row>
    <row r="104" spans="14:30" x14ac:dyDescent="0.25">
      <c r="N104" s="85"/>
      <c r="P104" s="215">
        <f t="shared" si="50"/>
        <v>0</v>
      </c>
    </row>
    <row r="105" spans="14:30" x14ac:dyDescent="0.25">
      <c r="N105" s="85"/>
      <c r="P105" s="212">
        <f t="shared" si="50"/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7" priority="1" operator="greaterThan">
      <formula>0</formula>
    </cfRule>
    <cfRule type="cellIs" dxfId="4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53" zoomScale="90" zoomScaleNormal="90" workbookViewId="0">
      <selection activeCell="R78" sqref="R78:T7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44782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5.9</v>
      </c>
      <c r="C8" s="85" t="s">
        <v>94</v>
      </c>
      <c r="D8" s="108"/>
    </row>
    <row r="9" spans="1:28" x14ac:dyDescent="0.25">
      <c r="A9" s="7" t="s">
        <v>78</v>
      </c>
      <c r="B9" s="108">
        <v>5.87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371+116+369+244</f>
        <v>1100</v>
      </c>
      <c r="C12" s="15"/>
      <c r="D12" s="56"/>
      <c r="E12" s="16"/>
      <c r="F12" s="56"/>
      <c r="G12" s="56"/>
      <c r="H12" s="17"/>
      <c r="I12" s="83">
        <v>1100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221</v>
      </c>
      <c r="P12" s="153">
        <v>142</v>
      </c>
      <c r="Q12" s="153">
        <v>1001</v>
      </c>
      <c r="R12" s="154">
        <v>241.08</v>
      </c>
      <c r="S12" s="155"/>
      <c r="T12" s="155">
        <v>20.96</v>
      </c>
      <c r="U12" s="189">
        <f>((T12/U$10)*U$9)</f>
        <v>0.90344827586206911</v>
      </c>
      <c r="V12" s="189">
        <f>R12*V$10</f>
        <v>1.8081</v>
      </c>
      <c r="W12" s="189">
        <f>+S12*V$10</f>
        <v>0</v>
      </c>
      <c r="X12" s="189">
        <f>+T12*X$10</f>
        <v>0.52400000000000002</v>
      </c>
      <c r="Y12" s="189">
        <f>R12-V12</f>
        <v>239.27190000000002</v>
      </c>
      <c r="Z12" s="189">
        <f>S12-W12</f>
        <v>0</v>
      </c>
      <c r="AA12" s="189">
        <f>T12-U12-X12</f>
        <v>19.532551724137932</v>
      </c>
      <c r="AB12" s="156"/>
    </row>
    <row r="13" spans="1:28" ht="15.75" x14ac:dyDescent="0.25">
      <c r="A13" s="86" t="s">
        <v>76</v>
      </c>
      <c r="B13" s="89">
        <f>67+22</f>
        <v>89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89</v>
      </c>
      <c r="K13" s="75"/>
      <c r="L13" s="186">
        <f t="shared" ref="L13:L44" si="1">+G13-K13</f>
        <v>0</v>
      </c>
      <c r="M13" s="106"/>
      <c r="N13" s="104">
        <v>2</v>
      </c>
      <c r="O13" s="152" t="s">
        <v>221</v>
      </c>
      <c r="P13" s="153">
        <v>279</v>
      </c>
      <c r="Q13" s="153">
        <v>2001</v>
      </c>
      <c r="R13" s="154">
        <v>590.16999999999996</v>
      </c>
      <c r="S13" s="155"/>
      <c r="T13" s="157">
        <v>12.93</v>
      </c>
      <c r="U13" s="189">
        <f t="shared" ref="U13:U41" si="2">((T13/U$10)*U$9)</f>
        <v>0.5573275862068966</v>
      </c>
      <c r="V13" s="189">
        <f t="shared" ref="V13:V41" si="3">R13*V$10</f>
        <v>4.4262749999999995</v>
      </c>
      <c r="W13" s="189">
        <f t="shared" ref="W13:W41" si="4">+S13*V$10</f>
        <v>0</v>
      </c>
      <c r="X13" s="189">
        <f t="shared" ref="X13:X41" si="5">+T13*X$10</f>
        <v>0.32325000000000004</v>
      </c>
      <c r="Y13" s="189">
        <f t="shared" ref="Y13:Z41" si="6">R13-V13</f>
        <v>585.74372499999993</v>
      </c>
      <c r="Z13" s="189">
        <f t="shared" si="6"/>
        <v>0</v>
      </c>
      <c r="AA13" s="189">
        <f t="shared" ref="AA13:AA41" si="7">T13-U13-X13</f>
        <v>12.049422413793103</v>
      </c>
      <c r="AB13" s="156"/>
    </row>
    <row r="14" spans="1:28" ht="15.75" x14ac:dyDescent="0.25">
      <c r="A14" s="86" t="s">
        <v>83</v>
      </c>
      <c r="B14" s="57">
        <f>B13*B8</f>
        <v>525.1</v>
      </c>
      <c r="C14" s="15"/>
      <c r="D14" s="56"/>
      <c r="E14" s="16"/>
      <c r="F14" s="56"/>
      <c r="G14" s="56"/>
      <c r="H14" s="17"/>
      <c r="I14" s="83"/>
      <c r="J14" s="81">
        <f t="shared" si="0"/>
        <v>525.1</v>
      </c>
      <c r="K14" s="80"/>
      <c r="L14" s="186">
        <f t="shared" si="1"/>
        <v>0</v>
      </c>
      <c r="M14" s="107"/>
      <c r="N14" s="104">
        <v>3</v>
      </c>
      <c r="O14" s="152" t="s">
        <v>221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f>5+67+108+14</f>
        <v>194</v>
      </c>
      <c r="C15" s="15"/>
      <c r="D15" s="56"/>
      <c r="E15" s="16"/>
      <c r="F15" s="56"/>
      <c r="G15" s="56"/>
      <c r="H15" s="17"/>
      <c r="I15" s="83"/>
      <c r="J15" s="81">
        <f t="shared" si="0"/>
        <v>194</v>
      </c>
      <c r="K15" s="80"/>
      <c r="L15" s="186">
        <f t="shared" si="1"/>
        <v>0</v>
      </c>
      <c r="M15" s="107"/>
      <c r="N15" s="104">
        <v>4</v>
      </c>
      <c r="O15" s="152" t="s">
        <v>221</v>
      </c>
      <c r="P15" s="153"/>
      <c r="Q15" s="153" t="s">
        <v>166</v>
      </c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1138.78</v>
      </c>
      <c r="C16" s="15"/>
      <c r="D16" s="56"/>
      <c r="E16" s="16"/>
      <c r="F16" s="56"/>
      <c r="G16" s="56"/>
      <c r="H16" s="17"/>
      <c r="I16" s="83"/>
      <c r="J16" s="81">
        <f t="shared" si="0"/>
        <v>1138.78</v>
      </c>
      <c r="K16" s="80"/>
      <c r="L16" s="186">
        <f t="shared" si="1"/>
        <v>0</v>
      </c>
      <c r="M16" s="107"/>
      <c r="N16" s="104">
        <v>5</v>
      </c>
      <c r="O16" s="152" t="s">
        <v>221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221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221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283</v>
      </c>
      <c r="C19" s="95"/>
      <c r="D19" s="94"/>
      <c r="E19" s="96"/>
      <c r="F19" s="94"/>
      <c r="G19" s="94"/>
      <c r="H19" s="98"/>
      <c r="I19" s="99">
        <v>283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1663.88</v>
      </c>
      <c r="C20" s="95"/>
      <c r="D20" s="94"/>
      <c r="E20" s="96"/>
      <c r="F20" s="94"/>
      <c r="G20" s="94"/>
      <c r="H20" s="98"/>
      <c r="I20" s="99">
        <v>1683.85</v>
      </c>
      <c r="J20" s="185">
        <f t="shared" si="0"/>
        <v>-19.9699999999998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>
        <f>71.65</f>
        <v>71.650000000000006</v>
      </c>
      <c r="C39" s="100"/>
      <c r="D39" s="66"/>
      <c r="E39" s="67"/>
      <c r="F39" s="66"/>
      <c r="G39" s="66"/>
      <c r="H39" s="102"/>
      <c r="I39" s="79"/>
      <c r="J39" s="81">
        <f t="shared" si="0"/>
        <v>71.650000000000006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420.58550000000002</v>
      </c>
      <c r="C40" s="100"/>
      <c r="D40" s="66"/>
      <c r="E40" s="67"/>
      <c r="F40" s="66"/>
      <c r="G40" s="66"/>
      <c r="H40" s="102"/>
      <c r="I40" s="79"/>
      <c r="J40" s="81">
        <f t="shared" si="0"/>
        <v>420.58550000000002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831.25</v>
      </c>
      <c r="S42" s="190">
        <f t="shared" si="8"/>
        <v>0</v>
      </c>
      <c r="T42" s="190">
        <f t="shared" si="8"/>
        <v>33.89</v>
      </c>
      <c r="U42" s="190">
        <f t="shared" si="8"/>
        <v>1.4607758620689657</v>
      </c>
      <c r="V42" s="190">
        <f t="shared" si="8"/>
        <v>6.234375</v>
      </c>
      <c r="W42" s="190">
        <f t="shared" si="8"/>
        <v>0</v>
      </c>
      <c r="X42" s="190">
        <f t="shared" si="8"/>
        <v>0.84725000000000006</v>
      </c>
      <c r="Y42" s="190">
        <f t="shared" si="8"/>
        <v>825.015625</v>
      </c>
      <c r="Z42" s="190">
        <f t="shared" si="8"/>
        <v>0</v>
      </c>
      <c r="AA42" s="190">
        <f t="shared" si="8"/>
        <v>31.581974137931034</v>
      </c>
      <c r="AB42" s="166"/>
    </row>
    <row r="43" spans="1:28" ht="15.75" x14ac:dyDescent="0.25">
      <c r="A43" s="93" t="s">
        <v>103</v>
      </c>
      <c r="B43" s="97">
        <f>+B37+B39+B41</f>
        <v>71.650000000000006</v>
      </c>
      <c r="C43" s="95"/>
      <c r="D43" s="94"/>
      <c r="E43" s="96"/>
      <c r="F43" s="94"/>
      <c r="G43" s="94"/>
      <c r="H43" s="98"/>
      <c r="I43" s="99">
        <v>71.650000000000006</v>
      </c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420.58550000000002</v>
      </c>
      <c r="C44" s="95"/>
      <c r="D44" s="94"/>
      <c r="E44" s="96"/>
      <c r="F44" s="94"/>
      <c r="G44" s="94"/>
      <c r="H44" s="98"/>
      <c r="I44" s="99"/>
      <c r="J44" s="185">
        <f t="shared" si="0"/>
        <v>420.58550000000002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831.25</v>
      </c>
      <c r="C46" s="116">
        <v>7.4999999999999997E-3</v>
      </c>
      <c r="D46" s="117">
        <f>B46*C46</f>
        <v>6.234375</v>
      </c>
      <c r="E46" s="172">
        <v>0</v>
      </c>
      <c r="F46" s="117">
        <f t="shared" ref="F46:F50" si="15">D46*E46</f>
        <v>0</v>
      </c>
      <c r="G46" s="117">
        <f t="shared" ref="G46:G51" si="16">B46-D46-F46</f>
        <v>825.015625</v>
      </c>
      <c r="H46" s="173">
        <f>B$6+1</f>
        <v>44783</v>
      </c>
      <c r="I46" s="174">
        <v>831.25</v>
      </c>
      <c r="J46" s="81">
        <f t="shared" si="0"/>
        <v>0</v>
      </c>
      <c r="K46" s="80"/>
      <c r="L46" s="186">
        <f t="shared" ref="L46:L64" si="17">+G46-K46</f>
        <v>825.015625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44783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44783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3015.04</v>
      </c>
      <c r="C49" s="116">
        <v>7.4999999999999997E-3</v>
      </c>
      <c r="D49" s="117">
        <f t="shared" si="18"/>
        <v>22.6128</v>
      </c>
      <c r="E49" s="172">
        <v>0</v>
      </c>
      <c r="F49" s="117">
        <f t="shared" si="15"/>
        <v>0</v>
      </c>
      <c r="G49" s="117">
        <f t="shared" si="16"/>
        <v>2992.4272000000001</v>
      </c>
      <c r="H49" s="173">
        <f t="shared" si="19"/>
        <v>44783</v>
      </c>
      <c r="I49" s="176">
        <v>3015.04</v>
      </c>
      <c r="J49" s="81">
        <f t="shared" si="0"/>
        <v>0</v>
      </c>
      <c r="K49" s="80"/>
      <c r="L49" s="186">
        <f t="shared" si="17"/>
        <v>2992.4272000000001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8.27</v>
      </c>
      <c r="C50" s="116">
        <v>7.4999999999999997E-3</v>
      </c>
      <c r="D50" s="117">
        <f t="shared" si="18"/>
        <v>6.2024999999999997E-2</v>
      </c>
      <c r="E50" s="172">
        <v>0</v>
      </c>
      <c r="F50" s="117">
        <f t="shared" si="15"/>
        <v>0</v>
      </c>
      <c r="G50" s="117">
        <f t="shared" si="16"/>
        <v>8.2079749999999994</v>
      </c>
      <c r="H50" s="173">
        <f t="shared" si="19"/>
        <v>44783</v>
      </c>
      <c r="I50" s="175">
        <v>120.89</v>
      </c>
      <c r="J50" s="81">
        <f t="shared" si="0"/>
        <v>-112.62</v>
      </c>
      <c r="K50" s="80"/>
      <c r="L50" s="186">
        <f t="shared" si="17"/>
        <v>8.2079749999999994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112.62</v>
      </c>
      <c r="C51" s="116">
        <v>1.4999999999999999E-2</v>
      </c>
      <c r="D51" s="117">
        <f>+B51*C51</f>
        <v>1.6893</v>
      </c>
      <c r="E51" s="172">
        <v>0</v>
      </c>
      <c r="F51" s="117">
        <f>D51*E51</f>
        <v>0</v>
      </c>
      <c r="G51" s="117">
        <f t="shared" si="16"/>
        <v>110.9307</v>
      </c>
      <c r="H51" s="173">
        <f t="shared" si="19"/>
        <v>44783</v>
      </c>
      <c r="I51" s="175"/>
      <c r="J51" s="81">
        <f t="shared" si="0"/>
        <v>112.62</v>
      </c>
      <c r="K51" s="80"/>
      <c r="L51" s="186">
        <f t="shared" si="17"/>
        <v>110.9307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33.89</v>
      </c>
      <c r="C52" s="116">
        <v>2.5000000000000001E-2</v>
      </c>
      <c r="D52" s="117">
        <f>B52*C52</f>
        <v>0.84725000000000006</v>
      </c>
      <c r="E52" s="172">
        <v>0.05</v>
      </c>
      <c r="F52" s="117">
        <f>(B52/E$10)*E52</f>
        <v>1.4607758620689657</v>
      </c>
      <c r="G52" s="117">
        <f>B52-D52-F52</f>
        <v>31.581974137931031</v>
      </c>
      <c r="H52" s="188">
        <f t="shared" si="19"/>
        <v>44783</v>
      </c>
      <c r="I52" s="176">
        <v>33.89</v>
      </c>
      <c r="J52" s="81">
        <f t="shared" si="0"/>
        <v>0</v>
      </c>
      <c r="K52" s="80"/>
      <c r="L52" s="186">
        <f>K52-G52</f>
        <v>-31.581974137931031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>(B53/E$10)*E53</f>
        <v>0</v>
      </c>
      <c r="G53" s="117">
        <f>B53-D53-F53</f>
        <v>0</v>
      </c>
      <c r="H53" s="188">
        <f t="shared" si="19"/>
        <v>44783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ref="F54:F56" si="21">(B54/E$10)*E54</f>
        <v>0</v>
      </c>
      <c r="G54" s="117">
        <f t="shared" ref="G54:G58" si="22">B54-D54-F54</f>
        <v>0</v>
      </c>
      <c r="H54" s="173">
        <f t="shared" si="19"/>
        <v>44783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187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44783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31.445749999999997</v>
      </c>
      <c r="E61" s="177"/>
      <c r="F61" s="57">
        <f>SUM(F46:F58)</f>
        <v>1.4607758620689657</v>
      </c>
      <c r="G61" s="57">
        <f>SUM(G46:G58)</f>
        <v>3968.1634741379307</v>
      </c>
      <c r="H61" s="173">
        <f t="shared" si="19"/>
        <v>44783</v>
      </c>
      <c r="I61" s="175"/>
      <c r="J61" s="81">
        <f t="shared" si="0"/>
        <v>0</v>
      </c>
      <c r="K61" s="80"/>
      <c r="L61" s="186">
        <f t="shared" si="17"/>
        <v>3968.1634741379307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44783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7936.3269482758615</v>
      </c>
      <c r="H64" s="184"/>
      <c r="I64" s="175"/>
      <c r="J64" s="81">
        <f t="shared" si="0"/>
        <v>0</v>
      </c>
      <c r="K64" s="80"/>
      <c r="L64" s="186">
        <f t="shared" si="17"/>
        <v>7936.3269482758615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7185.5355000000009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f>1077.15+3219.26+1276.23+1605.29</f>
        <v>7177.9299999999994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7177.93</v>
      </c>
      <c r="C69" s="59"/>
      <c r="F69" s="87" t="s">
        <v>129</v>
      </c>
      <c r="G69" s="22"/>
      <c r="H69" s="89"/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0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172</v>
      </c>
      <c r="P70" s="228">
        <v>766</v>
      </c>
      <c r="Q70" s="228">
        <v>2002</v>
      </c>
      <c r="R70" s="222">
        <v>455.64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3.4172999999999996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452.22269999999997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7.6055000000005748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172</v>
      </c>
      <c r="P71" s="228">
        <v>767</v>
      </c>
      <c r="Q71" s="228">
        <v>2002</v>
      </c>
      <c r="R71" s="222">
        <v>1194.23</v>
      </c>
      <c r="S71" s="228"/>
      <c r="T71" s="228"/>
      <c r="U71" s="189">
        <f t="shared" si="34"/>
        <v>0</v>
      </c>
      <c r="V71" s="189">
        <f t="shared" si="35"/>
        <v>8.9567250000000005</v>
      </c>
      <c r="W71" s="189">
        <f t="shared" si="36"/>
        <v>0</v>
      </c>
      <c r="X71" s="189">
        <f t="shared" si="37"/>
        <v>0</v>
      </c>
      <c r="Y71" s="189">
        <f t="shared" si="38"/>
        <v>1185.273275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774</v>
      </c>
      <c r="Q72" s="228">
        <v>2001</v>
      </c>
      <c r="R72" s="222">
        <v>752.67</v>
      </c>
      <c r="S72" s="228"/>
      <c r="T72" s="228"/>
      <c r="U72" s="189">
        <f t="shared" si="34"/>
        <v>0</v>
      </c>
      <c r="V72" s="189">
        <f t="shared" si="35"/>
        <v>5.6450249999999995</v>
      </c>
      <c r="W72" s="189">
        <f t="shared" si="36"/>
        <v>0</v>
      </c>
      <c r="X72" s="189">
        <f t="shared" si="37"/>
        <v>0</v>
      </c>
      <c r="Y72" s="189">
        <f t="shared" si="38"/>
        <v>747.02497499999993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>
        <v>775</v>
      </c>
      <c r="Q73" s="228">
        <v>2001</v>
      </c>
      <c r="R73" s="222">
        <v>612.5</v>
      </c>
      <c r="S73" s="228"/>
      <c r="T73" s="228"/>
      <c r="U73" s="189">
        <f t="shared" si="34"/>
        <v>0</v>
      </c>
      <c r="V73" s="189">
        <f t="shared" si="35"/>
        <v>4.59375</v>
      </c>
      <c r="W73" s="189">
        <f t="shared" si="36"/>
        <v>0</v>
      </c>
      <c r="X73" s="189">
        <f t="shared" si="37"/>
        <v>0</v>
      </c>
      <c r="Y73" s="189">
        <f t="shared" si="38"/>
        <v>607.90625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/>
      <c r="Q74" s="228"/>
      <c r="R74" s="222"/>
      <c r="S74" s="228"/>
      <c r="T74" s="222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3015.04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22.6128</v>
      </c>
      <c r="W75" s="192">
        <f t="shared" si="41"/>
        <v>0</v>
      </c>
      <c r="X75" s="192">
        <f t="shared" si="41"/>
        <v>0</v>
      </c>
      <c r="Y75" s="192">
        <f t="shared" si="41"/>
        <v>2992.4272000000001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1.76+6.51</f>
        <v>8.27</v>
      </c>
      <c r="R78" s="82">
        <v>7.4999999999999997E-3</v>
      </c>
      <c r="S78" s="216">
        <f>+(P78+Q78)*R78</f>
        <v>6.2024999999999997E-2</v>
      </c>
      <c r="T78" s="219">
        <f>+(P78+Q78)-S78</f>
        <v>8.2079749999999994</v>
      </c>
      <c r="U78" s="211">
        <f>35.34+19.96</f>
        <v>55.300000000000004</v>
      </c>
      <c r="V78" s="112"/>
      <c r="W78" s="113">
        <v>1.4999999999999999E-2</v>
      </c>
      <c r="X78" s="196">
        <f>+(U78+V78)*W78</f>
        <v>0.82950000000000002</v>
      </c>
      <c r="Y78" s="217">
        <f>+(U78+V78)-X78</f>
        <v>54.470500000000001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>
        <f>14.78+42.54</f>
        <v>57.32</v>
      </c>
      <c r="V79" s="112"/>
      <c r="W79" s="113">
        <v>1.4999999999999999E-2</v>
      </c>
      <c r="X79" s="196">
        <f t="shared" ref="X79:X97" si="45">+(U79+V79)*W79</f>
        <v>0.85980000000000001</v>
      </c>
      <c r="Y79" s="217">
        <f t="shared" ref="Y79:Y97" si="46">+(U79+V79)-X79</f>
        <v>56.4602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13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46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216">
        <f t="shared" si="43"/>
        <v>0</v>
      </c>
      <c r="T81" s="246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3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46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3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4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16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211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137"/>
      <c r="R88" s="82">
        <v>7.4999999999999997E-3</v>
      </c>
      <c r="S88" s="194">
        <f t="shared" si="43"/>
        <v>0</v>
      </c>
      <c r="T88" s="216">
        <f t="shared" si="44"/>
        <v>0</v>
      </c>
      <c r="U88" s="211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137"/>
      <c r="R89" s="82">
        <v>7.4999999999999997E-3</v>
      </c>
      <c r="S89" s="194">
        <f t="shared" si="43"/>
        <v>0</v>
      </c>
      <c r="T89" s="216">
        <f t="shared" si="44"/>
        <v>0</v>
      </c>
      <c r="U89" s="211"/>
      <c r="V89" s="112"/>
      <c r="W89" s="113">
        <v>1.4999999999999999E-2</v>
      </c>
      <c r="X89" s="196">
        <f t="shared" si="45"/>
        <v>0</v>
      </c>
      <c r="Y89" s="217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137"/>
      <c r="R90" s="82">
        <v>7.4999999999999997E-3</v>
      </c>
      <c r="S90" s="194">
        <f t="shared" si="43"/>
        <v>0</v>
      </c>
      <c r="T90" s="216">
        <f t="shared" si="44"/>
        <v>0</v>
      </c>
      <c r="U90" s="211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222"/>
      <c r="R92" s="82">
        <v>7.4999999999999997E-3</v>
      </c>
      <c r="S92" s="194">
        <f t="shared" si="43"/>
        <v>0</v>
      </c>
      <c r="T92" s="216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222"/>
      <c r="R93" s="82">
        <v>7.4999999999999997E-3</v>
      </c>
      <c r="S93" s="194">
        <f t="shared" si="43"/>
        <v>0</v>
      </c>
      <c r="T93" s="216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211"/>
      <c r="V94" s="112"/>
      <c r="W94" s="113">
        <v>1.4999999999999999E-2</v>
      </c>
      <c r="X94" s="196">
        <f t="shared" si="45"/>
        <v>0</v>
      </c>
      <c r="Y94" s="217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137"/>
      <c r="R95" s="82">
        <v>7.4999999999999997E-3</v>
      </c>
      <c r="S95" s="194">
        <f t="shared" si="43"/>
        <v>0</v>
      </c>
      <c r="T95" s="216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8.27</v>
      </c>
      <c r="R98" s="111"/>
      <c r="S98" s="195">
        <f>SUM(S78:S97)</f>
        <v>6.2024999999999997E-2</v>
      </c>
      <c r="T98" s="195">
        <f>SUM(T78:T97)</f>
        <v>8.2079749999999994</v>
      </c>
      <c r="U98" s="114">
        <f>SUM(U78:U97)</f>
        <v>112.62</v>
      </c>
      <c r="V98" s="114">
        <f>SUM(V78:V97)</f>
        <v>0</v>
      </c>
      <c r="W98" s="112"/>
      <c r="X98" s="197">
        <f>SUM(X78:X97)</f>
        <v>1.6893</v>
      </c>
      <c r="Y98" s="197">
        <f>SUM(Y78:Y97)</f>
        <v>110.9307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  <c r="Q104" s="212">
        <f>P78+U78+Q78</f>
        <v>63.570000000000007</v>
      </c>
    </row>
    <row r="105" spans="14:30" x14ac:dyDescent="0.25">
      <c r="N105" s="85"/>
      <c r="Q105" s="212">
        <f>P79+Q79+U79</f>
        <v>57.32</v>
      </c>
    </row>
    <row r="106" spans="14:30" x14ac:dyDescent="0.25">
      <c r="N106" s="85"/>
      <c r="Q106" s="215">
        <f>P80+Q80+U80</f>
        <v>0</v>
      </c>
    </row>
    <row r="107" spans="14:30" x14ac:dyDescent="0.25">
      <c r="N107" s="85"/>
      <c r="Q107" s="215">
        <f>P81+Q81+U81</f>
        <v>0</v>
      </c>
    </row>
    <row r="108" spans="14:30" x14ac:dyDescent="0.25">
      <c r="N108" s="85"/>
      <c r="Q108" s="212">
        <f>P82+Q82+U82</f>
        <v>0</v>
      </c>
    </row>
    <row r="109" spans="14:30" x14ac:dyDescent="0.25">
      <c r="N109" s="85"/>
      <c r="Q109" s="212">
        <f>P83+Q83+U83</f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5" priority="1" operator="greaterThan">
      <formula>0</formula>
    </cfRule>
    <cfRule type="cellIs" dxfId="4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G11" zoomScale="90" zoomScaleNormal="90" workbookViewId="0">
      <selection activeCell="O12" sqref="O1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2851562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44783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5.9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126.5+193+16.5+76</f>
        <v>412</v>
      </c>
      <c r="C12" s="15"/>
      <c r="D12" s="56"/>
      <c r="E12" s="16"/>
      <c r="F12" s="56"/>
      <c r="G12" s="56"/>
      <c r="H12" s="17"/>
      <c r="I12" s="83">
        <v>412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221</v>
      </c>
      <c r="P12" s="153">
        <v>240</v>
      </c>
      <c r="Q12" s="153">
        <v>2001</v>
      </c>
      <c r="R12" s="154">
        <v>281.47000000000003</v>
      </c>
      <c r="S12" s="155"/>
      <c r="T12" s="155"/>
      <c r="U12" s="189">
        <f>((T12/U$10)*U$9)</f>
        <v>0</v>
      </c>
      <c r="V12" s="189">
        <f>R12*V$10</f>
        <v>2.1110250000000002</v>
      </c>
      <c r="W12" s="189">
        <f>+S12*V$10</f>
        <v>0</v>
      </c>
      <c r="X12" s="189">
        <f>+T12*X$10</f>
        <v>0</v>
      </c>
      <c r="Y12" s="189">
        <f>R12-V12</f>
        <v>279.35897500000004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f>17+31+103+42+64</f>
        <v>257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257</v>
      </c>
      <c r="K13" s="75"/>
      <c r="L13" s="186">
        <f t="shared" ref="L13:L42" si="1">+G13-K13</f>
        <v>0</v>
      </c>
      <c r="M13" s="106"/>
      <c r="N13" s="104">
        <v>2</v>
      </c>
      <c r="O13" s="152" t="s">
        <v>221</v>
      </c>
      <c r="P13" s="153">
        <v>280</v>
      </c>
      <c r="Q13" s="153">
        <v>2001</v>
      </c>
      <c r="R13" s="154">
        <v>138.96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1.0422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137.9178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1516.3000000000002</v>
      </c>
      <c r="C14" s="15"/>
      <c r="D14" s="56"/>
      <c r="E14" s="16"/>
      <c r="F14" s="56"/>
      <c r="G14" s="56"/>
      <c r="H14" s="17"/>
      <c r="I14" s="83"/>
      <c r="J14" s="81">
        <f t="shared" si="0"/>
        <v>1516.3000000000002</v>
      </c>
      <c r="K14" s="80"/>
      <c r="L14" s="186">
        <f t="shared" si="1"/>
        <v>0</v>
      </c>
      <c r="M14" s="107"/>
      <c r="N14" s="104">
        <v>3</v>
      </c>
      <c r="O14" s="152" t="s">
        <v>221</v>
      </c>
      <c r="P14" s="153">
        <v>144</v>
      </c>
      <c r="Q14" s="153">
        <v>1001</v>
      </c>
      <c r="R14" s="154">
        <v>390.34</v>
      </c>
      <c r="S14" s="155"/>
      <c r="T14" s="157">
        <v>17.64</v>
      </c>
      <c r="U14" s="189">
        <f t="shared" si="2"/>
        <v>0.76034482758620703</v>
      </c>
      <c r="V14" s="189">
        <f t="shared" si="3"/>
        <v>2.9275499999999997</v>
      </c>
      <c r="W14" s="189">
        <f t="shared" si="4"/>
        <v>0</v>
      </c>
      <c r="X14" s="189">
        <f t="shared" si="5"/>
        <v>0.44100000000000006</v>
      </c>
      <c r="Y14" s="189">
        <f t="shared" si="6"/>
        <v>387.41244999999998</v>
      </c>
      <c r="Z14" s="189">
        <f t="shared" si="6"/>
        <v>0</v>
      </c>
      <c r="AA14" s="189">
        <f t="shared" si="7"/>
        <v>16.438655172413796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221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221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257</v>
      </c>
      <c r="C19" s="95"/>
      <c r="D19" s="94"/>
      <c r="E19" s="96"/>
      <c r="F19" s="94"/>
      <c r="G19" s="94"/>
      <c r="H19" s="98"/>
      <c r="I19" s="99">
        <v>257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1516.3000000000002</v>
      </c>
      <c r="C20" s="95"/>
      <c r="D20" s="94"/>
      <c r="E20" s="96"/>
      <c r="F20" s="94"/>
      <c r="G20" s="94"/>
      <c r="H20" s="98"/>
      <c r="I20" s="99">
        <v>1529.15</v>
      </c>
      <c r="J20" s="185">
        <f t="shared" si="0"/>
        <v>-12.849999999999909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810.77</v>
      </c>
      <c r="S42" s="190">
        <f t="shared" si="8"/>
        <v>0</v>
      </c>
      <c r="T42" s="190">
        <f t="shared" si="8"/>
        <v>17.64</v>
      </c>
      <c r="U42" s="190">
        <f t="shared" si="8"/>
        <v>0.76034482758620703</v>
      </c>
      <c r="V42" s="190">
        <f t="shared" si="8"/>
        <v>6.0807749999999992</v>
      </c>
      <c r="W42" s="190">
        <f t="shared" si="8"/>
        <v>0</v>
      </c>
      <c r="X42" s="190">
        <f t="shared" si="8"/>
        <v>0.44100000000000006</v>
      </c>
      <c r="Y42" s="190">
        <f t="shared" si="8"/>
        <v>804.68922500000008</v>
      </c>
      <c r="Z42" s="190">
        <f t="shared" si="8"/>
        <v>0</v>
      </c>
      <c r="AA42" s="190">
        <f t="shared" si="8"/>
        <v>16.438655172413796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810.77</v>
      </c>
      <c r="C46" s="116">
        <v>7.4999999999999997E-3</v>
      </c>
      <c r="D46" s="117">
        <f>B46*C46</f>
        <v>6.080775</v>
      </c>
      <c r="E46" s="172">
        <v>0</v>
      </c>
      <c r="F46" s="117">
        <f t="shared" ref="F46:F50" si="15">D46*E46</f>
        <v>0</v>
      </c>
      <c r="G46" s="117">
        <f t="shared" ref="G46:G51" si="16">B46-D46-F46</f>
        <v>804.68922499999996</v>
      </c>
      <c r="H46" s="173">
        <f>B$6+1</f>
        <v>44784</v>
      </c>
      <c r="I46" s="174">
        <v>810.77</v>
      </c>
      <c r="J46" s="81">
        <f t="shared" si="0"/>
        <v>0</v>
      </c>
      <c r="K46" s="80"/>
      <c r="L46" s="186">
        <f>K46-G46</f>
        <v>-804.68922499999996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44784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44784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4370.71</v>
      </c>
      <c r="C49" s="116">
        <v>7.4999999999999997E-3</v>
      </c>
      <c r="D49" s="117">
        <f t="shared" si="17"/>
        <v>32.780324999999998</v>
      </c>
      <c r="E49" s="172">
        <v>0</v>
      </c>
      <c r="F49" s="117">
        <f t="shared" si="15"/>
        <v>0</v>
      </c>
      <c r="G49" s="117">
        <f t="shared" si="16"/>
        <v>4337.9296750000003</v>
      </c>
      <c r="H49" s="173">
        <f t="shared" si="19"/>
        <v>44784</v>
      </c>
      <c r="I49" s="176">
        <v>4370.71</v>
      </c>
      <c r="J49" s="81">
        <f t="shared" si="0"/>
        <v>0</v>
      </c>
      <c r="K49" s="80"/>
      <c r="L49" s="186">
        <f t="shared" si="18"/>
        <v>4337.9296750000003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281.54999999999995</v>
      </c>
      <c r="C50" s="116">
        <v>7.4999999999999997E-3</v>
      </c>
      <c r="D50" s="117">
        <f t="shared" si="17"/>
        <v>2.1116249999999996</v>
      </c>
      <c r="E50" s="172">
        <v>0</v>
      </c>
      <c r="F50" s="117">
        <f t="shared" si="15"/>
        <v>0</v>
      </c>
      <c r="G50" s="117">
        <f t="shared" si="16"/>
        <v>279.43837499999995</v>
      </c>
      <c r="H50" s="173">
        <f t="shared" si="19"/>
        <v>44784</v>
      </c>
      <c r="I50" s="175">
        <v>460.43</v>
      </c>
      <c r="J50" s="81">
        <f t="shared" si="0"/>
        <v>-178.88000000000005</v>
      </c>
      <c r="K50" s="80"/>
      <c r="L50" s="186">
        <f t="shared" si="18"/>
        <v>279.43837499999995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178.88</v>
      </c>
      <c r="C51" s="116">
        <v>1.4999999999999999E-2</v>
      </c>
      <c r="D51" s="117">
        <f>+B51*C51</f>
        <v>2.6831999999999998</v>
      </c>
      <c r="E51" s="172">
        <v>0</v>
      </c>
      <c r="F51" s="117">
        <f>D51*E51</f>
        <v>0</v>
      </c>
      <c r="G51" s="117">
        <f t="shared" si="16"/>
        <v>176.1968</v>
      </c>
      <c r="H51" s="173">
        <f t="shared" si="19"/>
        <v>44784</v>
      </c>
      <c r="I51" s="175"/>
      <c r="J51" s="81">
        <f t="shared" si="0"/>
        <v>178.88</v>
      </c>
      <c r="K51" s="80"/>
      <c r="L51" s="186">
        <f t="shared" si="18"/>
        <v>176.1968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17.64</v>
      </c>
      <c r="C52" s="116">
        <v>2.5000000000000001E-2</v>
      </c>
      <c r="D52" s="117">
        <f>B52*C52</f>
        <v>0.44100000000000006</v>
      </c>
      <c r="E52" s="172">
        <v>0.05</v>
      </c>
      <c r="F52" s="117">
        <f>(B52/E$10)*E52</f>
        <v>0.76034482758620703</v>
      </c>
      <c r="G52" s="117">
        <f>B52-D52-F52</f>
        <v>16.438655172413796</v>
      </c>
      <c r="H52" s="188">
        <f t="shared" si="19"/>
        <v>44784</v>
      </c>
      <c r="I52" s="176">
        <v>17.64</v>
      </c>
      <c r="J52" s="81">
        <f t="shared" si="0"/>
        <v>0</v>
      </c>
      <c r="K52" s="80"/>
      <c r="L52" s="186">
        <f>K52-G52</f>
        <v>-16.438655172413796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44784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44784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44784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44784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44786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44788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44813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44.096924999999999</v>
      </c>
      <c r="E61" s="177"/>
      <c r="F61" s="57">
        <f>SUM(F46:F58)</f>
        <v>0.76034482758620703</v>
      </c>
      <c r="G61" s="57">
        <f>SUM(G46:G58)</f>
        <v>5614.6927301724136</v>
      </c>
      <c r="H61" s="173">
        <f t="shared" si="19"/>
        <v>44784</v>
      </c>
      <c r="I61" s="175"/>
      <c r="J61" s="81">
        <f t="shared" si="0"/>
        <v>0</v>
      </c>
      <c r="K61" s="80"/>
      <c r="L61" s="186">
        <f t="shared" si="18"/>
        <v>5614.6927301724136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44784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11229.385460344827</v>
      </c>
      <c r="H64" s="184"/>
      <c r="I64" s="175"/>
      <c r="J64" s="81">
        <f t="shared" si="0"/>
        <v>0</v>
      </c>
      <c r="K64" s="80"/>
      <c r="L64" s="186">
        <f t="shared" si="18"/>
        <v>11229.385460344827</v>
      </c>
      <c r="M64" s="130"/>
      <c r="N64" s="87">
        <v>1</v>
      </c>
      <c r="O64" s="122" t="s">
        <v>193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7587.8500000000013</v>
      </c>
      <c r="G65" s="22"/>
      <c r="L65" s="132"/>
      <c r="M65" s="131"/>
      <c r="N65" s="87">
        <v>2</v>
      </c>
      <c r="O65" s="122" t="s">
        <v>193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193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193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f>1702+920.33+2868.67+665.7+1409.77</f>
        <v>7566.4699999999993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7566.47</v>
      </c>
      <c r="C69" s="59"/>
      <c r="F69" s="87" t="s">
        <v>129</v>
      </c>
      <c r="G69" s="22"/>
      <c r="H69" s="89"/>
      <c r="I69" s="136"/>
      <c r="J69" s="136"/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0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172</v>
      </c>
      <c r="P70" s="228">
        <v>70</v>
      </c>
      <c r="Q70" s="228">
        <v>2003</v>
      </c>
      <c r="R70" s="222">
        <v>951.86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7.1389499999999995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944.72104999999999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21.380000000001019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172</v>
      </c>
      <c r="P71" s="228">
        <v>768</v>
      </c>
      <c r="Q71" s="228">
        <v>2002</v>
      </c>
      <c r="R71" s="222">
        <v>284.60000000000002</v>
      </c>
      <c r="S71" s="228"/>
      <c r="T71" s="228"/>
      <c r="U71" s="189">
        <f t="shared" si="34"/>
        <v>0</v>
      </c>
      <c r="V71" s="189">
        <f t="shared" si="35"/>
        <v>2.1345000000000001</v>
      </c>
      <c r="W71" s="189">
        <f t="shared" si="36"/>
        <v>0</v>
      </c>
      <c r="X71" s="189">
        <f t="shared" si="37"/>
        <v>0</v>
      </c>
      <c r="Y71" s="189">
        <f t="shared" si="38"/>
        <v>282.46550000000002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769</v>
      </c>
      <c r="Q72" s="228">
        <v>2002</v>
      </c>
      <c r="R72" s="222">
        <v>1528.63</v>
      </c>
      <c r="S72" s="228"/>
      <c r="T72" s="228"/>
      <c r="U72" s="189">
        <f t="shared" si="34"/>
        <v>0</v>
      </c>
      <c r="V72" s="189">
        <f t="shared" si="35"/>
        <v>11.464725</v>
      </c>
      <c r="W72" s="189">
        <f t="shared" si="36"/>
        <v>0</v>
      </c>
      <c r="X72" s="189">
        <f t="shared" si="37"/>
        <v>0</v>
      </c>
      <c r="Y72" s="189">
        <f t="shared" si="38"/>
        <v>1517.1652750000001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>
        <v>776</v>
      </c>
      <c r="Q73" s="228">
        <v>2001</v>
      </c>
      <c r="R73" s="222">
        <v>413.33</v>
      </c>
      <c r="S73" s="228"/>
      <c r="T73" s="228"/>
      <c r="U73" s="189">
        <f t="shared" si="34"/>
        <v>0</v>
      </c>
      <c r="V73" s="189">
        <f t="shared" si="35"/>
        <v>3.0999749999999997</v>
      </c>
      <c r="W73" s="189">
        <f t="shared" si="36"/>
        <v>0</v>
      </c>
      <c r="X73" s="189">
        <f t="shared" si="37"/>
        <v>0</v>
      </c>
      <c r="Y73" s="189">
        <f t="shared" si="38"/>
        <v>410.23002500000001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>
        <v>777</v>
      </c>
      <c r="Q74" s="228">
        <v>2001</v>
      </c>
      <c r="R74" s="222">
        <v>1192.29</v>
      </c>
      <c r="S74" s="228"/>
      <c r="T74" s="228"/>
      <c r="U74" s="189">
        <f t="shared" si="34"/>
        <v>0</v>
      </c>
      <c r="V74" s="189">
        <f t="shared" si="35"/>
        <v>8.9421749999999989</v>
      </c>
      <c r="W74" s="189">
        <f t="shared" si="36"/>
        <v>0</v>
      </c>
      <c r="X74" s="189">
        <f t="shared" si="37"/>
        <v>0</v>
      </c>
      <c r="Y74" s="189">
        <f t="shared" si="38"/>
        <v>1183.3478250000001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4370.71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32.780324999999998</v>
      </c>
      <c r="W75" s="192">
        <f t="shared" si="41"/>
        <v>0</v>
      </c>
      <c r="X75" s="192">
        <f t="shared" si="41"/>
        <v>0</v>
      </c>
      <c r="Y75" s="192">
        <f t="shared" si="41"/>
        <v>4337.9296749999994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29.38+20.75</f>
        <v>50.129999999999995</v>
      </c>
      <c r="R78" s="82">
        <v>7.4999999999999997E-3</v>
      </c>
      <c r="S78" s="216">
        <f>+(P78+Q78)*R78</f>
        <v>0.37597499999999995</v>
      </c>
      <c r="T78" s="219">
        <f>+(P78+Q78)-S78</f>
        <v>49.754024999999999</v>
      </c>
      <c r="U78" s="211">
        <f>14.14+112.31</f>
        <v>126.45</v>
      </c>
      <c r="V78" s="112"/>
      <c r="W78" s="113">
        <v>1.4999999999999999E-2</v>
      </c>
      <c r="X78" s="196">
        <f>+(U78+V78)*W78</f>
        <v>1.8967499999999999</v>
      </c>
      <c r="Y78" s="253">
        <f>+(U78+V78)-X78</f>
        <v>124.55325000000001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>
        <f>137.44+87.38+6.6</f>
        <v>231.42</v>
      </c>
      <c r="R79" s="82">
        <v>7.4999999999999997E-3</v>
      </c>
      <c r="S79" s="216">
        <f>+(P79+Q79)*R79</f>
        <v>1.7356499999999999</v>
      </c>
      <c r="T79" s="246">
        <f t="shared" ref="T79:T97" si="43">+(P79+Q79)-S79</f>
        <v>229.68434999999999</v>
      </c>
      <c r="U79" s="211">
        <f>52.43</f>
        <v>52.43</v>
      </c>
      <c r="V79" s="112"/>
      <c r="W79" s="113">
        <v>1.4999999999999999E-2</v>
      </c>
      <c r="X79" s="196">
        <f t="shared" ref="X79:X97" si="44">+(U79+V79)*W79</f>
        <v>0.78644999999999998</v>
      </c>
      <c r="Y79" s="253">
        <f t="shared" ref="Y79:Y97" si="45">+(U79+V79)-X79</f>
        <v>51.643549999999998</v>
      </c>
      <c r="Z79" s="87"/>
      <c r="AA79" s="189">
        <f t="shared" si="42"/>
        <v>0</v>
      </c>
      <c r="AB79" s="189">
        <f t="shared" ref="AB79:AB97" si="46">+Z79*X$10</f>
        <v>0</v>
      </c>
      <c r="AC79" s="189">
        <f t="shared" ref="AC79:AC97" si="47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ref="S80:S85" si="48">+(P80+Q80)*R80</f>
        <v>0</v>
      </c>
      <c r="T80" s="258">
        <f t="shared" si="43"/>
        <v>0</v>
      </c>
      <c r="U80" s="211"/>
      <c r="V80" s="112"/>
      <c r="W80" s="113">
        <v>1.4999999999999999E-2</v>
      </c>
      <c r="X80" s="196">
        <f t="shared" si="44"/>
        <v>0</v>
      </c>
      <c r="Y80" s="213">
        <f t="shared" si="45"/>
        <v>0</v>
      </c>
      <c r="Z80" s="87"/>
      <c r="AA80" s="189">
        <f t="shared" si="42"/>
        <v>0</v>
      </c>
      <c r="AB80" s="189">
        <f t="shared" si="46"/>
        <v>0</v>
      </c>
      <c r="AC80" s="189">
        <f t="shared" si="47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137">
        <v>0.75</v>
      </c>
      <c r="S81" s="216">
        <f t="shared" si="48"/>
        <v>0</v>
      </c>
      <c r="T81" s="258">
        <f t="shared" si="43"/>
        <v>0</v>
      </c>
      <c r="U81" s="211"/>
      <c r="V81" s="112"/>
      <c r="W81" s="113">
        <v>1.4999999999999999E-2</v>
      </c>
      <c r="X81" s="196">
        <f t="shared" si="44"/>
        <v>0</v>
      </c>
      <c r="Y81" s="217">
        <f t="shared" si="45"/>
        <v>0</v>
      </c>
      <c r="Z81" s="87"/>
      <c r="AA81" s="189">
        <f t="shared" si="42"/>
        <v>0</v>
      </c>
      <c r="AB81" s="189">
        <f t="shared" si="46"/>
        <v>0</v>
      </c>
      <c r="AC81" s="189">
        <f t="shared" si="47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137">
        <v>0.75</v>
      </c>
      <c r="S82" s="216">
        <f t="shared" si="48"/>
        <v>0</v>
      </c>
      <c r="T82" s="219">
        <f t="shared" si="43"/>
        <v>0</v>
      </c>
      <c r="U82" s="211"/>
      <c r="V82" s="112"/>
      <c r="W82" s="113">
        <v>1.4999999999999999E-2</v>
      </c>
      <c r="X82" s="196">
        <f t="shared" si="44"/>
        <v>0</v>
      </c>
      <c r="Y82" s="217">
        <f t="shared" si="45"/>
        <v>0</v>
      </c>
      <c r="Z82" s="87"/>
      <c r="AA82" s="189">
        <f t="shared" si="42"/>
        <v>0</v>
      </c>
      <c r="AB82" s="189">
        <f t="shared" si="46"/>
        <v>0</v>
      </c>
      <c r="AC82" s="189">
        <f t="shared" si="47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137">
        <v>0.75</v>
      </c>
      <c r="S83" s="216">
        <f t="shared" si="48"/>
        <v>0</v>
      </c>
      <c r="T83" s="219">
        <f t="shared" si="43"/>
        <v>0</v>
      </c>
      <c r="U83" s="211"/>
      <c r="V83" s="112"/>
      <c r="W83" s="113">
        <v>1.4999999999999999E-2</v>
      </c>
      <c r="X83" s="196">
        <f t="shared" si="44"/>
        <v>0</v>
      </c>
      <c r="Y83" s="217">
        <f t="shared" si="45"/>
        <v>0</v>
      </c>
      <c r="Z83" s="87"/>
      <c r="AA83" s="189">
        <f t="shared" si="42"/>
        <v>0</v>
      </c>
      <c r="AB83" s="189">
        <f t="shared" si="46"/>
        <v>0</v>
      </c>
      <c r="AC83" s="189">
        <f t="shared" si="47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137">
        <v>0.75</v>
      </c>
      <c r="S84" s="216">
        <f t="shared" si="48"/>
        <v>0</v>
      </c>
      <c r="T84" s="220">
        <f t="shared" si="43"/>
        <v>0</v>
      </c>
      <c r="U84" s="112"/>
      <c r="V84" s="112"/>
      <c r="W84" s="113">
        <v>1.4999999999999999E-2</v>
      </c>
      <c r="X84" s="196">
        <f t="shared" si="44"/>
        <v>0</v>
      </c>
      <c r="Y84" s="196">
        <f t="shared" si="45"/>
        <v>0</v>
      </c>
      <c r="Z84" s="87"/>
      <c r="AA84" s="189">
        <f t="shared" si="42"/>
        <v>0</v>
      </c>
      <c r="AB84" s="189">
        <f t="shared" si="46"/>
        <v>0</v>
      </c>
      <c r="AC84" s="189">
        <f t="shared" si="47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137">
        <v>0.75</v>
      </c>
      <c r="S85" s="216">
        <f t="shared" si="48"/>
        <v>0</v>
      </c>
      <c r="T85" s="219">
        <f t="shared" si="43"/>
        <v>0</v>
      </c>
      <c r="U85" s="112"/>
      <c r="V85" s="112"/>
      <c r="W85" s="113">
        <v>1.4999999999999999E-2</v>
      </c>
      <c r="X85" s="196">
        <f t="shared" si="44"/>
        <v>0</v>
      </c>
      <c r="Y85" s="196">
        <f t="shared" si="45"/>
        <v>0</v>
      </c>
      <c r="Z85" s="87"/>
      <c r="AA85" s="189">
        <f t="shared" si="42"/>
        <v>0</v>
      </c>
      <c r="AB85" s="189">
        <f t="shared" si="46"/>
        <v>0</v>
      </c>
      <c r="AC85" s="189">
        <f t="shared" si="47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137">
        <v>0.75</v>
      </c>
      <c r="S86" s="194">
        <f t="shared" ref="S86:S97" si="49">+(P86+Q86)*R86</f>
        <v>0</v>
      </c>
      <c r="T86" s="220">
        <f t="shared" si="43"/>
        <v>0</v>
      </c>
      <c r="U86" s="112"/>
      <c r="V86" s="112"/>
      <c r="W86" s="113">
        <v>1.4999999999999999E-2</v>
      </c>
      <c r="X86" s="196">
        <f t="shared" si="44"/>
        <v>0</v>
      </c>
      <c r="Y86" s="196">
        <f t="shared" si="45"/>
        <v>0</v>
      </c>
      <c r="Z86" s="87"/>
      <c r="AA86" s="189">
        <f t="shared" si="42"/>
        <v>0</v>
      </c>
      <c r="AB86" s="189">
        <f t="shared" si="46"/>
        <v>0</v>
      </c>
      <c r="AC86" s="189">
        <f t="shared" si="47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9"/>
        <v>0</v>
      </c>
      <c r="T87" s="194">
        <f t="shared" si="43"/>
        <v>0</v>
      </c>
      <c r="U87" s="112"/>
      <c r="V87" s="112"/>
      <c r="W87" s="113">
        <v>1.4999999999999999E-2</v>
      </c>
      <c r="X87" s="196">
        <f t="shared" si="44"/>
        <v>0</v>
      </c>
      <c r="Y87" s="196">
        <f t="shared" si="45"/>
        <v>0</v>
      </c>
      <c r="Z87" s="87"/>
      <c r="AA87" s="189">
        <f t="shared" si="42"/>
        <v>0</v>
      </c>
      <c r="AB87" s="189">
        <f t="shared" si="46"/>
        <v>0</v>
      </c>
      <c r="AC87" s="189">
        <f t="shared" si="47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9"/>
        <v>0</v>
      </c>
      <c r="T88" s="194">
        <f t="shared" si="43"/>
        <v>0</v>
      </c>
      <c r="U88" s="112"/>
      <c r="V88" s="112"/>
      <c r="W88" s="113">
        <v>1.4999999999999999E-2</v>
      </c>
      <c r="X88" s="196">
        <f t="shared" si="44"/>
        <v>0</v>
      </c>
      <c r="Y88" s="196">
        <f t="shared" si="45"/>
        <v>0</v>
      </c>
      <c r="Z88" s="87"/>
      <c r="AA88" s="189">
        <f t="shared" si="42"/>
        <v>0</v>
      </c>
      <c r="AB88" s="189">
        <f t="shared" si="46"/>
        <v>0</v>
      </c>
      <c r="AC88" s="189">
        <f t="shared" si="47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9"/>
        <v>0</v>
      </c>
      <c r="T89" s="194">
        <f t="shared" si="43"/>
        <v>0</v>
      </c>
      <c r="U89" s="112"/>
      <c r="V89" s="112"/>
      <c r="W89" s="113">
        <v>1.4999999999999999E-2</v>
      </c>
      <c r="X89" s="196">
        <f t="shared" si="44"/>
        <v>0</v>
      </c>
      <c r="Y89" s="196">
        <f t="shared" si="45"/>
        <v>0</v>
      </c>
      <c r="Z89" s="87"/>
      <c r="AA89" s="189">
        <f t="shared" si="42"/>
        <v>0</v>
      </c>
      <c r="AB89" s="189">
        <f t="shared" si="46"/>
        <v>0</v>
      </c>
      <c r="AC89" s="189">
        <f t="shared" si="47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9"/>
        <v>0</v>
      </c>
      <c r="T90" s="194">
        <f t="shared" si="43"/>
        <v>0</v>
      </c>
      <c r="U90" s="112"/>
      <c r="V90" s="112"/>
      <c r="W90" s="113">
        <v>1.4999999999999999E-2</v>
      </c>
      <c r="X90" s="196">
        <f t="shared" si="44"/>
        <v>0</v>
      </c>
      <c r="Y90" s="196">
        <f t="shared" si="45"/>
        <v>0</v>
      </c>
      <c r="Z90" s="87"/>
      <c r="AA90" s="189">
        <f t="shared" si="42"/>
        <v>0</v>
      </c>
      <c r="AB90" s="189">
        <f t="shared" si="46"/>
        <v>0</v>
      </c>
      <c r="AC90" s="189">
        <f t="shared" si="47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9"/>
        <v>0</v>
      </c>
      <c r="T91" s="194">
        <f t="shared" si="43"/>
        <v>0</v>
      </c>
      <c r="U91" s="112"/>
      <c r="V91" s="112"/>
      <c r="W91" s="113">
        <v>1.4999999999999999E-2</v>
      </c>
      <c r="X91" s="196">
        <f t="shared" si="44"/>
        <v>0</v>
      </c>
      <c r="Y91" s="196">
        <f t="shared" si="45"/>
        <v>0</v>
      </c>
      <c r="Z91" s="87"/>
      <c r="AA91" s="189">
        <f t="shared" si="42"/>
        <v>0</v>
      </c>
      <c r="AB91" s="189">
        <f t="shared" si="46"/>
        <v>0</v>
      </c>
      <c r="AC91" s="189">
        <f t="shared" si="47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9"/>
        <v>0</v>
      </c>
      <c r="T92" s="194">
        <f t="shared" si="43"/>
        <v>0</v>
      </c>
      <c r="U92" s="112"/>
      <c r="V92" s="112"/>
      <c r="W92" s="113">
        <v>1.4999999999999999E-2</v>
      </c>
      <c r="X92" s="196">
        <f t="shared" si="44"/>
        <v>0</v>
      </c>
      <c r="Y92" s="196">
        <f t="shared" si="45"/>
        <v>0</v>
      </c>
      <c r="Z92" s="87"/>
      <c r="AA92" s="189">
        <f t="shared" si="42"/>
        <v>0</v>
      </c>
      <c r="AB92" s="189">
        <f t="shared" si="46"/>
        <v>0</v>
      </c>
      <c r="AC92" s="189">
        <f t="shared" si="47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9"/>
        <v>0</v>
      </c>
      <c r="T93" s="194">
        <f t="shared" si="43"/>
        <v>0</v>
      </c>
      <c r="U93" s="112"/>
      <c r="V93" s="112"/>
      <c r="W93" s="113">
        <v>1.4999999999999999E-2</v>
      </c>
      <c r="X93" s="196">
        <f t="shared" si="44"/>
        <v>0</v>
      </c>
      <c r="Y93" s="196">
        <f t="shared" si="45"/>
        <v>0</v>
      </c>
      <c r="Z93" s="87"/>
      <c r="AA93" s="189">
        <f t="shared" si="42"/>
        <v>0</v>
      </c>
      <c r="AB93" s="189">
        <f t="shared" si="46"/>
        <v>0</v>
      </c>
      <c r="AC93" s="189">
        <f t="shared" si="47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9"/>
        <v>0</v>
      </c>
      <c r="T94" s="194">
        <f t="shared" si="43"/>
        <v>0</v>
      </c>
      <c r="U94" s="112"/>
      <c r="V94" s="112"/>
      <c r="W94" s="113">
        <v>1.4999999999999999E-2</v>
      </c>
      <c r="X94" s="196">
        <f t="shared" si="44"/>
        <v>0</v>
      </c>
      <c r="Y94" s="196">
        <f t="shared" si="45"/>
        <v>0</v>
      </c>
      <c r="Z94" s="87"/>
      <c r="AA94" s="189">
        <f t="shared" si="42"/>
        <v>0</v>
      </c>
      <c r="AB94" s="189">
        <f t="shared" si="46"/>
        <v>0</v>
      </c>
      <c r="AC94" s="189">
        <f t="shared" si="47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9"/>
        <v>0</v>
      </c>
      <c r="T95" s="194">
        <f t="shared" si="43"/>
        <v>0</v>
      </c>
      <c r="U95" s="112"/>
      <c r="V95" s="112"/>
      <c r="W95" s="113">
        <v>1.4999999999999999E-2</v>
      </c>
      <c r="X95" s="196">
        <f t="shared" si="44"/>
        <v>0</v>
      </c>
      <c r="Y95" s="196">
        <f t="shared" si="45"/>
        <v>0</v>
      </c>
      <c r="Z95" s="87"/>
      <c r="AA95" s="189">
        <f t="shared" si="42"/>
        <v>0</v>
      </c>
      <c r="AB95" s="189">
        <f t="shared" si="46"/>
        <v>0</v>
      </c>
      <c r="AC95" s="189">
        <f t="shared" si="47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9"/>
        <v>0</v>
      </c>
      <c r="T96" s="194">
        <f t="shared" si="43"/>
        <v>0</v>
      </c>
      <c r="U96" s="112"/>
      <c r="V96" s="112"/>
      <c r="W96" s="113">
        <v>1.4999999999999999E-2</v>
      </c>
      <c r="X96" s="196">
        <f t="shared" si="44"/>
        <v>0</v>
      </c>
      <c r="Y96" s="196">
        <f t="shared" si="45"/>
        <v>0</v>
      </c>
      <c r="Z96" s="87"/>
      <c r="AA96" s="189">
        <f t="shared" si="42"/>
        <v>0</v>
      </c>
      <c r="AB96" s="189">
        <f t="shared" si="46"/>
        <v>0</v>
      </c>
      <c r="AC96" s="189">
        <f t="shared" si="47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9"/>
        <v>0</v>
      </c>
      <c r="T97" s="194">
        <f t="shared" si="43"/>
        <v>0</v>
      </c>
      <c r="U97" s="112"/>
      <c r="V97" s="112"/>
      <c r="W97" s="113">
        <v>1.4999999999999999E-2</v>
      </c>
      <c r="X97" s="196">
        <f t="shared" si="44"/>
        <v>0</v>
      </c>
      <c r="Y97" s="196">
        <f t="shared" si="45"/>
        <v>0</v>
      </c>
      <c r="Z97" s="87"/>
      <c r="AA97" s="189">
        <f t="shared" si="42"/>
        <v>0</v>
      </c>
      <c r="AB97" s="189">
        <f t="shared" si="46"/>
        <v>0</v>
      </c>
      <c r="AC97" s="189">
        <f t="shared" si="47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281.54999999999995</v>
      </c>
      <c r="R98" s="111"/>
      <c r="S98" s="195">
        <f>SUM(S78:S97)</f>
        <v>2.1116250000000001</v>
      </c>
      <c r="T98" s="195">
        <f>SUM(T78:T97)</f>
        <v>279.43837500000001</v>
      </c>
      <c r="U98" s="114">
        <f>SUM(U78:U97)</f>
        <v>178.88</v>
      </c>
      <c r="V98" s="114">
        <f>SUM(V78:V97)</f>
        <v>0</v>
      </c>
      <c r="W98" s="112"/>
      <c r="X98" s="197">
        <f>SUM(X78:X97)</f>
        <v>2.6831999999999998</v>
      </c>
      <c r="Y98" s="197">
        <f>SUM(Y78:Y97)</f>
        <v>176.1968</v>
      </c>
      <c r="Z98" s="63">
        <f>SUM(Z78:Z97)</f>
        <v>0</v>
      </c>
      <c r="AA98" s="198">
        <f t="shared" ref="AA98:AB98" si="50">SUM(AA78:AA97)</f>
        <v>0</v>
      </c>
      <c r="AB98" s="198">
        <f t="shared" si="50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84"/>
    </row>
    <row r="102" spans="14:30" x14ac:dyDescent="0.25">
      <c r="N102" s="85"/>
      <c r="P102" s="84"/>
    </row>
    <row r="103" spans="14:30" x14ac:dyDescent="0.25">
      <c r="N103" s="85"/>
      <c r="P103" s="215">
        <f>P78+Q78+U78</f>
        <v>176.57999999999998</v>
      </c>
    </row>
    <row r="104" spans="14:30" x14ac:dyDescent="0.25">
      <c r="N104" s="85"/>
      <c r="P104" s="236">
        <f>P79+Q79+U79</f>
        <v>283.84999999999997</v>
      </c>
    </row>
    <row r="105" spans="14:30" x14ac:dyDescent="0.25">
      <c r="N105" s="85"/>
      <c r="P105" s="215">
        <f>P80+Q80+U80</f>
        <v>0</v>
      </c>
    </row>
    <row r="106" spans="14:30" x14ac:dyDescent="0.25">
      <c r="N106" s="85"/>
      <c r="P106" s="215">
        <f>P81+U81+Q81</f>
        <v>0</v>
      </c>
    </row>
    <row r="107" spans="14:30" x14ac:dyDescent="0.25">
      <c r="N107" s="85"/>
      <c r="P107" s="236">
        <f>P82+Q82+U82</f>
        <v>0</v>
      </c>
    </row>
    <row r="108" spans="14:30" x14ac:dyDescent="0.25">
      <c r="N108" s="85"/>
      <c r="P108" s="236">
        <f>P83+Q83+U83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3" priority="1" operator="greaterThan">
      <formula>0</formula>
    </cfRule>
    <cfRule type="cellIs" dxfId="4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5" zoomScale="90" zoomScaleNormal="90" workbookViewId="0">
      <selection activeCell="O12" sqref="O1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44784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5.95</v>
      </c>
      <c r="C8" s="85" t="s">
        <v>94</v>
      </c>
      <c r="D8" s="108"/>
    </row>
    <row r="9" spans="1:28" x14ac:dyDescent="0.25">
      <c r="A9" s="7" t="s">
        <v>78</v>
      </c>
      <c r="B9" s="108">
        <v>5.92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132+14.5+128+49+13.5</f>
        <v>337</v>
      </c>
      <c r="C12" s="15"/>
      <c r="D12" s="56"/>
      <c r="E12" s="16"/>
      <c r="F12" s="56"/>
      <c r="G12" s="56"/>
      <c r="H12" s="17"/>
      <c r="I12" s="83">
        <v>337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221</v>
      </c>
      <c r="P12" s="153">
        <v>241</v>
      </c>
      <c r="Q12" s="153">
        <v>2001</v>
      </c>
      <c r="R12" s="154">
        <v>161.57</v>
      </c>
      <c r="S12" s="155"/>
      <c r="T12" s="155">
        <v>33.69</v>
      </c>
      <c r="U12" s="189">
        <f>((T12/U$10)*U$9)</f>
        <v>1.4521551724137931</v>
      </c>
      <c r="V12" s="189">
        <f>R12*V$10</f>
        <v>1.2117749999999998</v>
      </c>
      <c r="W12" s="189">
        <f>+S12*V$10</f>
        <v>0</v>
      </c>
      <c r="X12" s="189">
        <f>+T12*X$10</f>
        <v>0.84224999999999994</v>
      </c>
      <c r="Y12" s="189">
        <f>R12-V12</f>
        <v>160.358225</v>
      </c>
      <c r="Z12" s="189">
        <f>S12-W12</f>
        <v>0</v>
      </c>
      <c r="AA12" s="189">
        <f>T12-U12-X12</f>
        <v>31.395594827586201</v>
      </c>
      <c r="AB12" s="156"/>
    </row>
    <row r="13" spans="1:28" ht="15.75" x14ac:dyDescent="0.25">
      <c r="A13" s="86" t="s">
        <v>76</v>
      </c>
      <c r="B13" s="89">
        <f>74+12</f>
        <v>86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86</v>
      </c>
      <c r="K13" s="75"/>
      <c r="L13" s="186">
        <f t="shared" ref="L13:L44" si="1">+G13-K13</f>
        <v>0</v>
      </c>
      <c r="M13" s="106"/>
      <c r="N13" s="104">
        <v>2</v>
      </c>
      <c r="O13" s="152" t="s">
        <v>221</v>
      </c>
      <c r="P13" s="153">
        <v>282</v>
      </c>
      <c r="Q13" s="153">
        <v>2001</v>
      </c>
      <c r="R13" s="154">
        <v>291.89</v>
      </c>
      <c r="S13" s="155"/>
      <c r="T13" s="157">
        <v>10.37</v>
      </c>
      <c r="U13" s="189">
        <f t="shared" ref="U13:U41" si="2">((T13/U$10)*U$9)</f>
        <v>0.4469827586206897</v>
      </c>
      <c r="V13" s="189">
        <f t="shared" ref="V13:V41" si="3">R13*V$10</f>
        <v>2.1891749999999996</v>
      </c>
      <c r="W13" s="189">
        <f t="shared" ref="W13:W41" si="4">+S13*V$10</f>
        <v>0</v>
      </c>
      <c r="X13" s="189">
        <f t="shared" ref="X13:X41" si="5">+T13*X$10</f>
        <v>0.25924999999999998</v>
      </c>
      <c r="Y13" s="189">
        <f t="shared" ref="Y13:Z41" si="6">R13-V13</f>
        <v>289.70082500000001</v>
      </c>
      <c r="Z13" s="189">
        <f t="shared" si="6"/>
        <v>0</v>
      </c>
      <c r="AA13" s="189">
        <f t="shared" ref="AA13:AA41" si="7">T13-U13-X13</f>
        <v>9.6637672413793094</v>
      </c>
      <c r="AB13" s="156"/>
    </row>
    <row r="14" spans="1:28" ht="15.75" x14ac:dyDescent="0.25">
      <c r="A14" s="86" t="s">
        <v>83</v>
      </c>
      <c r="B14" s="57">
        <f>B13*B8</f>
        <v>511.7</v>
      </c>
      <c r="C14" s="15"/>
      <c r="D14" s="56"/>
      <c r="E14" s="16"/>
      <c r="F14" s="56"/>
      <c r="G14" s="56"/>
      <c r="H14" s="17"/>
      <c r="I14" s="83"/>
      <c r="J14" s="81">
        <f t="shared" si="0"/>
        <v>511.7</v>
      </c>
      <c r="K14" s="80"/>
      <c r="L14" s="186">
        <f t="shared" si="1"/>
        <v>0</v>
      </c>
      <c r="M14" s="107"/>
      <c r="N14" s="104">
        <v>3</v>
      </c>
      <c r="O14" s="152" t="s">
        <v>221</v>
      </c>
      <c r="P14" s="153">
        <v>283</v>
      </c>
      <c r="Q14" s="153">
        <v>2001</v>
      </c>
      <c r="R14" s="154">
        <v>247.39</v>
      </c>
      <c r="S14" s="155"/>
      <c r="T14" s="157"/>
      <c r="U14" s="189">
        <f t="shared" si="2"/>
        <v>0</v>
      </c>
      <c r="V14" s="189">
        <f t="shared" si="3"/>
        <v>1.8554249999999999</v>
      </c>
      <c r="W14" s="189">
        <f t="shared" si="4"/>
        <v>0</v>
      </c>
      <c r="X14" s="189">
        <f t="shared" si="5"/>
        <v>0</v>
      </c>
      <c r="Y14" s="189">
        <f t="shared" si="6"/>
        <v>245.53457499999999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f>67+74+91+22+4</f>
        <v>258</v>
      </c>
      <c r="C15" s="15"/>
      <c r="D15" s="56"/>
      <c r="E15" s="16"/>
      <c r="F15" s="56"/>
      <c r="G15" s="56"/>
      <c r="H15" s="17"/>
      <c r="I15" s="83"/>
      <c r="J15" s="81">
        <f t="shared" si="0"/>
        <v>258</v>
      </c>
      <c r="K15" s="80"/>
      <c r="L15" s="186">
        <f t="shared" si="1"/>
        <v>0</v>
      </c>
      <c r="M15" s="107"/>
      <c r="N15" s="104">
        <v>4</v>
      </c>
      <c r="O15" s="152" t="s">
        <v>221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1527.36</v>
      </c>
      <c r="C16" s="15"/>
      <c r="D16" s="56"/>
      <c r="E16" s="16"/>
      <c r="F16" s="56"/>
      <c r="G16" s="56"/>
      <c r="H16" s="17"/>
      <c r="I16" s="83"/>
      <c r="J16" s="81">
        <f t="shared" si="0"/>
        <v>1527.36</v>
      </c>
      <c r="K16" s="80"/>
      <c r="L16" s="186">
        <f t="shared" si="1"/>
        <v>0</v>
      </c>
      <c r="M16" s="107"/>
      <c r="N16" s="104">
        <v>5</v>
      </c>
      <c r="O16" s="152" t="s">
        <v>221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221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221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344</v>
      </c>
      <c r="C19" s="95"/>
      <c r="D19" s="94"/>
      <c r="E19" s="96"/>
      <c r="F19" s="94"/>
      <c r="G19" s="94"/>
      <c r="H19" s="98"/>
      <c r="I19" s="99">
        <v>344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2039.06</v>
      </c>
      <c r="C20" s="95"/>
      <c r="D20" s="94"/>
      <c r="E20" s="96"/>
      <c r="F20" s="94"/>
      <c r="G20" s="94"/>
      <c r="H20" s="98"/>
      <c r="I20" s="99">
        <v>2046.8</v>
      </c>
      <c r="J20" s="185">
        <f t="shared" si="0"/>
        <v>-7.7400000000000091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700.84999999999991</v>
      </c>
      <c r="S42" s="190">
        <f t="shared" si="8"/>
        <v>0</v>
      </c>
      <c r="T42" s="190">
        <f t="shared" si="8"/>
        <v>44.059999999999995</v>
      </c>
      <c r="U42" s="190">
        <f t="shared" si="8"/>
        <v>1.8991379310344829</v>
      </c>
      <c r="V42" s="190">
        <f t="shared" si="8"/>
        <v>5.2563749999999994</v>
      </c>
      <c r="W42" s="190">
        <f t="shared" si="8"/>
        <v>0</v>
      </c>
      <c r="X42" s="190">
        <f t="shared" si="8"/>
        <v>1.1014999999999999</v>
      </c>
      <c r="Y42" s="190">
        <f t="shared" si="8"/>
        <v>695.59362499999997</v>
      </c>
      <c r="Z42" s="190">
        <f t="shared" si="8"/>
        <v>0</v>
      </c>
      <c r="AA42" s="190">
        <f t="shared" si="8"/>
        <v>41.059362068965513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700.84999999999991</v>
      </c>
      <c r="C46" s="116">
        <v>7.4999999999999997E-3</v>
      </c>
      <c r="D46" s="117">
        <f>B46*C46</f>
        <v>5.2563749999999994</v>
      </c>
      <c r="E46" s="172">
        <v>0</v>
      </c>
      <c r="F46" s="117">
        <f t="shared" ref="F46:F50" si="15">D46*E46</f>
        <v>0</v>
      </c>
      <c r="G46" s="117">
        <f t="shared" ref="G46:G51" si="16">B46-D46-F46</f>
        <v>695.59362499999986</v>
      </c>
      <c r="H46" s="173">
        <f>B$6+1</f>
        <v>44785</v>
      </c>
      <c r="I46" s="174">
        <v>700.85</v>
      </c>
      <c r="J46" s="81">
        <f t="shared" si="0"/>
        <v>0</v>
      </c>
      <c r="K46" s="80"/>
      <c r="L46" s="186">
        <f t="shared" ref="L46:L64" si="17">+G46-K46</f>
        <v>695.59362499999986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44785</v>
      </c>
      <c r="I48" s="219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3707.6800000000003</v>
      </c>
      <c r="C49" s="116">
        <v>7.4999999999999997E-3</v>
      </c>
      <c r="D49" s="117">
        <f t="shared" si="18"/>
        <v>27.807600000000001</v>
      </c>
      <c r="E49" s="172">
        <v>0</v>
      </c>
      <c r="F49" s="117">
        <f t="shared" si="15"/>
        <v>0</v>
      </c>
      <c r="G49" s="117">
        <f t="shared" si="16"/>
        <v>3679.8724000000002</v>
      </c>
      <c r="H49" s="173">
        <f t="shared" si="19"/>
        <v>44785</v>
      </c>
      <c r="I49" s="176">
        <v>3707.68</v>
      </c>
      <c r="J49" s="81">
        <f t="shared" si="0"/>
        <v>0</v>
      </c>
      <c r="K49" s="80"/>
      <c r="L49" s="186">
        <f t="shared" si="17"/>
        <v>3679.8724000000002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614.45000000000005</v>
      </c>
      <c r="C50" s="116">
        <v>7.4999999999999997E-3</v>
      </c>
      <c r="D50" s="117">
        <f t="shared" si="18"/>
        <v>4.6083750000000006</v>
      </c>
      <c r="E50" s="172">
        <v>0</v>
      </c>
      <c r="F50" s="117">
        <f t="shared" si="15"/>
        <v>0</v>
      </c>
      <c r="G50" s="117">
        <f t="shared" si="16"/>
        <v>609.84162500000002</v>
      </c>
      <c r="H50" s="173">
        <f t="shared" si="19"/>
        <v>44785</v>
      </c>
      <c r="I50" s="175">
        <v>709.92</v>
      </c>
      <c r="J50" s="81">
        <f t="shared" si="0"/>
        <v>-95.469999999999914</v>
      </c>
      <c r="K50" s="80"/>
      <c r="L50" s="186">
        <f t="shared" si="17"/>
        <v>609.84162500000002</v>
      </c>
      <c r="M50" s="107"/>
      <c r="N50" s="104">
        <v>8</v>
      </c>
      <c r="O50" s="167" t="s">
        <v>70</v>
      </c>
      <c r="P50" s="158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95.47</v>
      </c>
      <c r="C51" s="116">
        <v>1.4999999999999999E-2</v>
      </c>
      <c r="D51" s="117">
        <f>+B51*C51</f>
        <v>1.4320499999999998</v>
      </c>
      <c r="E51" s="172">
        <v>0</v>
      </c>
      <c r="F51" s="117">
        <f>D51*E51</f>
        <v>0</v>
      </c>
      <c r="G51" s="117">
        <f t="shared" si="16"/>
        <v>94.037949999999995</v>
      </c>
      <c r="H51" s="173">
        <f t="shared" si="19"/>
        <v>44785</v>
      </c>
      <c r="I51" s="175"/>
      <c r="J51" s="81">
        <f t="shared" si="0"/>
        <v>95.47</v>
      </c>
      <c r="K51" s="80"/>
      <c r="L51" s="186">
        <f t="shared" si="17"/>
        <v>94.037949999999995</v>
      </c>
      <c r="M51" s="107"/>
      <c r="N51" s="104">
        <v>9</v>
      </c>
      <c r="O51" s="167" t="s">
        <v>70</v>
      </c>
      <c r="P51" s="158"/>
      <c r="Q51" s="158"/>
      <c r="R51" s="160"/>
      <c r="S51" s="160"/>
      <c r="T51" s="160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44.059999999999995</v>
      </c>
      <c r="C52" s="116">
        <v>2.5000000000000001E-2</v>
      </c>
      <c r="D52" s="117">
        <f>B52*C52</f>
        <v>1.1014999999999999</v>
      </c>
      <c r="E52" s="172">
        <v>0.05</v>
      </c>
      <c r="F52" s="117">
        <f>(B52/E$10)*E52</f>
        <v>1.8991379310344827</v>
      </c>
      <c r="G52" s="117">
        <f>B52-D52-F52</f>
        <v>41.059362068965513</v>
      </c>
      <c r="H52" s="188">
        <f t="shared" si="19"/>
        <v>44785</v>
      </c>
      <c r="I52" s="176">
        <v>44.06</v>
      </c>
      <c r="J52" s="81">
        <f t="shared" si="0"/>
        <v>0</v>
      </c>
      <c r="K52" s="80"/>
      <c r="L52" s="186">
        <f t="shared" si="17"/>
        <v>41.059362068965513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189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44785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44789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40.2059</v>
      </c>
      <c r="E61" s="177"/>
      <c r="F61" s="57">
        <f>SUM(F46:F58)</f>
        <v>1.8991379310344827</v>
      </c>
      <c r="G61" s="57">
        <f>SUM(G46:G58)</f>
        <v>5120.4049620689648</v>
      </c>
      <c r="H61" s="173">
        <f t="shared" si="19"/>
        <v>44785</v>
      </c>
      <c r="I61" s="175"/>
      <c r="J61" s="81">
        <f t="shared" si="0"/>
        <v>0</v>
      </c>
      <c r="K61" s="80"/>
      <c r="L61" s="186">
        <f t="shared" si="17"/>
        <v>5120.4049620689648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10240.80992413793</v>
      </c>
      <c r="H64" s="184"/>
      <c r="I64" s="175"/>
      <c r="J64" s="81">
        <f t="shared" si="0"/>
        <v>0</v>
      </c>
      <c r="K64" s="80"/>
      <c r="L64" s="186">
        <f t="shared" si="17"/>
        <v>10240.80992413793</v>
      </c>
      <c r="M64" s="130"/>
      <c r="N64" s="87">
        <v>1</v>
      </c>
      <c r="O64" s="122" t="s">
        <v>207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7538.5700000000006</v>
      </c>
      <c r="G65" s="22"/>
      <c r="L65" s="132"/>
      <c r="M65" s="131"/>
      <c r="N65" s="87">
        <v>2</v>
      </c>
      <c r="O65" s="122" t="s">
        <v>200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200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200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f>451.27+886.24+3825.87+1247.98+1119.85</f>
        <v>7531.2100000000009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200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7531.21</v>
      </c>
      <c r="C69" s="59"/>
      <c r="F69" s="87" t="s">
        <v>129</v>
      </c>
      <c r="G69" s="22"/>
      <c r="H69" s="89"/>
      <c r="I69" s="136"/>
      <c r="J69" s="136"/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B69-B68</f>
        <v>0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172</v>
      </c>
      <c r="P70" s="228">
        <v>71</v>
      </c>
      <c r="Q70" s="228">
        <v>2003</v>
      </c>
      <c r="R70" s="222">
        <v>218.83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1.6412249999999999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217.18877500000002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7.3600000000005821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172</v>
      </c>
      <c r="P71" s="228">
        <v>770</v>
      </c>
      <c r="Q71" s="228">
        <v>2002</v>
      </c>
      <c r="R71" s="222">
        <v>237.43</v>
      </c>
      <c r="S71" s="228"/>
      <c r="T71" s="228"/>
      <c r="U71" s="189">
        <f t="shared" si="34"/>
        <v>0</v>
      </c>
      <c r="V71" s="189">
        <f t="shared" si="35"/>
        <v>1.7807249999999999</v>
      </c>
      <c r="W71" s="189">
        <f t="shared" si="36"/>
        <v>0</v>
      </c>
      <c r="X71" s="189">
        <f t="shared" si="37"/>
        <v>0</v>
      </c>
      <c r="Y71" s="189">
        <f t="shared" si="38"/>
        <v>235.64927500000002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771</v>
      </c>
      <c r="Q72" s="228">
        <v>2002</v>
      </c>
      <c r="R72" s="222">
        <v>2097.9499999999998</v>
      </c>
      <c r="S72" s="228"/>
      <c r="T72" s="228"/>
      <c r="U72" s="189">
        <f t="shared" si="34"/>
        <v>0</v>
      </c>
      <c r="V72" s="189">
        <f t="shared" si="35"/>
        <v>15.734624999999998</v>
      </c>
      <c r="W72" s="189">
        <f t="shared" si="36"/>
        <v>0</v>
      </c>
      <c r="X72" s="189">
        <f t="shared" si="37"/>
        <v>0</v>
      </c>
      <c r="Y72" s="189">
        <f t="shared" si="38"/>
        <v>2082.2153749999998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>
        <v>778</v>
      </c>
      <c r="Q73" s="228">
        <v>2001</v>
      </c>
      <c r="R73" s="222">
        <v>648.61</v>
      </c>
      <c r="S73" s="228"/>
      <c r="T73" s="222"/>
      <c r="U73" s="189">
        <f t="shared" si="34"/>
        <v>0</v>
      </c>
      <c r="V73" s="189">
        <f t="shared" si="35"/>
        <v>4.8645750000000003</v>
      </c>
      <c r="W73" s="189">
        <f t="shared" si="36"/>
        <v>0</v>
      </c>
      <c r="X73" s="189">
        <f t="shared" si="37"/>
        <v>0</v>
      </c>
      <c r="Y73" s="189">
        <f t="shared" si="38"/>
        <v>643.74542500000007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>
        <v>779</v>
      </c>
      <c r="Q74" s="228">
        <v>2001</v>
      </c>
      <c r="R74" s="222">
        <v>504.86</v>
      </c>
      <c r="S74" s="228"/>
      <c r="T74" s="228"/>
      <c r="U74" s="189">
        <f t="shared" si="34"/>
        <v>0</v>
      </c>
      <c r="V74" s="189">
        <f t="shared" si="35"/>
        <v>3.7864499999999999</v>
      </c>
      <c r="W74" s="189">
        <f t="shared" si="36"/>
        <v>0</v>
      </c>
      <c r="X74" s="189">
        <f t="shared" si="37"/>
        <v>0</v>
      </c>
      <c r="Y74" s="189">
        <f t="shared" si="38"/>
        <v>501.07355000000001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3707.6800000000003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27.807599999999997</v>
      </c>
      <c r="W75" s="192">
        <f t="shared" si="41"/>
        <v>0</v>
      </c>
      <c r="X75" s="192">
        <f t="shared" si="41"/>
        <v>0</v>
      </c>
      <c r="Y75" s="192">
        <f t="shared" si="41"/>
        <v>3679.8724000000002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108.15+38.08+276.58+72.83</f>
        <v>495.64</v>
      </c>
      <c r="R78" s="82">
        <v>7.4999999999999997E-3</v>
      </c>
      <c r="S78" s="194">
        <f>+(P78+Q78)*R78</f>
        <v>3.7172999999999998</v>
      </c>
      <c r="T78" s="246">
        <f>+(P78+Q78)-S78</f>
        <v>491.92269999999996</v>
      </c>
      <c r="U78" s="211">
        <f>22.27+27.38</f>
        <v>49.65</v>
      </c>
      <c r="V78" s="112"/>
      <c r="W78" s="113">
        <v>1.4999999999999999E-2</v>
      </c>
      <c r="X78" s="196">
        <f>+(U78+V78)*W78</f>
        <v>0.74474999999999991</v>
      </c>
      <c r="Y78" s="246">
        <f>+(U78+V78)-X78</f>
        <v>48.905249999999995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222"/>
      <c r="Q79" s="137">
        <f>104.19+14.62</f>
        <v>118.81</v>
      </c>
      <c r="R79" s="82">
        <v>7.4999999999999997E-3</v>
      </c>
      <c r="S79" s="194">
        <f t="shared" ref="S79:S97" si="43">+(P79+Q79)*R79</f>
        <v>0.89107499999999995</v>
      </c>
      <c r="T79" s="246">
        <f t="shared" ref="T79:T97" si="44">+(P79+Q79)-S79</f>
        <v>117.918925</v>
      </c>
      <c r="U79" s="211">
        <f>43.82+2</f>
        <v>45.82</v>
      </c>
      <c r="V79" s="112"/>
      <c r="W79" s="113">
        <v>1.4999999999999999E-2</v>
      </c>
      <c r="X79" s="196">
        <f t="shared" ref="X79:X97" si="45">+(U79+V79)*W79</f>
        <v>0.68730000000000002</v>
      </c>
      <c r="Y79" s="246">
        <f t="shared" ref="Y79:Y97" si="46">+(U79+V79)-X79</f>
        <v>45.1327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614.45000000000005</v>
      </c>
      <c r="R98" s="111"/>
      <c r="S98" s="195">
        <f>SUM(S78:S97)</f>
        <v>4.6083749999999997</v>
      </c>
      <c r="T98" s="195">
        <f>SUM(T78:T97)</f>
        <v>609.84162500000002</v>
      </c>
      <c r="U98" s="114">
        <f>SUM(U78:U97)</f>
        <v>95.47</v>
      </c>
      <c r="V98" s="114">
        <f>SUM(V78:V97)</f>
        <v>0</v>
      </c>
      <c r="W98" s="112"/>
      <c r="X98" s="197">
        <f>SUM(X78:X97)</f>
        <v>1.4320499999999998</v>
      </c>
      <c r="Y98" s="197">
        <f>SUM(Y78:Y97)</f>
        <v>94.037949999999995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545.29</v>
      </c>
    </row>
    <row r="103" spans="14:30" x14ac:dyDescent="0.25">
      <c r="N103" s="85"/>
      <c r="Q103" s="215">
        <f>P79+Q79+U79</f>
        <v>164.63</v>
      </c>
    </row>
    <row r="104" spans="14:30" x14ac:dyDescent="0.25">
      <c r="N104" s="85"/>
      <c r="Q104" s="215">
        <f>P80+U80+Q80</f>
        <v>0</v>
      </c>
    </row>
    <row r="105" spans="14:30" x14ac:dyDescent="0.25">
      <c r="N105" s="85"/>
      <c r="Q105" s="215">
        <f>P81+Q81+U81</f>
        <v>0</v>
      </c>
    </row>
    <row r="106" spans="14:30" x14ac:dyDescent="0.25">
      <c r="N106" s="85"/>
      <c r="Q106" s="236">
        <f>P82+Q82+U82</f>
        <v>0</v>
      </c>
    </row>
    <row r="107" spans="14:30" x14ac:dyDescent="0.25">
      <c r="N107" s="85"/>
      <c r="Q107" s="212">
        <f>P83+Q83+U83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41" priority="1" operator="greaterThan">
      <formula>0</formula>
    </cfRule>
    <cfRule type="cellIs" dxfId="4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13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6" bestFit="1" customWidth="1"/>
    <col min="2" max="4" width="21.7109375" style="6" customWidth="1"/>
    <col min="5" max="5" width="21.140625" style="6" customWidth="1"/>
    <col min="6" max="6" width="20.42578125" style="6" customWidth="1"/>
    <col min="7" max="8" width="22.140625" style="6" customWidth="1"/>
    <col min="9" max="16384" width="11.42578125" style="6"/>
  </cols>
  <sheetData>
    <row r="1" spans="1:9" s="5" customFormat="1" ht="16.5" customHeight="1" x14ac:dyDescent="0.35">
      <c r="A1" s="288"/>
      <c r="B1" s="292" t="s">
        <v>12</v>
      </c>
      <c r="C1" s="293"/>
      <c r="D1" s="293"/>
      <c r="E1" s="293"/>
      <c r="F1" s="293"/>
      <c r="G1" s="293"/>
      <c r="H1" s="293"/>
      <c r="I1" s="294"/>
    </row>
    <row r="2" spans="1:9" s="5" customFormat="1" ht="16.5" customHeight="1" x14ac:dyDescent="0.25">
      <c r="A2" s="288"/>
      <c r="B2" s="295" t="s">
        <v>148</v>
      </c>
      <c r="C2" s="296"/>
      <c r="D2" s="296"/>
      <c r="E2" s="296"/>
      <c r="F2" s="296"/>
      <c r="G2" s="296"/>
      <c r="H2" s="296"/>
      <c r="I2" s="297"/>
    </row>
    <row r="3" spans="1:9" s="5" customFormat="1" ht="16.5" customHeight="1" x14ac:dyDescent="0.25">
      <c r="A3" s="288"/>
      <c r="B3" s="291"/>
      <c r="C3" s="291"/>
      <c r="D3" s="291"/>
      <c r="E3" s="291"/>
      <c r="F3" s="291"/>
      <c r="G3" s="291"/>
      <c r="H3" s="291"/>
      <c r="I3" s="291"/>
    </row>
    <row r="4" spans="1:9" x14ac:dyDescent="0.25">
      <c r="B4" s="291"/>
      <c r="C4" s="291"/>
      <c r="D4" s="291"/>
      <c r="E4" s="291"/>
      <c r="F4" s="291"/>
      <c r="G4" s="291"/>
    </row>
    <row r="6" spans="1:9" ht="15.75" thickBot="1" x14ac:dyDescent="0.3"/>
    <row r="7" spans="1:9" x14ac:dyDescent="0.25">
      <c r="E7" s="289" t="s">
        <v>14</v>
      </c>
      <c r="F7" s="290"/>
    </row>
    <row r="8" spans="1:9" ht="27" customHeight="1" x14ac:dyDescent="0.25">
      <c r="A8" s="45" t="s">
        <v>33</v>
      </c>
      <c r="B8" s="45" t="s">
        <v>28</v>
      </c>
      <c r="C8" s="45" t="s">
        <v>146</v>
      </c>
      <c r="D8" s="52" t="s">
        <v>27</v>
      </c>
      <c r="E8" s="49" t="s">
        <v>28</v>
      </c>
      <c r="F8" s="50" t="s">
        <v>147</v>
      </c>
      <c r="G8" s="51" t="s">
        <v>53</v>
      </c>
      <c r="H8" s="51" t="s">
        <v>54</v>
      </c>
    </row>
    <row r="9" spans="1:9" x14ac:dyDescent="0.25">
      <c r="A9" s="46">
        <f>'DIA 1'!B$6</f>
        <v>44774</v>
      </c>
      <c r="B9" s="199">
        <f>+'DIA 1'!G$46</f>
        <v>44.315125000000009</v>
      </c>
      <c r="C9" s="199">
        <f>+'DIA 1'!G$52</f>
        <v>150.30559482758622</v>
      </c>
      <c r="D9" s="203">
        <f>B9+C9</f>
        <v>194.62071982758624</v>
      </c>
      <c r="E9" s="204">
        <f>+'DIA 1'!K$46</f>
        <v>44.32</v>
      </c>
      <c r="F9" s="205">
        <f>+'DIA 1'!K$52</f>
        <v>150.31</v>
      </c>
      <c r="G9" s="206">
        <f>B9-E9</f>
        <v>-4.874999999991303E-3</v>
      </c>
      <c r="H9" s="206">
        <f>C9-F9</f>
        <v>-4.4051724137830206E-3</v>
      </c>
    </row>
    <row r="10" spans="1:9" x14ac:dyDescent="0.25">
      <c r="A10" s="46">
        <f>'DIA 2'!B$6</f>
        <v>44775</v>
      </c>
      <c r="B10" s="199">
        <f>'DIA 2'!G$46</f>
        <v>1646.2001999999998</v>
      </c>
      <c r="C10" s="199">
        <f>'DIA 2'!G$52</f>
        <v>68.932387931034484</v>
      </c>
      <c r="D10" s="203">
        <f t="shared" ref="D10:D39" si="0">B10+C10</f>
        <v>1715.1325879310343</v>
      </c>
      <c r="E10" s="199">
        <f>'DIA 2'!K$46</f>
        <v>1646.2</v>
      </c>
      <c r="F10" s="199">
        <f>'DIA 2'!K$52</f>
        <v>68.930000000000007</v>
      </c>
      <c r="G10" s="206">
        <f t="shared" ref="G10:G39" si="1">B10-E10</f>
        <v>1.9999999972242222E-4</v>
      </c>
      <c r="H10" s="206">
        <f t="shared" ref="H10:H39" si="2">C10-F10</f>
        <v>2.3879310344767646E-3</v>
      </c>
    </row>
    <row r="11" spans="1:9" x14ac:dyDescent="0.25">
      <c r="A11" s="46">
        <f>'DIA 3'!B$6</f>
        <v>44776</v>
      </c>
      <c r="B11" s="199">
        <f>'DIA 3'!G$46</f>
        <v>766.4085</v>
      </c>
      <c r="C11" s="199">
        <f>'DIA 3'!G$52</f>
        <v>26.903853448275864</v>
      </c>
      <c r="D11" s="203">
        <f t="shared" si="0"/>
        <v>793.31235344827587</v>
      </c>
      <c r="E11" s="199">
        <f>'DIA 3'!K$46</f>
        <v>766.41</v>
      </c>
      <c r="F11" s="199">
        <f>'DIA 3'!K$52</f>
        <v>26.9</v>
      </c>
      <c r="G11" s="206">
        <f t="shared" si="1"/>
        <v>-1.4999999999645297E-3</v>
      </c>
      <c r="H11" s="206">
        <f t="shared" si="2"/>
        <v>3.8534482758656452E-3</v>
      </c>
    </row>
    <row r="12" spans="1:9" x14ac:dyDescent="0.25">
      <c r="A12" s="46">
        <f>'DIA 4'!B$6</f>
        <v>44777</v>
      </c>
      <c r="B12" s="199">
        <f>'DIA 4'!G$46</f>
        <v>493.13355000000001</v>
      </c>
      <c r="C12" s="199">
        <f>'DIA 4'!G$52</f>
        <v>61.980439655172418</v>
      </c>
      <c r="D12" s="203">
        <f t="shared" si="0"/>
        <v>555.11398965517242</v>
      </c>
      <c r="E12" s="199">
        <f>'DIA 4'!K$46</f>
        <v>493.13</v>
      </c>
      <c r="F12" s="199">
        <f>'DIA 4'!K$52</f>
        <v>61.98</v>
      </c>
      <c r="G12" s="206">
        <f t="shared" si="1"/>
        <v>3.5500000000183718E-3</v>
      </c>
      <c r="H12" s="206">
        <f t="shared" si="2"/>
        <v>4.3965517242128271E-4</v>
      </c>
    </row>
    <row r="13" spans="1:9" x14ac:dyDescent="0.25">
      <c r="A13" s="46">
        <f>'DIA 5'!B$6</f>
        <v>44778</v>
      </c>
      <c r="B13" s="199">
        <f>'DIA 5'!G$46</f>
        <v>1148.8882250000001</v>
      </c>
      <c r="C13" s="199">
        <f>'DIA 5'!G$52</f>
        <v>323.2376379310345</v>
      </c>
      <c r="D13" s="203">
        <f t="shared" si="0"/>
        <v>1472.1258629310346</v>
      </c>
      <c r="E13" s="199">
        <f>'DIA 5'!K$46</f>
        <v>1148.8900000000001</v>
      </c>
      <c r="F13" s="199">
        <f>'DIA 5'!K$52</f>
        <v>323.24</v>
      </c>
      <c r="G13" s="206">
        <f t="shared" si="1"/>
        <v>-1.7749999999523425E-3</v>
      </c>
      <c r="H13" s="206">
        <f t="shared" si="2"/>
        <v>-2.3620689655103888E-3</v>
      </c>
    </row>
    <row r="14" spans="1:9" x14ac:dyDescent="0.25">
      <c r="A14" s="46">
        <f>'DIA 6'!B$6</f>
        <v>44779</v>
      </c>
      <c r="B14" s="199">
        <f>'DIA 6'!G$46</f>
        <v>1798.7573749999999</v>
      </c>
      <c r="C14" s="199">
        <f>'DIA 6'!G$52</f>
        <v>86.545232758620699</v>
      </c>
      <c r="D14" s="203">
        <f t="shared" si="0"/>
        <v>1885.3026077586205</v>
      </c>
      <c r="E14" s="199">
        <f>'DIA 6'!K$46</f>
        <v>1798.76</v>
      </c>
      <c r="F14" s="199">
        <f>'DIA 6'!K$52</f>
        <v>86.55</v>
      </c>
      <c r="G14" s="206">
        <f t="shared" si="1"/>
        <v>-2.6250000000800355E-3</v>
      </c>
      <c r="H14" s="206">
        <f t="shared" si="2"/>
        <v>-4.7672413792980706E-3</v>
      </c>
    </row>
    <row r="15" spans="1:9" x14ac:dyDescent="0.25">
      <c r="A15" s="46">
        <f>'DIA 7'!B$6</f>
        <v>44780</v>
      </c>
      <c r="B15" s="199">
        <f>'DIA 7'!G$46</f>
        <v>802.38662499999998</v>
      </c>
      <c r="C15" s="199">
        <f>'DIA 7'!G$52</f>
        <v>54.478672413793106</v>
      </c>
      <c r="D15" s="203">
        <f t="shared" si="0"/>
        <v>856.86529741379309</v>
      </c>
      <c r="E15" s="199">
        <f>'DIA 7'!K$46</f>
        <v>802.39</v>
      </c>
      <c r="F15" s="199">
        <f>'DIA 7'!K$52</f>
        <v>54.48</v>
      </c>
      <c r="G15" s="206">
        <f t="shared" si="1"/>
        <v>-3.375000000005457E-3</v>
      </c>
      <c r="H15" s="206">
        <f t="shared" si="2"/>
        <v>-1.327586206890885E-3</v>
      </c>
    </row>
    <row r="16" spans="1:9" x14ac:dyDescent="0.25">
      <c r="A16" s="46">
        <f>'DIA 8'!B$6</f>
        <v>44781</v>
      </c>
      <c r="B16" s="199">
        <f>'DIA 8'!G$46</f>
        <v>353.1712</v>
      </c>
      <c r="C16" s="199">
        <f>'DIA 8'!G$52</f>
        <v>43.538206896551721</v>
      </c>
      <c r="D16" s="203">
        <f t="shared" si="0"/>
        <v>396.70940689655174</v>
      </c>
      <c r="E16" s="199">
        <f>'DIA 8'!K$46</f>
        <v>0</v>
      </c>
      <c r="F16" s="199">
        <f>'DIA 8'!K$52</f>
        <v>0</v>
      </c>
      <c r="G16" s="206">
        <f t="shared" si="1"/>
        <v>353.1712</v>
      </c>
      <c r="H16" s="206">
        <f t="shared" si="2"/>
        <v>43.538206896551721</v>
      </c>
    </row>
    <row r="17" spans="1:8" x14ac:dyDescent="0.25">
      <c r="A17" s="46">
        <f>'DIA 9'!B$6</f>
        <v>44782</v>
      </c>
      <c r="B17" s="199">
        <f>'DIA 9'!G$46</f>
        <v>825.015625</v>
      </c>
      <c r="C17" s="199">
        <f>'DIA 9'!G$52</f>
        <v>31.581974137931031</v>
      </c>
      <c r="D17" s="203">
        <f t="shared" si="0"/>
        <v>856.59759913793107</v>
      </c>
      <c r="E17" s="199">
        <f>'DIA 9'!K$46</f>
        <v>0</v>
      </c>
      <c r="F17" s="199">
        <f>'DIA 9'!K$52</f>
        <v>0</v>
      </c>
      <c r="G17" s="206">
        <f t="shared" si="1"/>
        <v>825.015625</v>
      </c>
      <c r="H17" s="206">
        <f t="shared" si="2"/>
        <v>31.581974137931031</v>
      </c>
    </row>
    <row r="18" spans="1:8" x14ac:dyDescent="0.25">
      <c r="A18" s="46">
        <f>'DIA 10'!B$6</f>
        <v>44783</v>
      </c>
      <c r="B18" s="199">
        <f>'DIA 10'!G$46</f>
        <v>804.68922499999996</v>
      </c>
      <c r="C18" s="199">
        <f>'DIA 10'!G$52</f>
        <v>16.438655172413796</v>
      </c>
      <c r="D18" s="203">
        <f t="shared" si="0"/>
        <v>821.12788017241371</v>
      </c>
      <c r="E18" s="199">
        <f>'DIA 10'!K$46</f>
        <v>0</v>
      </c>
      <c r="F18" s="199">
        <f>'DIA 10'!K$52</f>
        <v>0</v>
      </c>
      <c r="G18" s="206">
        <f t="shared" si="1"/>
        <v>804.68922499999996</v>
      </c>
      <c r="H18" s="206">
        <f t="shared" si="2"/>
        <v>16.438655172413796</v>
      </c>
    </row>
    <row r="19" spans="1:8" x14ac:dyDescent="0.25">
      <c r="A19" s="46">
        <f>'DIA 11'!B$6</f>
        <v>44784</v>
      </c>
      <c r="B19" s="199">
        <f>'DIA 11'!G$46</f>
        <v>695.59362499999986</v>
      </c>
      <c r="C19" s="199">
        <f>'DIA 11'!G$52</f>
        <v>41.059362068965513</v>
      </c>
      <c r="D19" s="203">
        <f t="shared" si="0"/>
        <v>736.65298706896533</v>
      </c>
      <c r="E19" s="199">
        <f>'DIA 11'!K$46</f>
        <v>0</v>
      </c>
      <c r="F19" s="199">
        <f>'DIA 11'!K$52</f>
        <v>0</v>
      </c>
      <c r="G19" s="206">
        <f t="shared" si="1"/>
        <v>695.59362499999986</v>
      </c>
      <c r="H19" s="206">
        <f t="shared" si="2"/>
        <v>41.059362068965513</v>
      </c>
    </row>
    <row r="20" spans="1:8" x14ac:dyDescent="0.25">
      <c r="A20" s="46">
        <f>'DIA 12'!B$6</f>
        <v>44785</v>
      </c>
      <c r="B20" s="199">
        <f>'DIA 12'!G$46</f>
        <v>483.41697499999998</v>
      </c>
      <c r="C20" s="199">
        <f>'DIA 12'!G$52</f>
        <v>111.26844827586207</v>
      </c>
      <c r="D20" s="203">
        <f t="shared" si="0"/>
        <v>594.68542327586204</v>
      </c>
      <c r="E20" s="199">
        <f>'DIA 12'!K$46</f>
        <v>0</v>
      </c>
      <c r="F20" s="199">
        <f>'DIA 12'!K$52</f>
        <v>0</v>
      </c>
      <c r="G20" s="206">
        <f t="shared" si="1"/>
        <v>483.41697499999998</v>
      </c>
      <c r="H20" s="206">
        <f t="shared" si="2"/>
        <v>111.26844827586207</v>
      </c>
    </row>
    <row r="21" spans="1:8" x14ac:dyDescent="0.25">
      <c r="A21" s="46">
        <f>'DIA 13'!B$6</f>
        <v>44786</v>
      </c>
      <c r="B21" s="199">
        <f>'DIA 13'!G$46</f>
        <v>1368.7766000000001</v>
      </c>
      <c r="C21" s="199">
        <f>'DIA 13'!G$52</f>
        <v>85.147387931034487</v>
      </c>
      <c r="D21" s="203">
        <f t="shared" si="0"/>
        <v>1453.9239879310346</v>
      </c>
      <c r="E21" s="199">
        <f>'DIA 13'!K$46</f>
        <v>0</v>
      </c>
      <c r="F21" s="199">
        <f>'DIA 13'!K$52</f>
        <v>0</v>
      </c>
      <c r="G21" s="206">
        <f t="shared" si="1"/>
        <v>1368.7766000000001</v>
      </c>
      <c r="H21" s="206">
        <f t="shared" si="2"/>
        <v>85.147387931034487</v>
      </c>
    </row>
    <row r="22" spans="1:8" x14ac:dyDescent="0.25">
      <c r="A22" s="46">
        <f>'DIA 14'!B$6</f>
        <v>44787</v>
      </c>
      <c r="B22" s="199">
        <f>'DIA 14'!G$46</f>
        <v>4294.6864499999992</v>
      </c>
      <c r="C22" s="199">
        <f>'DIA 14'!G$52</f>
        <v>209.29464655172416</v>
      </c>
      <c r="D22" s="203">
        <f t="shared" si="0"/>
        <v>4503.9810965517236</v>
      </c>
      <c r="E22" s="199">
        <f>'DIA 14'!K$46</f>
        <v>4294.6899999999996</v>
      </c>
      <c r="F22" s="199">
        <f>'DIA 14'!K$52</f>
        <v>0</v>
      </c>
      <c r="G22" s="206">
        <f t="shared" si="1"/>
        <v>-3.5500000003594323E-3</v>
      </c>
      <c r="H22" s="206">
        <f t="shared" si="2"/>
        <v>209.29464655172416</v>
      </c>
    </row>
    <row r="23" spans="1:8" x14ac:dyDescent="0.25">
      <c r="A23" s="46">
        <f>'DIA 15'!B$6</f>
        <v>44788</v>
      </c>
      <c r="B23" s="199">
        <f>'DIA 15'!G$46</f>
        <v>609.19650000000001</v>
      </c>
      <c r="C23" s="199">
        <f>'DIA 15'!G$52</f>
        <v>18.470189655172415</v>
      </c>
      <c r="D23" s="203">
        <f t="shared" si="0"/>
        <v>627.66668965517238</v>
      </c>
      <c r="E23" s="199">
        <f>'DIA 15'!K$46</f>
        <v>609.20000000000005</v>
      </c>
      <c r="F23" s="199">
        <f>'DIA 15'!K$52</f>
        <v>0</v>
      </c>
      <c r="G23" s="206">
        <f t="shared" si="1"/>
        <v>-3.5000000000309228E-3</v>
      </c>
      <c r="H23" s="206">
        <f t="shared" si="2"/>
        <v>18.470189655172415</v>
      </c>
    </row>
    <row r="24" spans="1:8" x14ac:dyDescent="0.25">
      <c r="A24" s="46">
        <f>'DIA 16'!B$6</f>
        <v>44758</v>
      </c>
      <c r="B24" s="199">
        <f>'DIA 16'!G$46</f>
        <v>0</v>
      </c>
      <c r="C24" s="199">
        <f>'DIA 16'!G$52</f>
        <v>0</v>
      </c>
      <c r="D24" s="203">
        <f t="shared" si="0"/>
        <v>0</v>
      </c>
      <c r="E24" s="199">
        <f>'DIA 16'!K$46</f>
        <v>0</v>
      </c>
      <c r="F24" s="199">
        <f>'DIA 16'!K$52</f>
        <v>0</v>
      </c>
      <c r="G24" s="206">
        <f t="shared" si="1"/>
        <v>0</v>
      </c>
      <c r="H24" s="206">
        <f t="shared" si="2"/>
        <v>0</v>
      </c>
    </row>
    <row r="25" spans="1:8" x14ac:dyDescent="0.25">
      <c r="A25" s="46">
        <f>'DIA 17'!B$6</f>
        <v>44759</v>
      </c>
      <c r="B25" s="199">
        <f>'DIA 17'!G$46</f>
        <v>0</v>
      </c>
      <c r="C25" s="199">
        <f>'DIA 17'!G$52</f>
        <v>0</v>
      </c>
      <c r="D25" s="203">
        <f t="shared" si="0"/>
        <v>0</v>
      </c>
      <c r="E25" s="199">
        <f>'DIA 17'!K$46</f>
        <v>0</v>
      </c>
      <c r="F25" s="199">
        <f>'DIA 17'!K$52</f>
        <v>0</v>
      </c>
      <c r="G25" s="206">
        <f t="shared" si="1"/>
        <v>0</v>
      </c>
      <c r="H25" s="206">
        <f t="shared" si="2"/>
        <v>0</v>
      </c>
    </row>
    <row r="26" spans="1:8" x14ac:dyDescent="0.25">
      <c r="A26" s="46">
        <f>'DIA 18'!B$6</f>
        <v>44760</v>
      </c>
      <c r="B26" s="199">
        <f>'DIA 18'!G$46</f>
        <v>0</v>
      </c>
      <c r="C26" s="199">
        <f>'DIA 18'!G$52</f>
        <v>0</v>
      </c>
      <c r="D26" s="203">
        <f t="shared" si="0"/>
        <v>0</v>
      </c>
      <c r="E26" s="199">
        <f>'DIA 18'!K$46</f>
        <v>0</v>
      </c>
      <c r="F26" s="199">
        <f>'DIA 18'!K$52</f>
        <v>0</v>
      </c>
      <c r="G26" s="206">
        <f t="shared" si="1"/>
        <v>0</v>
      </c>
      <c r="H26" s="206">
        <f t="shared" si="2"/>
        <v>0</v>
      </c>
    </row>
    <row r="27" spans="1:8" x14ac:dyDescent="0.25">
      <c r="A27" s="46">
        <f>'DIA 19'!B$6</f>
        <v>44761</v>
      </c>
      <c r="B27" s="199">
        <f>'DIA 19'!G$46</f>
        <v>0</v>
      </c>
      <c r="C27" s="199">
        <f>'DIA 19'!G$52</f>
        <v>0</v>
      </c>
      <c r="D27" s="203">
        <f t="shared" si="0"/>
        <v>0</v>
      </c>
      <c r="E27" s="199">
        <f>'DIA 19'!K$46</f>
        <v>0</v>
      </c>
      <c r="F27" s="199">
        <f>'DIA 19'!K$52</f>
        <v>0</v>
      </c>
      <c r="G27" s="206">
        <f t="shared" si="1"/>
        <v>0</v>
      </c>
      <c r="H27" s="206">
        <f t="shared" si="2"/>
        <v>0</v>
      </c>
    </row>
    <row r="28" spans="1:8" x14ac:dyDescent="0.25">
      <c r="A28" s="46">
        <f>'DIA 20'!B$6</f>
        <v>44732</v>
      </c>
      <c r="B28" s="199">
        <f>'DIA 20'!G$46</f>
        <v>0</v>
      </c>
      <c r="C28" s="199">
        <f>'DIA 20'!G$52</f>
        <v>0</v>
      </c>
      <c r="D28" s="203">
        <f t="shared" si="0"/>
        <v>0</v>
      </c>
      <c r="E28" s="199">
        <f>'DIA 20'!K$46</f>
        <v>0</v>
      </c>
      <c r="F28" s="199">
        <f>'DIA 20'!K$52</f>
        <v>0</v>
      </c>
      <c r="G28" s="206">
        <f t="shared" si="1"/>
        <v>0</v>
      </c>
      <c r="H28" s="206">
        <f t="shared" si="2"/>
        <v>0</v>
      </c>
    </row>
    <row r="29" spans="1:8" x14ac:dyDescent="0.25">
      <c r="A29" s="46">
        <f>'DIA 21'!B$6</f>
        <v>44763</v>
      </c>
      <c r="B29" s="199">
        <f>'DIA 21'!G$46</f>
        <v>0</v>
      </c>
      <c r="C29" s="199">
        <f>'DIA 21'!G$52</f>
        <v>0</v>
      </c>
      <c r="D29" s="203">
        <f t="shared" si="0"/>
        <v>0</v>
      </c>
      <c r="E29" s="199">
        <f>'DIA 21'!K$46</f>
        <v>0</v>
      </c>
      <c r="F29" s="199">
        <f>'DIA 21'!K$52</f>
        <v>0</v>
      </c>
      <c r="G29" s="206">
        <f t="shared" si="1"/>
        <v>0</v>
      </c>
      <c r="H29" s="206">
        <f t="shared" si="2"/>
        <v>0</v>
      </c>
    </row>
    <row r="30" spans="1:8" x14ac:dyDescent="0.25">
      <c r="A30" s="46">
        <f>'DIA 22'!B$6</f>
        <v>44764</v>
      </c>
      <c r="B30" s="199">
        <f>'DIA 22'!G$46</f>
        <v>0</v>
      </c>
      <c r="C30" s="199">
        <f>'DIA 22'!G$52</f>
        <v>0</v>
      </c>
      <c r="D30" s="203">
        <f t="shared" si="0"/>
        <v>0</v>
      </c>
      <c r="E30" s="199">
        <f>'DIA 22'!K$46</f>
        <v>0</v>
      </c>
      <c r="F30" s="199">
        <f>'DIA 22'!K$52</f>
        <v>0</v>
      </c>
      <c r="G30" s="206">
        <f t="shared" si="1"/>
        <v>0</v>
      </c>
      <c r="H30" s="206">
        <f t="shared" si="2"/>
        <v>0</v>
      </c>
    </row>
    <row r="31" spans="1:8" x14ac:dyDescent="0.25">
      <c r="A31" s="46">
        <f>'DIA 23'!B$6</f>
        <v>44765</v>
      </c>
      <c r="B31" s="199">
        <f>'DIA 23'!G$46</f>
        <v>0</v>
      </c>
      <c r="C31" s="199">
        <f>'DIA 23'!G$52</f>
        <v>0</v>
      </c>
      <c r="D31" s="203">
        <f t="shared" si="0"/>
        <v>0</v>
      </c>
      <c r="E31" s="199">
        <f>'DIA 23'!K$46</f>
        <v>0</v>
      </c>
      <c r="F31" s="199">
        <f>'DIA 23'!K$52</f>
        <v>0</v>
      </c>
      <c r="G31" s="206">
        <f t="shared" si="1"/>
        <v>0</v>
      </c>
      <c r="H31" s="206">
        <f t="shared" si="2"/>
        <v>0</v>
      </c>
    </row>
    <row r="32" spans="1:8" x14ac:dyDescent="0.25">
      <c r="A32" s="46">
        <f>'DIA 24'!B$6</f>
        <v>44766</v>
      </c>
      <c r="B32" s="199">
        <f>'DIA 24'!G$46</f>
        <v>0</v>
      </c>
      <c r="C32" s="199">
        <f>'DIA 24'!G$52</f>
        <v>0</v>
      </c>
      <c r="D32" s="203">
        <f t="shared" si="0"/>
        <v>0</v>
      </c>
      <c r="E32" s="199">
        <f>'DIA 24'!K$46</f>
        <v>0</v>
      </c>
      <c r="F32" s="199">
        <f>'DIA 24'!K$52</f>
        <v>0</v>
      </c>
      <c r="G32" s="206">
        <f t="shared" si="1"/>
        <v>0</v>
      </c>
      <c r="H32" s="206">
        <f t="shared" si="2"/>
        <v>0</v>
      </c>
    </row>
    <row r="33" spans="1:8" x14ac:dyDescent="0.25">
      <c r="A33" s="46">
        <f>'DIA 25'!B$6</f>
        <v>44767</v>
      </c>
      <c r="B33" s="199">
        <f>'DIA 25'!G$46</f>
        <v>0</v>
      </c>
      <c r="C33" s="199">
        <f>'DIA 25'!G$52</f>
        <v>0</v>
      </c>
      <c r="D33" s="203">
        <f t="shared" si="0"/>
        <v>0</v>
      </c>
      <c r="E33" s="199">
        <f>'DIA 25'!K$46</f>
        <v>0</v>
      </c>
      <c r="F33" s="199">
        <f>'DIA 25'!K$52</f>
        <v>0</v>
      </c>
      <c r="G33" s="206">
        <f t="shared" si="1"/>
        <v>0</v>
      </c>
      <c r="H33" s="206">
        <f t="shared" si="2"/>
        <v>0</v>
      </c>
    </row>
    <row r="34" spans="1:8" x14ac:dyDescent="0.25">
      <c r="A34" s="46">
        <f>'DIA 26'!B$6</f>
        <v>44768</v>
      </c>
      <c r="B34" s="199">
        <f>'DIA 26'!G$46</f>
        <v>0</v>
      </c>
      <c r="C34" s="199">
        <f>'DIA 26'!G$52</f>
        <v>0</v>
      </c>
      <c r="D34" s="203">
        <f t="shared" si="0"/>
        <v>0</v>
      </c>
      <c r="E34" s="199">
        <f>'DIA 26'!K$46</f>
        <v>0</v>
      </c>
      <c r="F34" s="199">
        <f>'DIA 26'!K$52</f>
        <v>0</v>
      </c>
      <c r="G34" s="206">
        <f t="shared" si="1"/>
        <v>0</v>
      </c>
      <c r="H34" s="206">
        <f t="shared" si="2"/>
        <v>0</v>
      </c>
    </row>
    <row r="35" spans="1:8" x14ac:dyDescent="0.25">
      <c r="A35" s="46">
        <f>'DIA 27'!B$6</f>
        <v>44769</v>
      </c>
      <c r="B35" s="199">
        <f>'DIA 27'!G$46</f>
        <v>0</v>
      </c>
      <c r="C35" s="199">
        <f>'DIA 27'!G$52</f>
        <v>0</v>
      </c>
      <c r="D35" s="203">
        <f t="shared" si="0"/>
        <v>0</v>
      </c>
      <c r="E35" s="199">
        <f>'DIA 27'!K$46</f>
        <v>0</v>
      </c>
      <c r="F35" s="199">
        <f>'DIA 27'!K$52</f>
        <v>0</v>
      </c>
      <c r="G35" s="206">
        <f t="shared" si="1"/>
        <v>0</v>
      </c>
      <c r="H35" s="206">
        <f t="shared" si="2"/>
        <v>0</v>
      </c>
    </row>
    <row r="36" spans="1:8" x14ac:dyDescent="0.25">
      <c r="A36" s="46">
        <f>'DIA 28'!B$6</f>
        <v>44770</v>
      </c>
      <c r="B36" s="199">
        <f>'DIA 28'!G$46</f>
        <v>0</v>
      </c>
      <c r="C36" s="199">
        <f>'DIA 28'!G$52</f>
        <v>0</v>
      </c>
      <c r="D36" s="203">
        <f t="shared" si="0"/>
        <v>0</v>
      </c>
      <c r="E36" s="199">
        <f>'DIA 28'!K$46</f>
        <v>0</v>
      </c>
      <c r="F36" s="199">
        <f>'DIA 28'!K$52</f>
        <v>0</v>
      </c>
      <c r="G36" s="206">
        <f t="shared" si="1"/>
        <v>0</v>
      </c>
      <c r="H36" s="206">
        <f t="shared" si="2"/>
        <v>0</v>
      </c>
    </row>
    <row r="37" spans="1:8" x14ac:dyDescent="0.25">
      <c r="A37" s="46">
        <f>'DIA 29'!B$6</f>
        <v>44771</v>
      </c>
      <c r="B37" s="199">
        <f>'DIA 29'!G$46</f>
        <v>1426.1728749999997</v>
      </c>
      <c r="C37" s="199">
        <f>'DIA 29'!G$52</f>
        <v>419.85667241379304</v>
      </c>
      <c r="D37" s="203">
        <f t="shared" si="0"/>
        <v>1846.0295474137929</v>
      </c>
      <c r="E37" s="199">
        <f>'DIA 29'!K$46</f>
        <v>0</v>
      </c>
      <c r="F37" s="199">
        <f>'DIA 29'!K$52</f>
        <v>0</v>
      </c>
      <c r="G37" s="206">
        <f t="shared" si="1"/>
        <v>1426.1728749999997</v>
      </c>
      <c r="H37" s="206">
        <f t="shared" si="2"/>
        <v>419.85667241379304</v>
      </c>
    </row>
    <row r="38" spans="1:8" x14ac:dyDescent="0.25">
      <c r="A38" s="46">
        <f>'DIA 30'!B$6</f>
        <v>44772</v>
      </c>
      <c r="B38" s="199">
        <f>'DIA 30'!G$46</f>
        <v>724.495225</v>
      </c>
      <c r="C38" s="199">
        <f>'DIA 30'!G$52</f>
        <v>128.74150862068964</v>
      </c>
      <c r="D38" s="203">
        <f t="shared" si="0"/>
        <v>853.23673362068962</v>
      </c>
      <c r="E38" s="199">
        <f>'DIA 30'!K$46</f>
        <v>0</v>
      </c>
      <c r="F38" s="199">
        <f>'DIA 30'!K$52</f>
        <v>0</v>
      </c>
      <c r="G38" s="206">
        <f t="shared" si="1"/>
        <v>724.495225</v>
      </c>
      <c r="H38" s="206">
        <f t="shared" si="2"/>
        <v>128.74150862068964</v>
      </c>
    </row>
    <row r="39" spans="1:8" x14ac:dyDescent="0.25">
      <c r="A39" s="46">
        <f>'DIA 31'!B$6</f>
        <v>44773</v>
      </c>
      <c r="B39" s="199">
        <f>'DIA 31'!G$46</f>
        <v>935.27245000000016</v>
      </c>
      <c r="C39" s="199">
        <f>'DIA 31'!G$52</f>
        <v>26.465862068965514</v>
      </c>
      <c r="D39" s="203">
        <f t="shared" si="0"/>
        <v>961.73831206896568</v>
      </c>
      <c r="E39" s="199">
        <f>'DIA 31'!K$46</f>
        <v>0</v>
      </c>
      <c r="F39" s="199">
        <f>'DIA 31'!K$52</f>
        <v>0</v>
      </c>
      <c r="G39" s="206">
        <f t="shared" si="1"/>
        <v>935.27245000000016</v>
      </c>
      <c r="H39" s="206">
        <f t="shared" si="2"/>
        <v>26.465862068965514</v>
      </c>
    </row>
    <row r="40" spans="1:8" x14ac:dyDescent="0.25">
      <c r="A40" s="53" t="s">
        <v>38</v>
      </c>
      <c r="B40" s="133">
        <f>SUM(B9:B39)</f>
        <v>19220.576349999999</v>
      </c>
      <c r="C40" s="133">
        <f>SUM(C9:C38)</f>
        <v>1877.7808706896553</v>
      </c>
      <c r="D40" s="133">
        <f>SUM(D9:D38)</f>
        <v>20163.084770689653</v>
      </c>
    </row>
  </sheetData>
  <mergeCells count="6">
    <mergeCell ref="A1:A3"/>
    <mergeCell ref="E7:F7"/>
    <mergeCell ref="B4:G4"/>
    <mergeCell ref="B1:I1"/>
    <mergeCell ref="B2:I2"/>
    <mergeCell ref="B3:I3"/>
  </mergeCells>
  <conditionalFormatting sqref="G9:G39">
    <cfRule type="cellIs" dxfId="94" priority="5" operator="greaterThan">
      <formula>" Bs.  0"</formula>
    </cfRule>
    <cfRule type="cellIs" dxfId="93" priority="6" operator="lessThan">
      <formula>" Bs.  -2,00 "</formula>
    </cfRule>
  </conditionalFormatting>
  <conditionalFormatting sqref="G9:G39">
    <cfRule type="expression" dxfId="92" priority="4">
      <formula>G9=0</formula>
    </cfRule>
  </conditionalFormatting>
  <conditionalFormatting sqref="H9:H39">
    <cfRule type="cellIs" dxfId="91" priority="2" operator="greaterThan">
      <formula>" Bs.  0"</formula>
    </cfRule>
    <cfRule type="cellIs" dxfId="90" priority="3" operator="lessThan">
      <formula>" Bs.  -2,00 "</formula>
    </cfRule>
  </conditionalFormatting>
  <conditionalFormatting sqref="H9:H39">
    <cfRule type="expression" dxfId="89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K9" zoomScale="90" zoomScaleNormal="90" workbookViewId="0">
      <selection activeCell="Q30" sqref="Q3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44785</v>
      </c>
      <c r="D6" s="85" t="s">
        <v>23</v>
      </c>
      <c r="E6" s="8" t="s">
        <v>165</v>
      </c>
      <c r="F6" s="9"/>
      <c r="G6" s="9"/>
    </row>
    <row r="8" spans="1:28" x14ac:dyDescent="0.25">
      <c r="A8" s="7" t="s">
        <v>77</v>
      </c>
      <c r="B8" s="108">
        <v>5.97</v>
      </c>
      <c r="C8" s="85" t="s">
        <v>94</v>
      </c>
      <c r="D8" s="108"/>
    </row>
    <row r="9" spans="1:28" x14ac:dyDescent="0.25">
      <c r="A9" s="7" t="s">
        <v>78</v>
      </c>
      <c r="B9" s="108">
        <v>5.98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>
        <v>5.95</v>
      </c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153.5+128+106+232.5+110</f>
        <v>730</v>
      </c>
      <c r="C12" s="15"/>
      <c r="D12" s="56"/>
      <c r="E12" s="16"/>
      <c r="F12" s="56"/>
      <c r="G12" s="56"/>
      <c r="H12" s="17"/>
      <c r="I12" s="83">
        <v>730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221</v>
      </c>
      <c r="P12" s="153">
        <v>242</v>
      </c>
      <c r="Q12" s="153">
        <v>2001</v>
      </c>
      <c r="R12" s="154">
        <v>213.79</v>
      </c>
      <c r="S12" s="155"/>
      <c r="T12" s="155"/>
      <c r="U12" s="189">
        <f>((T12/U$10)*U$9)</f>
        <v>0</v>
      </c>
      <c r="V12" s="189">
        <f>R12*V$10</f>
        <v>1.6034249999999999</v>
      </c>
      <c r="W12" s="189">
        <f>+S12*V$10</f>
        <v>0</v>
      </c>
      <c r="X12" s="189">
        <f>+T12*X$10</f>
        <v>0</v>
      </c>
      <c r="Y12" s="189">
        <f>R12-V12</f>
        <v>212.186575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f>39</f>
        <v>39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39</v>
      </c>
      <c r="K13" s="75"/>
      <c r="L13" s="186">
        <f t="shared" ref="L13:L44" si="1">+G13-K13</f>
        <v>0</v>
      </c>
      <c r="M13" s="106"/>
      <c r="N13" s="104">
        <v>2</v>
      </c>
      <c r="O13" s="152" t="s">
        <v>221</v>
      </c>
      <c r="P13" s="153">
        <v>285</v>
      </c>
      <c r="Q13" s="153">
        <v>2001</v>
      </c>
      <c r="R13" s="154">
        <v>16.829999999999998</v>
      </c>
      <c r="S13" s="155"/>
      <c r="T13" s="157">
        <v>43.98</v>
      </c>
      <c r="U13" s="189">
        <f t="shared" ref="U13:U41" si="2">((T13/U$10)*U$9)</f>
        <v>1.8956896551724141</v>
      </c>
      <c r="V13" s="189">
        <f t="shared" ref="V13:V41" si="3">R13*V$10</f>
        <v>0.12622499999999998</v>
      </c>
      <c r="W13" s="189">
        <f t="shared" ref="W13:W41" si="4">+S13*V$10</f>
        <v>0</v>
      </c>
      <c r="X13" s="189">
        <f t="shared" ref="X13:X41" si="5">+T13*X$10</f>
        <v>1.0994999999999999</v>
      </c>
      <c r="Y13" s="189">
        <f t="shared" ref="Y13:Z41" si="6">R13-V13</f>
        <v>16.703774999999997</v>
      </c>
      <c r="Z13" s="189">
        <f t="shared" si="6"/>
        <v>0</v>
      </c>
      <c r="AA13" s="189">
        <f t="shared" ref="AA13:AA41" si="7">T13-U13-X13</f>
        <v>40.984810344827586</v>
      </c>
      <c r="AB13" s="156"/>
    </row>
    <row r="14" spans="1:28" ht="15.75" x14ac:dyDescent="0.25">
      <c r="A14" s="86" t="s">
        <v>83</v>
      </c>
      <c r="B14" s="57">
        <f>B13*B8</f>
        <v>232.82999999999998</v>
      </c>
      <c r="C14" s="15"/>
      <c r="D14" s="56"/>
      <c r="E14" s="16"/>
      <c r="F14" s="56"/>
      <c r="G14" s="56"/>
      <c r="H14" s="17"/>
      <c r="I14" s="83"/>
      <c r="J14" s="81">
        <f t="shared" si="0"/>
        <v>232.82999999999998</v>
      </c>
      <c r="K14" s="80"/>
      <c r="L14" s="186">
        <f t="shared" si="1"/>
        <v>0</v>
      </c>
      <c r="M14" s="107"/>
      <c r="N14" s="104">
        <v>3</v>
      </c>
      <c r="O14" s="152" t="s">
        <v>221</v>
      </c>
      <c r="P14" s="153">
        <v>264</v>
      </c>
      <c r="Q14" s="153">
        <v>2001</v>
      </c>
      <c r="R14" s="154">
        <v>256.45</v>
      </c>
      <c r="S14" s="155"/>
      <c r="T14" s="157">
        <v>75.42</v>
      </c>
      <c r="U14" s="189">
        <f t="shared" si="2"/>
        <v>3.2508620689655174</v>
      </c>
      <c r="V14" s="189">
        <f t="shared" si="3"/>
        <v>1.9233749999999998</v>
      </c>
      <c r="W14" s="189">
        <f t="shared" si="4"/>
        <v>0</v>
      </c>
      <c r="X14" s="189">
        <f t="shared" si="5"/>
        <v>1.8855000000000002</v>
      </c>
      <c r="Y14" s="189">
        <f t="shared" si="6"/>
        <v>254.526625</v>
      </c>
      <c r="Z14" s="189">
        <f t="shared" si="6"/>
        <v>0</v>
      </c>
      <c r="AA14" s="189">
        <f t="shared" si="7"/>
        <v>70.283637931034491</v>
      </c>
      <c r="AB14" s="156"/>
    </row>
    <row r="15" spans="1:28" ht="15.75" x14ac:dyDescent="0.25">
      <c r="A15" s="86" t="s">
        <v>79</v>
      </c>
      <c r="B15" s="56">
        <f>118+111+86+15</f>
        <v>330</v>
      </c>
      <c r="C15" s="15"/>
      <c r="D15" s="56"/>
      <c r="E15" s="16"/>
      <c r="F15" s="56"/>
      <c r="G15" s="56"/>
      <c r="H15" s="17"/>
      <c r="I15" s="83"/>
      <c r="J15" s="81">
        <f t="shared" si="0"/>
        <v>330</v>
      </c>
      <c r="K15" s="80"/>
      <c r="L15" s="186">
        <f t="shared" si="1"/>
        <v>0</v>
      </c>
      <c r="M15" s="107"/>
      <c r="N15" s="104">
        <v>4</v>
      </c>
      <c r="O15" s="152" t="s">
        <v>221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1973.4</v>
      </c>
      <c r="C16" s="15"/>
      <c r="D16" s="56"/>
      <c r="E16" s="16"/>
      <c r="F16" s="56"/>
      <c r="G16" s="56"/>
      <c r="H16" s="17"/>
      <c r="I16" s="83"/>
      <c r="J16" s="81">
        <f t="shared" si="0"/>
        <v>1973.4</v>
      </c>
      <c r="K16" s="80"/>
      <c r="L16" s="186">
        <f t="shared" si="1"/>
        <v>0</v>
      </c>
      <c r="M16" s="107"/>
      <c r="N16" s="104">
        <v>5</v>
      </c>
      <c r="O16" s="152" t="s">
        <v>221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>
        <f>6+21+70</f>
        <v>97</v>
      </c>
      <c r="C17" s="15"/>
      <c r="D17" s="56"/>
      <c r="E17" s="16"/>
      <c r="F17" s="56"/>
      <c r="G17" s="56"/>
      <c r="H17" s="17"/>
      <c r="I17" s="83"/>
      <c r="J17" s="81">
        <f t="shared" si="0"/>
        <v>97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577.15</v>
      </c>
      <c r="C18" s="15"/>
      <c r="D18" s="56"/>
      <c r="E18" s="16"/>
      <c r="F18" s="56"/>
      <c r="G18" s="56"/>
      <c r="H18" s="17"/>
      <c r="I18" s="83"/>
      <c r="J18" s="81">
        <f t="shared" si="0"/>
        <v>577.15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466</v>
      </c>
      <c r="C19" s="95"/>
      <c r="D19" s="94"/>
      <c r="E19" s="96"/>
      <c r="F19" s="94"/>
      <c r="G19" s="94"/>
      <c r="H19" s="98"/>
      <c r="I19" s="99">
        <v>466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2783.38</v>
      </c>
      <c r="C20" s="95"/>
      <c r="D20" s="94"/>
      <c r="E20" s="96"/>
      <c r="F20" s="94"/>
      <c r="G20" s="94"/>
      <c r="H20" s="98"/>
      <c r="I20" s="99">
        <v>2786.68</v>
      </c>
      <c r="J20" s="185">
        <f t="shared" si="0"/>
        <v>-3.2999999999997272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487.07</v>
      </c>
      <c r="S42" s="190">
        <f t="shared" si="8"/>
        <v>0</v>
      </c>
      <c r="T42" s="190">
        <f t="shared" si="8"/>
        <v>119.4</v>
      </c>
      <c r="U42" s="190">
        <f t="shared" si="8"/>
        <v>5.1465517241379315</v>
      </c>
      <c r="V42" s="190">
        <f t="shared" si="8"/>
        <v>3.6530249999999995</v>
      </c>
      <c r="W42" s="190">
        <f t="shared" si="8"/>
        <v>0</v>
      </c>
      <c r="X42" s="190">
        <f t="shared" si="8"/>
        <v>2.9850000000000003</v>
      </c>
      <c r="Y42" s="190">
        <f t="shared" si="8"/>
        <v>483.41697499999998</v>
      </c>
      <c r="Z42" s="190">
        <f t="shared" si="8"/>
        <v>0</v>
      </c>
      <c r="AA42" s="190">
        <f t="shared" si="8"/>
        <v>111.26844827586208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487.07</v>
      </c>
      <c r="C46" s="116">
        <v>7.4999999999999997E-3</v>
      </c>
      <c r="D46" s="117">
        <f>B46*C46</f>
        <v>3.653025</v>
      </c>
      <c r="E46" s="172">
        <v>0</v>
      </c>
      <c r="F46" s="117">
        <f t="shared" ref="F46:F50" si="15">D46*E46</f>
        <v>0</v>
      </c>
      <c r="G46" s="117">
        <f t="shared" ref="G46:G51" si="16">B46-D46-F46</f>
        <v>483.41697499999998</v>
      </c>
      <c r="H46" s="173">
        <f>B$6+1</f>
        <v>44786</v>
      </c>
      <c r="I46" s="174">
        <v>487.07</v>
      </c>
      <c r="J46" s="81">
        <f t="shared" si="0"/>
        <v>0</v>
      </c>
      <c r="K46" s="80"/>
      <c r="L46" s="186">
        <f>K46-G46</f>
        <v>-483.41697499999998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44786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44786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6695.5800000000008</v>
      </c>
      <c r="C49" s="116">
        <v>7.4999999999999997E-3</v>
      </c>
      <c r="D49" s="117">
        <f t="shared" si="17"/>
        <v>50.216850000000001</v>
      </c>
      <c r="E49" s="172">
        <v>0</v>
      </c>
      <c r="F49" s="117">
        <f t="shared" si="15"/>
        <v>0</v>
      </c>
      <c r="G49" s="117">
        <f t="shared" si="16"/>
        <v>6645.363150000001</v>
      </c>
      <c r="H49" s="173">
        <f t="shared" si="19"/>
        <v>44786</v>
      </c>
      <c r="I49" s="219">
        <v>6695.58</v>
      </c>
      <c r="J49" s="81">
        <f t="shared" si="0"/>
        <v>0</v>
      </c>
      <c r="K49" s="80"/>
      <c r="L49" s="186">
        <f t="shared" si="18"/>
        <v>6645.363150000001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534.05999999999995</v>
      </c>
      <c r="C50" s="116">
        <v>7.4999999999999997E-3</v>
      </c>
      <c r="D50" s="117">
        <f t="shared" si="17"/>
        <v>4.0054499999999997</v>
      </c>
      <c r="E50" s="172">
        <v>0</v>
      </c>
      <c r="F50" s="117">
        <f t="shared" si="15"/>
        <v>0</v>
      </c>
      <c r="G50" s="117">
        <f t="shared" si="16"/>
        <v>530.05454999999995</v>
      </c>
      <c r="H50" s="173">
        <f t="shared" si="19"/>
        <v>44786</v>
      </c>
      <c r="I50" s="175">
        <v>837.94</v>
      </c>
      <c r="J50" s="81">
        <f t="shared" si="0"/>
        <v>-303.88000000000011</v>
      </c>
      <c r="K50" s="80"/>
      <c r="L50" s="186">
        <f t="shared" si="18"/>
        <v>530.05454999999995</v>
      </c>
      <c r="M50" s="107"/>
      <c r="N50" s="104">
        <v>8</v>
      </c>
      <c r="O50" s="167" t="s">
        <v>70</v>
      </c>
      <c r="P50" s="158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303.88</v>
      </c>
      <c r="C51" s="116">
        <v>1.4999999999999999E-2</v>
      </c>
      <c r="D51" s="117">
        <f>+B51*C51</f>
        <v>4.5581999999999994</v>
      </c>
      <c r="E51" s="172">
        <v>0</v>
      </c>
      <c r="F51" s="117">
        <f>D51*E51</f>
        <v>0</v>
      </c>
      <c r="G51" s="117">
        <f t="shared" si="16"/>
        <v>299.3218</v>
      </c>
      <c r="H51" s="173">
        <f t="shared" si="19"/>
        <v>44786</v>
      </c>
      <c r="I51" s="175"/>
      <c r="J51" s="81">
        <f t="shared" si="0"/>
        <v>303.88</v>
      </c>
      <c r="K51" s="80"/>
      <c r="L51" s="186">
        <f t="shared" si="18"/>
        <v>299.3218</v>
      </c>
      <c r="M51" s="107"/>
      <c r="N51" s="104">
        <v>9</v>
      </c>
      <c r="O51" s="167" t="s">
        <v>70</v>
      </c>
      <c r="P51" s="158"/>
      <c r="Q51" s="158"/>
      <c r="R51" s="160"/>
      <c r="S51" s="160"/>
      <c r="T51" s="160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119.4</v>
      </c>
      <c r="C52" s="116">
        <v>2.5000000000000001E-2</v>
      </c>
      <c r="D52" s="117">
        <f>B52*C52</f>
        <v>2.9850000000000003</v>
      </c>
      <c r="E52" s="172">
        <v>0.05</v>
      </c>
      <c r="F52" s="117">
        <f>(B52/E$10)*E52</f>
        <v>5.1465517241379324</v>
      </c>
      <c r="G52" s="117">
        <f>B52-D52-F52</f>
        <v>111.26844827586207</v>
      </c>
      <c r="H52" s="188">
        <f t="shared" si="19"/>
        <v>44786</v>
      </c>
      <c r="I52" s="176">
        <v>119.4</v>
      </c>
      <c r="J52" s="81">
        <f t="shared" si="0"/>
        <v>0</v>
      </c>
      <c r="K52" s="80"/>
      <c r="L52" s="186">
        <f>K52-G52</f>
        <v>-111.26844827586207</v>
      </c>
      <c r="M52" s="107"/>
      <c r="N52" s="104">
        <v>10</v>
      </c>
      <c r="O52" s="167" t="s">
        <v>70</v>
      </c>
      <c r="P52" s="242"/>
      <c r="Q52" s="84"/>
      <c r="R52" s="160"/>
      <c r="S52" s="160"/>
      <c r="T52" s="160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44786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44786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44786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224</v>
      </c>
      <c r="B56" s="117">
        <f>T75</f>
        <v>103.99000000000001</v>
      </c>
      <c r="C56" s="116">
        <v>2.5000000000000001E-2</v>
      </c>
      <c r="D56" s="117">
        <f t="shared" si="20"/>
        <v>2.5997500000000002</v>
      </c>
      <c r="E56" s="172">
        <v>0.05</v>
      </c>
      <c r="F56" s="117">
        <f t="shared" si="21"/>
        <v>4.4823275862068979</v>
      </c>
      <c r="G56" s="117">
        <f t="shared" si="22"/>
        <v>96.907922413793116</v>
      </c>
      <c r="H56" s="173">
        <f t="shared" si="19"/>
        <v>44786</v>
      </c>
      <c r="I56" s="219">
        <v>103.99</v>
      </c>
      <c r="J56" s="81">
        <f t="shared" si="0"/>
        <v>0</v>
      </c>
      <c r="K56" s="80"/>
      <c r="L56" s="186">
        <f t="shared" si="18"/>
        <v>96.907922413793116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44788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44790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 t="s">
        <v>166</v>
      </c>
      <c r="T59" s="155"/>
      <c r="U59" s="189">
        <f t="shared" si="9"/>
        <v>0</v>
      </c>
      <c r="V59" s="189">
        <f t="shared" si="10"/>
        <v>0</v>
      </c>
      <c r="W59" s="189" t="e">
        <f t="shared" si="11"/>
        <v>#VALUE!</v>
      </c>
      <c r="X59" s="189">
        <f t="shared" si="12"/>
        <v>0</v>
      </c>
      <c r="Y59" s="189">
        <f t="shared" ref="Y59:Z62" si="23">R59-V59</f>
        <v>0</v>
      </c>
      <c r="Z59" s="189" t="e">
        <f t="shared" si="23"/>
        <v>#VALUE!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44815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68.018275000000003</v>
      </c>
      <c r="E61" s="177"/>
      <c r="F61" s="57">
        <f>SUM(F46:F58)</f>
        <v>9.6288793103448302</v>
      </c>
      <c r="G61" s="57">
        <f>SUM(G46:G58)</f>
        <v>8166.3328456896561</v>
      </c>
      <c r="H61" s="173">
        <f t="shared" si="19"/>
        <v>44786</v>
      </c>
      <c r="I61" s="175"/>
      <c r="J61" s="81">
        <f t="shared" si="0"/>
        <v>0</v>
      </c>
      <c r="K61" s="80"/>
      <c r="L61" s="186">
        <f t="shared" si="18"/>
        <v>8166.3328456896561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44786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 t="e">
        <f t="shared" si="25"/>
        <v>#VALUE!</v>
      </c>
      <c r="X63" s="191">
        <f t="shared" si="25"/>
        <v>0</v>
      </c>
      <c r="Y63" s="191">
        <f>SUM(Y43:Y62)</f>
        <v>0</v>
      </c>
      <c r="Z63" s="191" t="e">
        <f t="shared" ref="Z63:AA63" si="26">SUM(Z43:Z62)</f>
        <v>#VALUE!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16332.665691379312</v>
      </c>
      <c r="H64" s="184"/>
      <c r="I64" s="175"/>
      <c r="J64" s="81">
        <f t="shared" si="0"/>
        <v>0</v>
      </c>
      <c r="K64" s="80"/>
      <c r="L64" s="186">
        <f t="shared" si="18"/>
        <v>16332.665691379312</v>
      </c>
      <c r="M64" s="130"/>
      <c r="N64" s="87">
        <v>1</v>
      </c>
      <c r="O64" s="122" t="s">
        <v>208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11757.359999999999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249">
        <f>2949.59+3509.97+1569.74+3266.53+457.93</f>
        <v>11753.76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249">
        <f>11681.48</f>
        <v>11681.48</v>
      </c>
      <c r="C69" s="59"/>
      <c r="F69" s="87" t="s">
        <v>129</v>
      </c>
      <c r="G69" s="22"/>
      <c r="H69" s="89"/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251">
        <f>B68-B69</f>
        <v>72.280000000000655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172</v>
      </c>
      <c r="P70" s="228">
        <v>773</v>
      </c>
      <c r="Q70" s="228">
        <v>2002</v>
      </c>
      <c r="R70" s="222">
        <v>2106.15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15.796125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2090.3538750000002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3.5999999999985448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172</v>
      </c>
      <c r="P71" s="228">
        <v>772</v>
      </c>
      <c r="Q71" s="228">
        <v>2002</v>
      </c>
      <c r="R71" s="222">
        <v>688.96</v>
      </c>
      <c r="S71" s="228"/>
      <c r="T71" s="222"/>
      <c r="U71" s="189">
        <f t="shared" si="34"/>
        <v>0</v>
      </c>
      <c r="V71" s="189">
        <f t="shared" si="35"/>
        <v>5.1672000000000002</v>
      </c>
      <c r="W71" s="189">
        <f t="shared" si="36"/>
        <v>0</v>
      </c>
      <c r="X71" s="189">
        <f t="shared" si="37"/>
        <v>0</v>
      </c>
      <c r="Y71" s="189">
        <f t="shared" si="38"/>
        <v>683.79280000000006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780</v>
      </c>
      <c r="Q72" s="228">
        <v>2001</v>
      </c>
      <c r="R72" s="222">
        <v>1974.33</v>
      </c>
      <c r="S72" s="228"/>
      <c r="T72" s="228">
        <v>25.9</v>
      </c>
      <c r="U72" s="189">
        <f t="shared" si="34"/>
        <v>1.1163793103448276</v>
      </c>
      <c r="V72" s="189">
        <f t="shared" si="35"/>
        <v>14.807474999999998</v>
      </c>
      <c r="W72" s="189">
        <f t="shared" si="36"/>
        <v>0</v>
      </c>
      <c r="X72" s="189">
        <f t="shared" si="37"/>
        <v>0.64749999999999996</v>
      </c>
      <c r="Y72" s="189">
        <f t="shared" si="38"/>
        <v>1959.5225249999999</v>
      </c>
      <c r="Z72" s="189">
        <f t="shared" si="38"/>
        <v>0</v>
      </c>
      <c r="AA72" s="189">
        <f t="shared" si="39"/>
        <v>24.136120689655169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>
        <v>781</v>
      </c>
      <c r="Q73" s="228">
        <v>2001</v>
      </c>
      <c r="R73" s="222">
        <v>1926.14</v>
      </c>
      <c r="S73" s="228"/>
      <c r="T73" s="228">
        <v>78.09</v>
      </c>
      <c r="U73" s="189">
        <f t="shared" si="34"/>
        <v>3.3659482758620691</v>
      </c>
      <c r="V73" s="189">
        <f t="shared" si="35"/>
        <v>14.44605</v>
      </c>
      <c r="W73" s="189">
        <f t="shared" si="36"/>
        <v>0</v>
      </c>
      <c r="X73" s="189">
        <f t="shared" si="37"/>
        <v>1.9522500000000003</v>
      </c>
      <c r="Y73" s="189">
        <f t="shared" si="38"/>
        <v>1911.6939500000001</v>
      </c>
      <c r="Z73" s="189">
        <f t="shared" si="38"/>
        <v>0</v>
      </c>
      <c r="AA73" s="189">
        <f t="shared" si="39"/>
        <v>72.77180172413793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6695.5800000000008</v>
      </c>
      <c r="S75" s="192"/>
      <c r="T75" s="192">
        <f>SUM(T70:T74)</f>
        <v>103.99000000000001</v>
      </c>
      <c r="U75" s="192">
        <f>SUM(U70:U74)</f>
        <v>4.482327586206897</v>
      </c>
      <c r="V75" s="192">
        <f t="shared" ref="V75:AA75" si="41">SUM(V70:V74)</f>
        <v>50.216850000000001</v>
      </c>
      <c r="W75" s="192">
        <f t="shared" si="41"/>
        <v>0</v>
      </c>
      <c r="X75" s="192">
        <f t="shared" si="41"/>
        <v>2.5997500000000002</v>
      </c>
      <c r="Y75" s="192">
        <f t="shared" si="41"/>
        <v>6645.3631500000001</v>
      </c>
      <c r="Z75" s="192">
        <f t="shared" si="41"/>
        <v>0</v>
      </c>
      <c r="AA75" s="193">
        <f t="shared" si="41"/>
        <v>96.907922413793102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B77" s="85">
        <v>8.74</v>
      </c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58.18+22.35</f>
        <v>80.53</v>
      </c>
      <c r="R78" s="82">
        <v>7.4999999999999997E-3</v>
      </c>
      <c r="S78" s="194">
        <f>+(P78+Q78)*R78</f>
        <v>0.60397500000000004</v>
      </c>
      <c r="T78" s="219">
        <f>+(P78+Q78)-S78</f>
        <v>79.926024999999996</v>
      </c>
      <c r="U78" s="211">
        <f>149.76+27.67</f>
        <v>177.43</v>
      </c>
      <c r="V78" s="112"/>
      <c r="W78" s="113">
        <v>1.4999999999999999E-2</v>
      </c>
      <c r="X78" s="196">
        <f>+(U78+V78)*W78</f>
        <v>2.6614499999999999</v>
      </c>
      <c r="Y78" s="217">
        <f>+(U78+V78)-X78</f>
        <v>174.76855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>
        <f>78.05+50.04+325.44</f>
        <v>453.53</v>
      </c>
      <c r="R79" s="82">
        <v>7.4999999999999997E-3</v>
      </c>
      <c r="S79" s="194">
        <f t="shared" ref="S79:S97" si="43">+(P79+Q79)*R79</f>
        <v>3.4014749999999996</v>
      </c>
      <c r="T79" s="219">
        <f t="shared" ref="T79:T97" si="44">+(P79+Q79)-S79</f>
        <v>450.12852499999997</v>
      </c>
      <c r="U79" s="211">
        <f>34.92+91.53</f>
        <v>126.45</v>
      </c>
      <c r="V79" s="112"/>
      <c r="W79" s="113">
        <v>1.4999999999999999E-2</v>
      </c>
      <c r="X79" s="196">
        <f t="shared" ref="X79:X97" si="45">+(U79+V79)*W79</f>
        <v>1.8967499999999999</v>
      </c>
      <c r="Y79" s="217">
        <f t="shared" ref="Y79:Y97" si="46">+(U79+V79)-X79</f>
        <v>124.55325000000001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534.05999999999995</v>
      </c>
      <c r="R98" s="111"/>
      <c r="S98" s="195">
        <f>SUM(S78:S97)</f>
        <v>4.0054499999999997</v>
      </c>
      <c r="T98" s="195">
        <f>SUM(T78:T97)</f>
        <v>530.05454999999995</v>
      </c>
      <c r="U98" s="114">
        <f>SUM(U78:U97)</f>
        <v>303.88</v>
      </c>
      <c r="V98" s="114">
        <f>SUM(V78:V97)</f>
        <v>0</v>
      </c>
      <c r="W98" s="112"/>
      <c r="X98" s="197">
        <f>SUM(X78:X97)</f>
        <v>4.5581999999999994</v>
      </c>
      <c r="Y98" s="197">
        <f>SUM(Y78:Y97)</f>
        <v>299.3218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P78+Q78+U78</f>
        <v>257.96000000000004</v>
      </c>
    </row>
    <row r="102" spans="14:30" x14ac:dyDescent="0.25">
      <c r="N102" s="85"/>
      <c r="Q102" s="215">
        <f t="shared" ref="Q102:Q106" si="50">P79+Q79+U79</f>
        <v>579.98</v>
      </c>
    </row>
    <row r="103" spans="14:30" x14ac:dyDescent="0.25">
      <c r="N103" s="85"/>
      <c r="Q103" s="215">
        <f>P80+Q80+U80</f>
        <v>0</v>
      </c>
    </row>
    <row r="104" spans="14:30" x14ac:dyDescent="0.25">
      <c r="N104" s="85"/>
      <c r="Q104" s="215">
        <f t="shared" si="50"/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15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9" priority="1" operator="greaterThan">
      <formula>0</formula>
    </cfRule>
    <cfRule type="cellIs" dxfId="3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abSelected="1" topLeftCell="T62" zoomScale="90" zoomScaleNormal="90" workbookViewId="0">
      <selection activeCell="W80" sqref="W8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44786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5.98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127.5+48.5+348.5+295.5+166</f>
        <v>986</v>
      </c>
      <c r="C12" s="15"/>
      <c r="D12" s="56"/>
      <c r="E12" s="16"/>
      <c r="F12" s="56"/>
      <c r="G12" s="56"/>
      <c r="H12" s="17"/>
      <c r="I12" s="83">
        <v>986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221</v>
      </c>
      <c r="P12" s="153">
        <v>243</v>
      </c>
      <c r="Q12" s="153">
        <v>2001</v>
      </c>
      <c r="R12" s="154">
        <v>705.69</v>
      </c>
      <c r="S12" s="155"/>
      <c r="T12" s="155">
        <v>91.37</v>
      </c>
      <c r="U12" s="189">
        <f>((T12/U$10)*U$9)</f>
        <v>3.9383620689655174</v>
      </c>
      <c r="V12" s="189">
        <f>R12*V$10</f>
        <v>5.292675</v>
      </c>
      <c r="W12" s="189">
        <f>+S12*V$10</f>
        <v>0</v>
      </c>
      <c r="X12" s="189">
        <f>+T12*X$10</f>
        <v>2.2842500000000001</v>
      </c>
      <c r="Y12" s="189">
        <f>R12-V12</f>
        <v>700.39732500000002</v>
      </c>
      <c r="Z12" s="189">
        <f>S12-W12</f>
        <v>0</v>
      </c>
      <c r="AA12" s="189">
        <f>T12-U12-X12</f>
        <v>85.147387931034487</v>
      </c>
      <c r="AB12" s="156"/>
    </row>
    <row r="13" spans="1:28" ht="15.75" x14ac:dyDescent="0.25">
      <c r="A13" s="86" t="s">
        <v>76</v>
      </c>
      <c r="B13" s="89">
        <f>66+129+224+195+92</f>
        <v>706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706</v>
      </c>
      <c r="K13" s="75"/>
      <c r="L13" s="186">
        <f t="shared" ref="L13:L42" si="1">+G13-K13</f>
        <v>0</v>
      </c>
      <c r="M13" s="106"/>
      <c r="N13" s="104">
        <v>2</v>
      </c>
      <c r="O13" s="152" t="s">
        <v>221</v>
      </c>
      <c r="P13" s="153">
        <v>286</v>
      </c>
      <c r="Q13" s="153">
        <v>2001</v>
      </c>
      <c r="R13" s="154">
        <v>489.48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3.6711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485.80889999999999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4221.88</v>
      </c>
      <c r="C14" s="15"/>
      <c r="D14" s="56"/>
      <c r="E14" s="16"/>
      <c r="F14" s="56"/>
      <c r="G14" s="56"/>
      <c r="H14" s="17"/>
      <c r="I14" s="83"/>
      <c r="J14" s="81">
        <f t="shared" si="0"/>
        <v>4221.88</v>
      </c>
      <c r="K14" s="80"/>
      <c r="L14" s="186">
        <f t="shared" si="1"/>
        <v>0</v>
      </c>
      <c r="M14" s="107"/>
      <c r="N14" s="104">
        <v>3</v>
      </c>
      <c r="O14" s="152" t="s">
        <v>221</v>
      </c>
      <c r="P14" s="153">
        <v>287</v>
      </c>
      <c r="Q14" s="153">
        <v>2001</v>
      </c>
      <c r="R14" s="154">
        <v>183.95</v>
      </c>
      <c r="S14" s="155"/>
      <c r="T14" s="157"/>
      <c r="U14" s="189">
        <f t="shared" si="2"/>
        <v>0</v>
      </c>
      <c r="V14" s="189">
        <f t="shared" si="3"/>
        <v>1.3796249999999999</v>
      </c>
      <c r="W14" s="189">
        <f t="shared" si="4"/>
        <v>0</v>
      </c>
      <c r="X14" s="189">
        <f t="shared" si="5"/>
        <v>0</v>
      </c>
      <c r="Y14" s="189">
        <f t="shared" si="6"/>
        <v>182.57037499999998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221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221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221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221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706</v>
      </c>
      <c r="C19" s="95"/>
      <c r="D19" s="94"/>
      <c r="E19" s="96"/>
      <c r="F19" s="94"/>
      <c r="G19" s="94"/>
      <c r="H19" s="98"/>
      <c r="I19" s="99">
        <v>706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221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4221.88</v>
      </c>
      <c r="C20" s="95"/>
      <c r="D20" s="94"/>
      <c r="E20" s="96"/>
      <c r="F20" s="94"/>
      <c r="G20" s="94"/>
      <c r="H20" s="98"/>
      <c r="I20" s="99">
        <v>4221.88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K35-B35:B35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1379.1200000000001</v>
      </c>
      <c r="S42" s="190">
        <f t="shared" si="8"/>
        <v>0</v>
      </c>
      <c r="T42" s="190">
        <f t="shared" si="8"/>
        <v>91.37</v>
      </c>
      <c r="U42" s="190">
        <f t="shared" si="8"/>
        <v>3.9383620689655174</v>
      </c>
      <c r="V42" s="190">
        <f t="shared" si="8"/>
        <v>10.343399999999999</v>
      </c>
      <c r="W42" s="190">
        <f t="shared" si="8"/>
        <v>0</v>
      </c>
      <c r="X42" s="190">
        <f t="shared" si="8"/>
        <v>2.2842500000000001</v>
      </c>
      <c r="Y42" s="190">
        <f t="shared" si="8"/>
        <v>1368.7765999999999</v>
      </c>
      <c r="Z42" s="190">
        <f t="shared" si="8"/>
        <v>0</v>
      </c>
      <c r="AA42" s="190">
        <f t="shared" si="8"/>
        <v>85.147387931034487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1379.1200000000001</v>
      </c>
      <c r="C46" s="116">
        <v>7.4999999999999997E-3</v>
      </c>
      <c r="D46" s="117">
        <f>B46*C46</f>
        <v>10.343400000000001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1368.7766000000001</v>
      </c>
      <c r="H46" s="173">
        <f>B$6+1</f>
        <v>44787</v>
      </c>
      <c r="I46" s="174">
        <v>1379.13</v>
      </c>
      <c r="J46" s="81">
        <f t="shared" si="0"/>
        <v>-9.9999999999909051E-3</v>
      </c>
      <c r="K46" s="80"/>
      <c r="L46" s="186">
        <f>K46-G46</f>
        <v>-1368.7766000000001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194</v>
      </c>
      <c r="B49" s="117">
        <f>R75</f>
        <v>3730.25</v>
      </c>
      <c r="C49" s="116">
        <v>7.4999999999999997E-3</v>
      </c>
      <c r="D49" s="117">
        <f t="shared" si="17"/>
        <v>27.976875</v>
      </c>
      <c r="E49" s="172">
        <v>0</v>
      </c>
      <c r="F49" s="117">
        <f t="shared" si="15"/>
        <v>0</v>
      </c>
      <c r="G49" s="117">
        <f t="shared" si="16"/>
        <v>3702.2731250000002</v>
      </c>
      <c r="H49" s="173">
        <f t="shared" si="19"/>
        <v>44787</v>
      </c>
      <c r="I49" s="219">
        <v>3730.25</v>
      </c>
      <c r="J49" s="81">
        <f t="shared" si="0"/>
        <v>0</v>
      </c>
      <c r="K49" s="80"/>
      <c r="L49" s="186">
        <f t="shared" si="18"/>
        <v>3702.2731250000002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384.33000000000004</v>
      </c>
      <c r="C50" s="116">
        <v>7.4999999999999997E-3</v>
      </c>
      <c r="D50" s="117">
        <f t="shared" si="17"/>
        <v>2.8824750000000003</v>
      </c>
      <c r="E50" s="172">
        <v>0</v>
      </c>
      <c r="F50" s="117">
        <f t="shared" si="15"/>
        <v>0</v>
      </c>
      <c r="G50" s="117">
        <f t="shared" si="16"/>
        <v>381.44752500000004</v>
      </c>
      <c r="H50" s="173">
        <f t="shared" si="19"/>
        <v>44787</v>
      </c>
      <c r="I50" s="175">
        <v>971.08</v>
      </c>
      <c r="J50" s="81">
        <f t="shared" si="0"/>
        <v>-586.75</v>
      </c>
      <c r="K50" s="80"/>
      <c r="L50" s="186">
        <f t="shared" si="18"/>
        <v>381.44752500000004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586.75</v>
      </c>
      <c r="C51" s="116">
        <v>1.4999999999999999E-2</v>
      </c>
      <c r="D51" s="117">
        <f>+B51*C51</f>
        <v>8.8012499999999996</v>
      </c>
      <c r="E51" s="172">
        <v>0</v>
      </c>
      <c r="F51" s="117">
        <f>D51*E51</f>
        <v>0</v>
      </c>
      <c r="G51" s="117">
        <f t="shared" si="16"/>
        <v>577.94875000000002</v>
      </c>
      <c r="H51" s="173">
        <f t="shared" si="19"/>
        <v>44787</v>
      </c>
      <c r="I51" s="175"/>
      <c r="J51" s="81">
        <f t="shared" si="0"/>
        <v>586.75</v>
      </c>
      <c r="K51" s="80"/>
      <c r="L51" s="186">
        <f t="shared" si="18"/>
        <v>577.94875000000002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91.37</v>
      </c>
      <c r="C52" s="116">
        <v>2.5000000000000001E-2</v>
      </c>
      <c r="D52" s="117">
        <f>B52*C52</f>
        <v>2.2842500000000001</v>
      </c>
      <c r="E52" s="172">
        <v>0.05</v>
      </c>
      <c r="F52" s="117">
        <f>(B52/E$10)*E52</f>
        <v>3.9383620689655174</v>
      </c>
      <c r="G52" s="117">
        <f>B52-D52-F52</f>
        <v>85.147387931034487</v>
      </c>
      <c r="H52" s="188">
        <f t="shared" si="19"/>
        <v>44787</v>
      </c>
      <c r="I52" s="176">
        <v>91.37</v>
      </c>
      <c r="J52" s="81">
        <f t="shared" si="0"/>
        <v>0</v>
      </c>
      <c r="K52" s="80"/>
      <c r="L52" s="186">
        <f>K52-G52</f>
        <v>-85.147387931034487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174</v>
      </c>
      <c r="B56" s="117">
        <f>T75</f>
        <v>53.010000000000005</v>
      </c>
      <c r="C56" s="116">
        <v>2.5000000000000001E-2</v>
      </c>
      <c r="D56" s="117">
        <f t="shared" si="20"/>
        <v>1.3252500000000003</v>
      </c>
      <c r="E56" s="172">
        <v>0.05</v>
      </c>
      <c r="F56" s="117">
        <f t="shared" si="21"/>
        <v>2.2849137931034487</v>
      </c>
      <c r="G56" s="117">
        <f t="shared" si="22"/>
        <v>49.399836206896559</v>
      </c>
      <c r="H56" s="173">
        <f t="shared" si="19"/>
        <v>44787</v>
      </c>
      <c r="I56" s="176">
        <v>53.01</v>
      </c>
      <c r="J56" s="81">
        <f t="shared" si="0"/>
        <v>0</v>
      </c>
      <c r="K56" s="80"/>
      <c r="L56" s="186">
        <f t="shared" si="18"/>
        <v>49.399836206896559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44789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44791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53.613500000000002</v>
      </c>
      <c r="E61" s="177"/>
      <c r="F61" s="57">
        <f>SUM(F46:F58)</f>
        <v>6.2232758620689665</v>
      </c>
      <c r="G61" s="57">
        <f>SUM(G46:G58)</f>
        <v>6164.9932241379311</v>
      </c>
      <c r="H61" s="173">
        <f t="shared" si="19"/>
        <v>44787</v>
      </c>
      <c r="I61" s="175"/>
      <c r="J61" s="81">
        <f t="shared" si="0"/>
        <v>0</v>
      </c>
      <c r="K61" s="80"/>
      <c r="L61" s="186">
        <f t="shared" si="18"/>
        <v>6164.9932241379311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12329.986448275862</v>
      </c>
      <c r="H64" s="184"/>
      <c r="I64" s="175"/>
      <c r="J64" s="81">
        <f t="shared" si="0"/>
        <v>0</v>
      </c>
      <c r="K64" s="80"/>
      <c r="L64" s="186">
        <f t="shared" si="18"/>
        <v>12329.986448275862</v>
      </c>
      <c r="M64" s="130"/>
      <c r="N64" s="87">
        <v>1</v>
      </c>
      <c r="O64" s="122" t="s">
        <v>175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11432.710000000001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11413.72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11308.22</v>
      </c>
      <c r="C69" s="59"/>
      <c r="F69" s="87" t="s">
        <v>129</v>
      </c>
      <c r="G69" s="22"/>
      <c r="H69" s="89"/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105.5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172</v>
      </c>
      <c r="P70" s="228">
        <v>774</v>
      </c>
      <c r="Q70" s="228">
        <v>2002</v>
      </c>
      <c r="R70" s="222">
        <v>724.26</v>
      </c>
      <c r="S70" s="228"/>
      <c r="T70" s="228">
        <v>2.41</v>
      </c>
      <c r="U70" s="189">
        <f t="shared" ref="U70:U74" si="34">((T70/U$10)*U$9)</f>
        <v>0.10387931034482761</v>
      </c>
      <c r="V70" s="189">
        <f t="shared" ref="V70:V74" si="35">R70*V$10</f>
        <v>5.4319499999999996</v>
      </c>
      <c r="W70" s="189">
        <f t="shared" ref="W70:W74" si="36">+S70*V$10</f>
        <v>0</v>
      </c>
      <c r="X70" s="189">
        <f t="shared" ref="X70:X74" si="37">+T70*X$10</f>
        <v>6.0250000000000005E-2</v>
      </c>
      <c r="Y70" s="189">
        <f t="shared" ref="Y70:Z74" si="38">R70-V70</f>
        <v>718.82804999999996</v>
      </c>
      <c r="Z70" s="189">
        <f t="shared" si="38"/>
        <v>0</v>
      </c>
      <c r="AA70" s="189">
        <f t="shared" ref="AA70:AA74" si="39">T70-U70-X70</f>
        <v>2.2458706896551726</v>
      </c>
      <c r="AB70" s="87"/>
    </row>
    <row r="71" spans="1:30" ht="28.5" customHeight="1" thickBot="1" x14ac:dyDescent="0.3">
      <c r="A71" s="25" t="s">
        <v>57</v>
      </c>
      <c r="B71" s="70">
        <f>B65-B68</f>
        <v>18.990000000001601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172</v>
      </c>
      <c r="P71" s="228">
        <v>783</v>
      </c>
      <c r="Q71" s="228">
        <v>2001</v>
      </c>
      <c r="R71" s="222">
        <v>610.76</v>
      </c>
      <c r="S71" s="228"/>
      <c r="T71" s="222"/>
      <c r="U71" s="189">
        <f t="shared" si="34"/>
        <v>0</v>
      </c>
      <c r="V71" s="189">
        <f t="shared" si="35"/>
        <v>4.5806999999999993</v>
      </c>
      <c r="W71" s="189">
        <f t="shared" si="36"/>
        <v>0</v>
      </c>
      <c r="X71" s="189">
        <f t="shared" si="37"/>
        <v>0</v>
      </c>
      <c r="Y71" s="189">
        <f t="shared" si="38"/>
        <v>606.17930000000001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782</v>
      </c>
      <c r="Q72" s="228">
        <v>2001</v>
      </c>
      <c r="R72" s="222">
        <v>1230.29</v>
      </c>
      <c r="S72" s="228"/>
      <c r="T72" s="228"/>
      <c r="U72" s="189">
        <f t="shared" si="34"/>
        <v>0</v>
      </c>
      <c r="V72" s="189">
        <f t="shared" si="35"/>
        <v>9.227174999999999</v>
      </c>
      <c r="W72" s="189">
        <f t="shared" si="36"/>
        <v>0</v>
      </c>
      <c r="X72" s="189">
        <f t="shared" si="37"/>
        <v>0</v>
      </c>
      <c r="Y72" s="189">
        <f t="shared" si="38"/>
        <v>1221.062825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>
        <v>775</v>
      </c>
      <c r="Q73" s="228">
        <v>2002</v>
      </c>
      <c r="R73" s="222">
        <v>1164.94</v>
      </c>
      <c r="S73" s="228"/>
      <c r="T73" s="228">
        <v>50.6</v>
      </c>
      <c r="U73" s="189">
        <f t="shared" si="34"/>
        <v>2.181034482758621</v>
      </c>
      <c r="V73" s="189">
        <f t="shared" si="35"/>
        <v>8.73705</v>
      </c>
      <c r="W73" s="189">
        <f t="shared" si="36"/>
        <v>0</v>
      </c>
      <c r="X73" s="189">
        <f t="shared" si="37"/>
        <v>1.2650000000000001</v>
      </c>
      <c r="Y73" s="189">
        <f t="shared" si="38"/>
        <v>1156.2029500000001</v>
      </c>
      <c r="Z73" s="189">
        <f t="shared" si="38"/>
        <v>0</v>
      </c>
      <c r="AA73" s="189">
        <f t="shared" si="39"/>
        <v>47.153965517241382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/>
      <c r="Q74" s="228"/>
      <c r="R74" s="222"/>
      <c r="S74" s="228"/>
      <c r="T74" s="228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3730.25</v>
      </c>
      <c r="S75" s="192"/>
      <c r="T75" s="192">
        <f>SUM(T70:T74)</f>
        <v>53.010000000000005</v>
      </c>
      <c r="U75" s="192">
        <f>SUM(U70:U74)</f>
        <v>2.2849137931034487</v>
      </c>
      <c r="V75" s="192">
        <f t="shared" ref="V75:AA75" si="41">SUM(V70:V74)</f>
        <v>27.976874999999996</v>
      </c>
      <c r="W75" s="192">
        <f t="shared" si="41"/>
        <v>0</v>
      </c>
      <c r="X75" s="192">
        <f t="shared" si="41"/>
        <v>1.32525</v>
      </c>
      <c r="Y75" s="192">
        <f t="shared" si="41"/>
        <v>3702.2731249999997</v>
      </c>
      <c r="Z75" s="192">
        <f t="shared" si="41"/>
        <v>0</v>
      </c>
      <c r="AA75" s="193">
        <f t="shared" si="41"/>
        <v>49.399836206896552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127.34</f>
        <v>127.34</v>
      </c>
      <c r="R78" s="274">
        <v>7.4999999999999997E-3</v>
      </c>
      <c r="S78" s="216">
        <f>+(P78+Q78)*R78</f>
        <v>0.95504999999999995</v>
      </c>
      <c r="T78" s="219">
        <f>+(P78+Q78)-S78</f>
        <v>126.38495</v>
      </c>
      <c r="U78" s="211">
        <f>179.29+39.57</f>
        <v>218.85999999999999</v>
      </c>
      <c r="V78" s="112"/>
      <c r="W78" s="113">
        <v>1.4999999999999999E-2</v>
      </c>
      <c r="X78" s="196">
        <f>+(U78+V78)*W78</f>
        <v>3.2828999999999997</v>
      </c>
      <c r="Y78" s="217">
        <f>+(U78+V78)-X78</f>
        <v>215.57709999999997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>
        <f>46.7+210.29</f>
        <v>256.99</v>
      </c>
      <c r="R79" s="274">
        <v>7.4999999999999997E-3</v>
      </c>
      <c r="S79" s="216">
        <f t="shared" ref="S79:S97" si="43">+(P79+Q79)*R79</f>
        <v>1.9274249999999999</v>
      </c>
      <c r="T79" s="246">
        <f t="shared" ref="T79:T97" si="44">+(P79+Q79)-S79</f>
        <v>255.06257500000001</v>
      </c>
      <c r="U79" s="211">
        <f>110.78+257.11</f>
        <v>367.89</v>
      </c>
      <c r="V79" s="112"/>
      <c r="W79" s="113">
        <v>1.4999999999999999E-2</v>
      </c>
      <c r="X79" s="196">
        <f t="shared" ref="X79:X97" si="45">+(U79+V79)*W79</f>
        <v>5.5183499999999999</v>
      </c>
      <c r="Y79" s="213">
        <f t="shared" ref="Y79:Y97" si="46">+(U79+V79)-X79</f>
        <v>362.37164999999999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274">
        <v>7.4999999999999997E-3</v>
      </c>
      <c r="S80" s="216">
        <f t="shared" si="43"/>
        <v>0</v>
      </c>
      <c r="T80" s="246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3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137"/>
      <c r="R81" s="274">
        <v>7.4999999999999997E-3</v>
      </c>
      <c r="S81" s="216">
        <f t="shared" si="43"/>
        <v>0</v>
      </c>
      <c r="T81" s="258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4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274">
        <v>7.4999999999999997E-3</v>
      </c>
      <c r="S82" s="216">
        <f t="shared" si="43"/>
        <v>0</v>
      </c>
      <c r="T82" s="258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46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274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384.33000000000004</v>
      </c>
      <c r="R98" s="111"/>
      <c r="S98" s="195">
        <f>SUM(S78:S97)</f>
        <v>2.8824749999999999</v>
      </c>
      <c r="T98" s="195">
        <f>SUM(T78:T97)</f>
        <v>381.44752500000004</v>
      </c>
      <c r="U98" s="114">
        <f>SUM(U78:U97)</f>
        <v>586.75</v>
      </c>
      <c r="V98" s="114">
        <f>SUM(V78:V97)</f>
        <v>0</v>
      </c>
      <c r="W98" s="112"/>
      <c r="X98" s="197">
        <f>SUM(X78:X97)</f>
        <v>8.8012499999999996</v>
      </c>
      <c r="Y98" s="197">
        <f>SUM(Y78:Y97)</f>
        <v>577.94875000000002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346.2</v>
      </c>
    </row>
    <row r="102" spans="14:30" x14ac:dyDescent="0.25">
      <c r="N102" s="85"/>
      <c r="P102" s="215">
        <f>P79+Q79+U79</f>
        <v>624.88</v>
      </c>
    </row>
    <row r="103" spans="14:30" x14ac:dyDescent="0.25">
      <c r="N103" s="85"/>
      <c r="P103" s="212">
        <f>P80+U80+Q80</f>
        <v>0</v>
      </c>
    </row>
    <row r="104" spans="14:30" x14ac:dyDescent="0.25">
      <c r="N104" s="85"/>
      <c r="P104" s="215">
        <f>Q81+U81+P81</f>
        <v>0</v>
      </c>
    </row>
    <row r="105" spans="14:30" x14ac:dyDescent="0.25">
      <c r="N105" s="85"/>
      <c r="P105" s="212">
        <f>P82+Q82+U82</f>
        <v>0</v>
      </c>
    </row>
    <row r="106" spans="14:30" x14ac:dyDescent="0.25">
      <c r="N106" s="85"/>
      <c r="P106" s="215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7" priority="1" operator="greaterThan">
      <formula>0</formula>
    </cfRule>
    <cfRule type="cellIs" dxfId="3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46" zoomScale="90" zoomScaleNormal="90" workbookViewId="0">
      <selection activeCell="R66" sqref="R6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44787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5.98</v>
      </c>
      <c r="C8" s="85" t="s">
        <v>94</v>
      </c>
      <c r="D8" s="108">
        <v>6.12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241.6+480+296+387.5</f>
        <v>1405.1</v>
      </c>
      <c r="C12" s="15"/>
      <c r="D12" s="56"/>
      <c r="E12" s="16"/>
      <c r="F12" s="56"/>
      <c r="G12" s="56"/>
      <c r="H12" s="17"/>
      <c r="I12" s="83">
        <v>1405</v>
      </c>
      <c r="J12" s="248">
        <f>B12-I12</f>
        <v>9.9999999999909051E-2</v>
      </c>
      <c r="K12" s="75"/>
      <c r="L12" s="186">
        <f>+G12-K12</f>
        <v>0</v>
      </c>
      <c r="M12" s="106"/>
      <c r="N12" s="104">
        <v>1</v>
      </c>
      <c r="O12" s="152" t="s">
        <v>221</v>
      </c>
      <c r="P12" s="153">
        <v>244</v>
      </c>
      <c r="Q12" s="153">
        <v>2001</v>
      </c>
      <c r="R12" s="154">
        <v>2288.1799999999998</v>
      </c>
      <c r="S12" s="155"/>
      <c r="T12" s="155">
        <v>108.04</v>
      </c>
      <c r="U12" s="189">
        <f>((T12/U$10)*U$9)</f>
        <v>4.656896551724139</v>
      </c>
      <c r="V12" s="189">
        <f>R12*V$10</f>
        <v>17.161349999999999</v>
      </c>
      <c r="W12" s="189">
        <f>+S12*V$10</f>
        <v>0</v>
      </c>
      <c r="X12" s="189">
        <f>+T12*X$10</f>
        <v>2.7010000000000005</v>
      </c>
      <c r="Y12" s="189">
        <f>R12-V12</f>
        <v>2271.01865</v>
      </c>
      <c r="Z12" s="189">
        <f>S12-W12</f>
        <v>0</v>
      </c>
      <c r="AA12" s="189">
        <f>T12-U12-X12</f>
        <v>100.68210344827585</v>
      </c>
      <c r="AB12" s="156"/>
    </row>
    <row r="13" spans="1:28" ht="15.75" x14ac:dyDescent="0.25">
      <c r="A13" s="86" t="s">
        <v>76</v>
      </c>
      <c r="B13" s="89">
        <f>162+105+84+156</f>
        <v>507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507</v>
      </c>
      <c r="K13" s="75"/>
      <c r="L13" s="186">
        <f t="shared" ref="L13:L44" si="1">+G13-K13</f>
        <v>0</v>
      </c>
      <c r="M13" s="106"/>
      <c r="N13" s="104">
        <v>2</v>
      </c>
      <c r="O13" s="152" t="s">
        <v>221</v>
      </c>
      <c r="P13" s="153">
        <v>288</v>
      </c>
      <c r="Q13" s="153">
        <v>2001</v>
      </c>
      <c r="R13" s="154">
        <v>707.6</v>
      </c>
      <c r="S13" s="155"/>
      <c r="T13" s="157">
        <v>82.86</v>
      </c>
      <c r="U13" s="189">
        <f t="shared" ref="U13:U41" si="2">((T13/U$10)*U$9)</f>
        <v>3.5715517241379313</v>
      </c>
      <c r="V13" s="189">
        <f t="shared" ref="V13:V41" si="3">R13*V$10</f>
        <v>5.3070000000000004</v>
      </c>
      <c r="W13" s="189">
        <f t="shared" ref="W13:W41" si="4">+S13*V$10</f>
        <v>0</v>
      </c>
      <c r="X13" s="189">
        <f t="shared" ref="X13:X41" si="5">+T13*X$10</f>
        <v>2.0714999999999999</v>
      </c>
      <c r="Y13" s="189">
        <f t="shared" ref="Y13:Z41" si="6">R13-V13</f>
        <v>702.29300000000001</v>
      </c>
      <c r="Z13" s="189">
        <f t="shared" si="6"/>
        <v>0</v>
      </c>
      <c r="AA13" s="189">
        <f t="shared" ref="AA13:AA41" si="7">T13-U13-X13</f>
        <v>77.216948275862066</v>
      </c>
      <c r="AB13" s="156"/>
    </row>
    <row r="14" spans="1:28" ht="15.75" x14ac:dyDescent="0.25">
      <c r="A14" s="86" t="s">
        <v>83</v>
      </c>
      <c r="B14" s="57">
        <f>B13*B8</f>
        <v>3031.86</v>
      </c>
      <c r="C14" s="15"/>
      <c r="D14" s="56"/>
      <c r="E14" s="16"/>
      <c r="F14" s="56"/>
      <c r="G14" s="56"/>
      <c r="H14" s="17"/>
      <c r="I14" s="83"/>
      <c r="J14" s="81">
        <f t="shared" si="0"/>
        <v>3031.86</v>
      </c>
      <c r="K14" s="80"/>
      <c r="L14" s="186">
        <f t="shared" si="1"/>
        <v>0</v>
      </c>
      <c r="M14" s="107"/>
      <c r="N14" s="104">
        <v>3</v>
      </c>
      <c r="O14" s="152" t="s">
        <v>221</v>
      </c>
      <c r="P14" s="153">
        <v>269</v>
      </c>
      <c r="Q14" s="153">
        <v>2001</v>
      </c>
      <c r="R14" s="154">
        <v>1331.36</v>
      </c>
      <c r="S14" s="155"/>
      <c r="T14" s="157">
        <v>33.69</v>
      </c>
      <c r="U14" s="189">
        <f t="shared" si="2"/>
        <v>1.4521551724137931</v>
      </c>
      <c r="V14" s="189">
        <f t="shared" si="3"/>
        <v>9.985199999999999</v>
      </c>
      <c r="W14" s="189">
        <f t="shared" si="4"/>
        <v>0</v>
      </c>
      <c r="X14" s="189">
        <f t="shared" si="5"/>
        <v>0.84224999999999994</v>
      </c>
      <c r="Y14" s="189">
        <f t="shared" si="6"/>
        <v>1321.3747999999998</v>
      </c>
      <c r="Z14" s="189">
        <f t="shared" si="6"/>
        <v>0</v>
      </c>
      <c r="AA14" s="189">
        <f t="shared" si="7"/>
        <v>31.395594827586201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221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221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 t="s">
        <v>166</v>
      </c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507</v>
      </c>
      <c r="C19" s="95"/>
      <c r="D19" s="94"/>
      <c r="E19" s="96"/>
      <c r="F19" s="94"/>
      <c r="G19" s="94"/>
      <c r="H19" s="98"/>
      <c r="I19" s="99"/>
      <c r="J19" s="185">
        <f>B19-I19</f>
        <v>507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3031.86</v>
      </c>
      <c r="C20" s="95"/>
      <c r="D20" s="94"/>
      <c r="E20" s="96"/>
      <c r="F20" s="94"/>
      <c r="G20" s="94"/>
      <c r="H20" s="98"/>
      <c r="I20" s="99">
        <v>3031.86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>
        <v>2</v>
      </c>
      <c r="C21" s="100"/>
      <c r="D21" s="66"/>
      <c r="E21" s="67"/>
      <c r="F21" s="66"/>
      <c r="G21" s="66"/>
      <c r="H21" s="102"/>
      <c r="I21" s="79"/>
      <c r="J21" s="81">
        <f t="shared" si="0"/>
        <v>2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12.24</v>
      </c>
      <c r="C22" s="100"/>
      <c r="D22" s="66"/>
      <c r="E22" s="67"/>
      <c r="F22" s="66"/>
      <c r="G22" s="66"/>
      <c r="H22" s="102"/>
      <c r="I22" s="79"/>
      <c r="J22" s="81">
        <f t="shared" si="0"/>
        <v>12.24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2</v>
      </c>
      <c r="C27" s="95"/>
      <c r="D27" s="94"/>
      <c r="E27" s="96"/>
      <c r="F27" s="94"/>
      <c r="G27" s="94"/>
      <c r="H27" s="98"/>
      <c r="I27" s="99">
        <v>2</v>
      </c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12.24</v>
      </c>
      <c r="C28" s="95"/>
      <c r="D28" s="94"/>
      <c r="E28" s="96"/>
      <c r="F28" s="94"/>
      <c r="G28" s="94"/>
      <c r="H28" s="98"/>
      <c r="I28" s="99"/>
      <c r="J28" s="185">
        <f t="shared" si="0"/>
        <v>12.24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/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57.573</v>
      </c>
      <c r="C37" s="100"/>
      <c r="D37" s="66"/>
      <c r="E37" s="67"/>
      <c r="F37" s="66"/>
      <c r="G37" s="66"/>
      <c r="H37" s="102"/>
      <c r="I37" s="79"/>
      <c r="J37" s="81">
        <f t="shared" si="0"/>
        <v>57.573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344.28654</v>
      </c>
      <c r="C38" s="100"/>
      <c r="D38" s="66"/>
      <c r="E38" s="67"/>
      <c r="F38" s="66"/>
      <c r="G38" s="66"/>
      <c r="H38" s="102"/>
      <c r="I38" s="79"/>
      <c r="J38" s="81">
        <f t="shared" si="0"/>
        <v>344.28654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4327.1399999999994</v>
      </c>
      <c r="S42" s="190">
        <f t="shared" si="8"/>
        <v>0</v>
      </c>
      <c r="T42" s="190">
        <f t="shared" si="8"/>
        <v>224.59</v>
      </c>
      <c r="U42" s="190">
        <f t="shared" si="8"/>
        <v>9.6806034482758641</v>
      </c>
      <c r="V42" s="190">
        <f t="shared" si="8"/>
        <v>32.45355</v>
      </c>
      <c r="W42" s="190">
        <f t="shared" si="8"/>
        <v>0</v>
      </c>
      <c r="X42" s="190">
        <f t="shared" si="8"/>
        <v>5.6147500000000008</v>
      </c>
      <c r="Y42" s="190">
        <f t="shared" si="8"/>
        <v>4294.6864500000001</v>
      </c>
      <c r="Z42" s="190">
        <f t="shared" si="8"/>
        <v>0</v>
      </c>
      <c r="AA42" s="190">
        <f t="shared" si="8"/>
        <v>209.2946465517241</v>
      </c>
      <c r="AB42" s="166"/>
    </row>
    <row r="43" spans="1:28" ht="15.75" x14ac:dyDescent="0.25">
      <c r="A43" s="93" t="s">
        <v>103</v>
      </c>
      <c r="B43" s="97">
        <f>+B37+B39+B41</f>
        <v>57.573</v>
      </c>
      <c r="C43" s="95"/>
      <c r="D43" s="94"/>
      <c r="E43" s="96"/>
      <c r="F43" s="94"/>
      <c r="G43" s="94"/>
      <c r="H43" s="98"/>
      <c r="I43" s="99">
        <v>57.57</v>
      </c>
      <c r="J43" s="185">
        <f t="shared" si="0"/>
        <v>3.0000000000001137E-3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344.28654</v>
      </c>
      <c r="C44" s="95"/>
      <c r="D44" s="94"/>
      <c r="E44" s="96"/>
      <c r="F44" s="94"/>
      <c r="G44" s="94"/>
      <c r="H44" s="98"/>
      <c r="I44" s="99"/>
      <c r="J44" s="185">
        <f t="shared" si="0"/>
        <v>344.28654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4327.1399999999994</v>
      </c>
      <c r="C46" s="116">
        <v>7.4999999999999997E-3</v>
      </c>
      <c r="D46" s="117">
        <f>B46*C46</f>
        <v>32.453549999999993</v>
      </c>
      <c r="E46" s="172">
        <v>0</v>
      </c>
      <c r="F46" s="117">
        <f t="shared" ref="F46:F50" si="15">D46*E46</f>
        <v>0</v>
      </c>
      <c r="G46" s="117">
        <f t="shared" ref="G46:G51" si="16">B46-D46-F46</f>
        <v>4294.6864499999992</v>
      </c>
      <c r="H46" s="173">
        <f>B$6+1</f>
        <v>44788</v>
      </c>
      <c r="I46" s="174">
        <v>4327.1400000000003</v>
      </c>
      <c r="J46" s="81">
        <f t="shared" si="0"/>
        <v>0</v>
      </c>
      <c r="K46" s="80">
        <v>4294.6899999999996</v>
      </c>
      <c r="L46" s="186">
        <f>K46-G46</f>
        <v>3.5500000003594323E-3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2061.8900000000003</v>
      </c>
      <c r="C49" s="116">
        <v>7.4999999999999997E-3</v>
      </c>
      <c r="D49" s="117">
        <f t="shared" si="17"/>
        <v>15.464175000000003</v>
      </c>
      <c r="E49" s="172">
        <v>0</v>
      </c>
      <c r="F49" s="117">
        <f t="shared" si="15"/>
        <v>0</v>
      </c>
      <c r="G49" s="117">
        <f t="shared" si="16"/>
        <v>2046.4258250000003</v>
      </c>
      <c r="H49" s="173">
        <f t="shared" si="19"/>
        <v>44788</v>
      </c>
      <c r="I49" s="176">
        <v>2061.89</v>
      </c>
      <c r="J49" s="81">
        <f t="shared" si="0"/>
        <v>0</v>
      </c>
      <c r="K49" s="80"/>
      <c r="L49" s="186">
        <f t="shared" si="18"/>
        <v>2046.4258250000003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381.04</v>
      </c>
      <c r="C50" s="116">
        <v>7.4999999999999997E-3</v>
      </c>
      <c r="D50" s="117">
        <f t="shared" si="17"/>
        <v>2.8578000000000001</v>
      </c>
      <c r="E50" s="172">
        <v>0</v>
      </c>
      <c r="F50" s="117">
        <f t="shared" si="15"/>
        <v>0</v>
      </c>
      <c r="G50" s="117">
        <f t="shared" si="16"/>
        <v>378.18220000000002</v>
      </c>
      <c r="H50" s="173">
        <f t="shared" si="19"/>
        <v>44788</v>
      </c>
      <c r="I50" s="175">
        <v>538.9</v>
      </c>
      <c r="J50" s="81">
        <f t="shared" si="0"/>
        <v>-157.85999999999996</v>
      </c>
      <c r="K50" s="80">
        <v>378.18</v>
      </c>
      <c r="L50" s="186">
        <f t="shared" si="18"/>
        <v>2.200000000016189E-3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157.86000000000001</v>
      </c>
      <c r="C51" s="116">
        <v>1.4999999999999999E-2</v>
      </c>
      <c r="D51" s="117">
        <f>+B51*C51</f>
        <v>2.3679000000000001</v>
      </c>
      <c r="E51" s="172">
        <v>0</v>
      </c>
      <c r="F51" s="117">
        <f>D51*E51</f>
        <v>0</v>
      </c>
      <c r="G51" s="117">
        <f t="shared" si="16"/>
        <v>155.49210000000002</v>
      </c>
      <c r="H51" s="173">
        <f t="shared" si="19"/>
        <v>44788</v>
      </c>
      <c r="I51" s="175"/>
      <c r="J51" s="81">
        <f t="shared" si="0"/>
        <v>157.86000000000001</v>
      </c>
      <c r="K51" s="80">
        <v>155.49</v>
      </c>
      <c r="L51" s="186">
        <f t="shared" si="18"/>
        <v>2.1000000000128694E-3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224.59</v>
      </c>
      <c r="C52" s="116">
        <v>2.5000000000000001E-2</v>
      </c>
      <c r="D52" s="117">
        <f>B52*C52</f>
        <v>5.6147500000000008</v>
      </c>
      <c r="E52" s="172">
        <v>0.05</v>
      </c>
      <c r="F52" s="117">
        <f>(B52/E$10)*E52</f>
        <v>9.6806034482758641</v>
      </c>
      <c r="G52" s="117">
        <f>B52-D52-F52</f>
        <v>209.29464655172416</v>
      </c>
      <c r="H52" s="188">
        <f t="shared" si="19"/>
        <v>44788</v>
      </c>
      <c r="I52" s="176">
        <v>224.59</v>
      </c>
      <c r="J52" s="81">
        <f t="shared" si="0"/>
        <v>0</v>
      </c>
      <c r="K52" s="80"/>
      <c r="L52" s="186">
        <f>K52-G52</f>
        <v>-209.29464655172416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44788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44790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44792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58.758174999999994</v>
      </c>
      <c r="E61" s="177"/>
      <c r="F61" s="57">
        <f>SUM(F46:F58)</f>
        <v>9.6806034482758641</v>
      </c>
      <c r="G61" s="57">
        <f>SUM(G46:G58)</f>
        <v>7084.0812215517244</v>
      </c>
      <c r="H61" s="173">
        <f t="shared" si="19"/>
        <v>44788</v>
      </c>
      <c r="I61" s="175"/>
      <c r="J61" s="81">
        <f t="shared" si="0"/>
        <v>0</v>
      </c>
      <c r="K61" s="80"/>
      <c r="L61" s="186">
        <f t="shared" si="18"/>
        <v>7084.0812215517244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14168.162443103449</v>
      </c>
      <c r="H64" s="184"/>
      <c r="I64" s="175"/>
      <c r="J64" s="81">
        <f t="shared" si="0"/>
        <v>0</v>
      </c>
      <c r="K64" s="80"/>
      <c r="L64" s="186">
        <f t="shared" si="18"/>
        <v>14168.162443103449</v>
      </c>
      <c r="M64" s="130"/>
      <c r="N64" s="87">
        <v>1</v>
      </c>
      <c r="O64" s="122" t="s">
        <v>175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11946.006540000002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13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11913.29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11823.06</v>
      </c>
      <c r="C69" s="59"/>
      <c r="F69" s="87" t="s">
        <v>129</v>
      </c>
      <c r="G69" s="22"/>
      <c r="H69" s="89"/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90.230000000001382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172</v>
      </c>
      <c r="P70" s="228">
        <v>776</v>
      </c>
      <c r="Q70" s="228">
        <v>2002</v>
      </c>
      <c r="R70" s="255">
        <v>768.47</v>
      </c>
      <c r="S70" s="228"/>
      <c r="T70" s="256"/>
      <c r="U70" s="189" t="s">
        <v>166</v>
      </c>
      <c r="V70" s="189">
        <f t="shared" ref="V70:V74" si="34">R70*V$10</f>
        <v>5.7635249999999996</v>
      </c>
      <c r="W70" s="189">
        <f t="shared" ref="W70:W74" si="35">+S70*V$10</f>
        <v>0</v>
      </c>
      <c r="X70" s="189">
        <f t="shared" ref="X70:X74" si="36">+T70*X$10</f>
        <v>0</v>
      </c>
      <c r="Y70" s="189">
        <f t="shared" ref="Y70:Z74" si="37">R70-V70</f>
        <v>762.70647500000007</v>
      </c>
      <c r="Z70" s="189">
        <f t="shared" si="37"/>
        <v>0</v>
      </c>
      <c r="AA70" s="189" t="e">
        <f t="shared" ref="AA70:AA74" si="38">T70-U70-X70</f>
        <v>#VALUE!</v>
      </c>
      <c r="AB70" s="87"/>
    </row>
    <row r="71" spans="1:30" ht="28.5" customHeight="1" thickBot="1" x14ac:dyDescent="0.3">
      <c r="A71" s="25" t="s">
        <v>57</v>
      </c>
      <c r="B71" s="252">
        <f>B65-B68</f>
        <v>32.71654000000126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172</v>
      </c>
      <c r="P71" s="228">
        <v>777</v>
      </c>
      <c r="Q71" s="228">
        <v>2002</v>
      </c>
      <c r="R71" s="255">
        <v>625.73</v>
      </c>
      <c r="S71" s="228"/>
      <c r="T71" s="256"/>
      <c r="U71" s="189">
        <f t="shared" ref="U71:U74" si="39">((T71/U$10)*U$9)</f>
        <v>0</v>
      </c>
      <c r="V71" s="189">
        <f t="shared" si="34"/>
        <v>4.6929749999999997</v>
      </c>
      <c r="W71" s="189">
        <f t="shared" si="35"/>
        <v>0</v>
      </c>
      <c r="X71" s="189">
        <f t="shared" si="36"/>
        <v>0</v>
      </c>
      <c r="Y71" s="189">
        <f t="shared" si="37"/>
        <v>621.03702499999997</v>
      </c>
      <c r="Z71" s="189">
        <f t="shared" si="37"/>
        <v>0</v>
      </c>
      <c r="AA71" s="189">
        <f t="shared" si="38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>
        <v>784</v>
      </c>
      <c r="Q72" s="228">
        <v>2001</v>
      </c>
      <c r="R72" s="255">
        <v>667.69</v>
      </c>
      <c r="S72" s="228"/>
      <c r="T72" s="228"/>
      <c r="U72" s="189">
        <f t="shared" si="39"/>
        <v>0</v>
      </c>
      <c r="V72" s="189">
        <f t="shared" si="34"/>
        <v>5.0076749999999999</v>
      </c>
      <c r="W72" s="189">
        <f t="shared" si="35"/>
        <v>0</v>
      </c>
      <c r="X72" s="189">
        <f t="shared" si="36"/>
        <v>0</v>
      </c>
      <c r="Y72" s="189">
        <f t="shared" si="37"/>
        <v>662.68232500000011</v>
      </c>
      <c r="Z72" s="189">
        <f t="shared" si="37"/>
        <v>0</v>
      </c>
      <c r="AA72" s="189">
        <f t="shared" si="38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/>
      <c r="Q73" s="228"/>
      <c r="R73" s="255"/>
      <c r="S73" s="228"/>
      <c r="T73" s="228"/>
      <c r="U73" s="189">
        <f t="shared" si="39"/>
        <v>0</v>
      </c>
      <c r="V73" s="189">
        <f t="shared" si="34"/>
        <v>0</v>
      </c>
      <c r="W73" s="189">
        <f t="shared" si="35"/>
        <v>0</v>
      </c>
      <c r="X73" s="189">
        <f t="shared" si="36"/>
        <v>0</v>
      </c>
      <c r="Y73" s="189">
        <f t="shared" si="37"/>
        <v>0</v>
      </c>
      <c r="Z73" s="189">
        <f t="shared" si="37"/>
        <v>0</v>
      </c>
      <c r="AA73" s="189">
        <f t="shared" si="38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/>
      <c r="Q74" s="228"/>
      <c r="R74" s="255"/>
      <c r="S74" s="228"/>
      <c r="T74" s="228"/>
      <c r="U74" s="189">
        <f t="shared" si="39"/>
        <v>0</v>
      </c>
      <c r="V74" s="189">
        <f t="shared" si="34"/>
        <v>0</v>
      </c>
      <c r="W74" s="189">
        <f t="shared" si="35"/>
        <v>0</v>
      </c>
      <c r="X74" s="189">
        <f t="shared" si="36"/>
        <v>0</v>
      </c>
      <c r="Y74" s="189">
        <f t="shared" si="37"/>
        <v>0</v>
      </c>
      <c r="Z74" s="189">
        <f t="shared" si="37"/>
        <v>0</v>
      </c>
      <c r="AA74" s="189">
        <f t="shared" si="38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2061.8900000000003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15.464174999999997</v>
      </c>
      <c r="W75" s="192">
        <f t="shared" si="41"/>
        <v>0</v>
      </c>
      <c r="X75" s="192">
        <f t="shared" si="41"/>
        <v>0</v>
      </c>
      <c r="Y75" s="192">
        <f t="shared" si="41"/>
        <v>2046.4258250000003</v>
      </c>
      <c r="Z75" s="192">
        <f t="shared" si="41"/>
        <v>0</v>
      </c>
      <c r="AA75" s="193" t="e">
        <f t="shared" si="41"/>
        <v>#VALUE!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59.37+100.43+179.8</f>
        <v>339.6</v>
      </c>
      <c r="R78" s="82">
        <v>7.4999999999999997E-3</v>
      </c>
      <c r="S78" s="194">
        <f>+(P78+Q78)*R78</f>
        <v>2.5470000000000002</v>
      </c>
      <c r="T78" s="253">
        <f>+(P78+Q78)-S78</f>
        <v>337.053</v>
      </c>
      <c r="U78" s="211">
        <f>33.18+59.87</f>
        <v>93.05</v>
      </c>
      <c r="V78" s="112"/>
      <c r="W78" s="113">
        <v>1.4999999999999999E-2</v>
      </c>
      <c r="X78" s="196">
        <f>+(U78+V78)*W78</f>
        <v>1.3957499999999998</v>
      </c>
      <c r="Y78" s="246">
        <f>+(U78+V78)-X78</f>
        <v>91.65424999999999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378.18</v>
      </c>
      <c r="N79" s="87">
        <v>2</v>
      </c>
      <c r="O79" s="87" t="s">
        <v>112</v>
      </c>
      <c r="P79" s="137"/>
      <c r="Q79" s="137">
        <f>41.44</f>
        <v>41.44</v>
      </c>
      <c r="R79" s="82">
        <v>7.4999999999999997E-3</v>
      </c>
      <c r="S79" s="194">
        <f t="shared" ref="S79:S97" si="43">+(P79+Q79)*R79</f>
        <v>0.31079999999999997</v>
      </c>
      <c r="T79" s="253">
        <f t="shared" ref="T79:T97" si="44">+(P79+Q79)-S79</f>
        <v>41.129199999999997</v>
      </c>
      <c r="U79" s="211">
        <f>64.81</f>
        <v>64.81</v>
      </c>
      <c r="V79" s="112"/>
      <c r="W79" s="113">
        <v>1.4999999999999999E-2</v>
      </c>
      <c r="X79" s="196">
        <f t="shared" ref="X79:X97" si="45">+(U79+V79)*W79</f>
        <v>0.97214999999999996</v>
      </c>
      <c r="Y79" s="246">
        <f t="shared" ref="Y79:Y97" si="46">+(U79+V79)-X79</f>
        <v>63.837850000000003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3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378.18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381.04</v>
      </c>
      <c r="R98" s="111"/>
      <c r="S98" s="195">
        <f>SUM(S78:S97)</f>
        <v>2.8578000000000001</v>
      </c>
      <c r="T98" s="195">
        <f>SUM(T78:T97)</f>
        <v>378.18219999999997</v>
      </c>
      <c r="U98" s="114">
        <f>SUM(U78:U97)</f>
        <v>157.86000000000001</v>
      </c>
      <c r="V98" s="114">
        <f>SUM(V78:V97)</f>
        <v>0</v>
      </c>
      <c r="W98" s="112"/>
      <c r="X98" s="197">
        <f>SUM(X78:X97)</f>
        <v>2.3678999999999997</v>
      </c>
      <c r="Y98" s="197">
        <f>SUM(Y78:Y97)</f>
        <v>155.49209999999999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P78+U78+Q78</f>
        <v>432.65000000000003</v>
      </c>
    </row>
    <row r="103" spans="14:30" x14ac:dyDescent="0.25">
      <c r="N103" s="85"/>
      <c r="Q103" s="215">
        <f>P79+Q79+U79</f>
        <v>106.25</v>
      </c>
    </row>
    <row r="104" spans="14:30" x14ac:dyDescent="0.25">
      <c r="N104" s="85"/>
      <c r="Q104" s="215">
        <f>Q81+P81+U81</f>
        <v>0</v>
      </c>
    </row>
    <row r="105" spans="14:30" x14ac:dyDescent="0.25">
      <c r="N105" s="85"/>
      <c r="Q105" s="215">
        <f>P82+Q82+U82</f>
        <v>0</v>
      </c>
    </row>
    <row r="106" spans="14:30" x14ac:dyDescent="0.25">
      <c r="N106" s="85"/>
      <c r="Q106" s="215">
        <f>P83+Q83+U83</f>
        <v>0</v>
      </c>
    </row>
    <row r="107" spans="14:30" x14ac:dyDescent="0.25">
      <c r="N107" s="85"/>
      <c r="Q107" s="215">
        <f>P80+Q80+U80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5" priority="1" operator="greaterThan">
      <formula>0</formula>
    </cfRule>
    <cfRule type="cellIs" dxfId="3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44" zoomScale="90" zoomScaleNormal="90" workbookViewId="0">
      <selection activeCell="K50" sqref="K5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29" width="15.140625" style="85" customWidth="1"/>
    <col min="30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44788</v>
      </c>
      <c r="D6" s="85" t="s">
        <v>23</v>
      </c>
      <c r="E6" s="8" t="s">
        <v>165</v>
      </c>
      <c r="F6" s="9"/>
      <c r="G6" s="9"/>
    </row>
    <row r="8" spans="1:28" x14ac:dyDescent="0.25">
      <c r="A8" s="7" t="s">
        <v>77</v>
      </c>
      <c r="B8" s="108">
        <v>5.98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494+299.5+371.5+1</f>
        <v>1166</v>
      </c>
      <c r="C12" s="15"/>
      <c r="D12" s="56"/>
      <c r="E12" s="16"/>
      <c r="F12" s="56"/>
      <c r="G12" s="56"/>
      <c r="H12" s="17"/>
      <c r="I12" s="83">
        <v>1166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221</v>
      </c>
      <c r="P12" s="153">
        <v>245</v>
      </c>
      <c r="Q12" s="153">
        <v>2001</v>
      </c>
      <c r="R12" s="154">
        <v>512.32000000000005</v>
      </c>
      <c r="S12" s="155"/>
      <c r="T12" s="155"/>
      <c r="U12" s="189">
        <f>((T12/U$10)*U$9)</f>
        <v>0</v>
      </c>
      <c r="V12" s="189">
        <f>R12*V$10</f>
        <v>3.8424</v>
      </c>
      <c r="W12" s="189">
        <f>+S12*V$10</f>
        <v>0</v>
      </c>
      <c r="X12" s="189">
        <f>+T12*X$10</f>
        <v>0</v>
      </c>
      <c r="Y12" s="189">
        <f>R12-V12</f>
        <v>508.47760000000005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f>5+86+44+117</f>
        <v>252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252</v>
      </c>
      <c r="K13" s="75"/>
      <c r="L13" s="186">
        <f t="shared" ref="L13:L44" si="1">+G13-K13</f>
        <v>0</v>
      </c>
      <c r="M13" s="106"/>
      <c r="N13" s="104">
        <v>2</v>
      </c>
      <c r="O13" s="152" t="s">
        <v>221</v>
      </c>
      <c r="P13" s="153">
        <v>290</v>
      </c>
      <c r="Q13" s="153">
        <v>2001</v>
      </c>
      <c r="R13" s="154">
        <v>101.48</v>
      </c>
      <c r="S13" s="155"/>
      <c r="T13" s="157">
        <v>19.82</v>
      </c>
      <c r="U13" s="189">
        <f t="shared" ref="U13:U41" si="2">((T13/U$10)*U$9)</f>
        <v>0.85431034482758639</v>
      </c>
      <c r="V13" s="189">
        <f t="shared" ref="V13:V41" si="3">R13*V$10</f>
        <v>0.7611</v>
      </c>
      <c r="W13" s="189">
        <f t="shared" ref="W13:W41" si="4">+S13*V$10</f>
        <v>0</v>
      </c>
      <c r="X13" s="189">
        <f t="shared" ref="X13:X41" si="5">+T13*X$10</f>
        <v>0.49550000000000005</v>
      </c>
      <c r="Y13" s="189">
        <f t="shared" ref="Y13:Z41" si="6">R13-V13</f>
        <v>100.7189</v>
      </c>
      <c r="Z13" s="189">
        <f t="shared" si="6"/>
        <v>0</v>
      </c>
      <c r="AA13" s="189">
        <f t="shared" ref="AA13:AA41" si="7">T13-U13-X13</f>
        <v>18.470189655172415</v>
      </c>
      <c r="AB13" s="156"/>
    </row>
    <row r="14" spans="1:28" ht="15.75" x14ac:dyDescent="0.25">
      <c r="A14" s="86" t="s">
        <v>83</v>
      </c>
      <c r="B14" s="57">
        <f>B13*B8</f>
        <v>1506.96</v>
      </c>
      <c r="C14" s="15"/>
      <c r="D14" s="56"/>
      <c r="E14" s="16"/>
      <c r="F14" s="56"/>
      <c r="G14" s="56"/>
      <c r="H14" s="17"/>
      <c r="I14" s="83"/>
      <c r="J14" s="81">
        <f t="shared" si="0"/>
        <v>1506.96</v>
      </c>
      <c r="K14" s="80"/>
      <c r="L14" s="186">
        <f t="shared" si="1"/>
        <v>0</v>
      </c>
      <c r="M14" s="107"/>
      <c r="N14" s="104">
        <v>3</v>
      </c>
      <c r="O14" s="152" t="s">
        <v>221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221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221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252</v>
      </c>
      <c r="C19" s="95"/>
      <c r="D19" s="94"/>
      <c r="E19" s="96"/>
      <c r="F19" s="94"/>
      <c r="G19" s="94"/>
      <c r="H19" s="98"/>
      <c r="I19" s="99">
        <v>252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1506.96</v>
      </c>
      <c r="C20" s="95"/>
      <c r="D20" s="94"/>
      <c r="E20" s="96"/>
      <c r="F20" s="94"/>
      <c r="G20" s="94"/>
      <c r="H20" s="98"/>
      <c r="I20" s="99">
        <v>1506.96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f>28.73+4.43</f>
        <v>33.159999999999997</v>
      </c>
      <c r="C37" s="100"/>
      <c r="D37" s="66"/>
      <c r="E37" s="67"/>
      <c r="F37" s="66"/>
      <c r="G37" s="66"/>
      <c r="H37" s="102"/>
      <c r="I37" s="79"/>
      <c r="J37" s="81">
        <f t="shared" si="0"/>
        <v>33.159999999999997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198.29679999999999</v>
      </c>
      <c r="C38" s="100"/>
      <c r="D38" s="66"/>
      <c r="E38" s="67"/>
      <c r="F38" s="66"/>
      <c r="G38" s="66"/>
      <c r="H38" s="102"/>
      <c r="I38" s="79"/>
      <c r="J38" s="81">
        <f t="shared" si="0"/>
        <v>198.29679999999999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613.80000000000007</v>
      </c>
      <c r="S42" s="190">
        <f t="shared" si="8"/>
        <v>0</v>
      </c>
      <c r="T42" s="190">
        <f t="shared" si="8"/>
        <v>19.82</v>
      </c>
      <c r="U42" s="190">
        <f t="shared" si="8"/>
        <v>0.85431034482758639</v>
      </c>
      <c r="V42" s="190">
        <f t="shared" si="8"/>
        <v>4.6035000000000004</v>
      </c>
      <c r="W42" s="190">
        <f t="shared" si="8"/>
        <v>0</v>
      </c>
      <c r="X42" s="190">
        <f t="shared" si="8"/>
        <v>0.49550000000000005</v>
      </c>
      <c r="Y42" s="190">
        <f t="shared" si="8"/>
        <v>609.19650000000001</v>
      </c>
      <c r="Z42" s="190">
        <f t="shared" si="8"/>
        <v>0</v>
      </c>
      <c r="AA42" s="190">
        <f t="shared" si="8"/>
        <v>18.470189655172415</v>
      </c>
      <c r="AB42" s="166"/>
    </row>
    <row r="43" spans="1:28" ht="15.75" x14ac:dyDescent="0.25">
      <c r="A43" s="93" t="s">
        <v>103</v>
      </c>
      <c r="B43" s="97">
        <f>+B37+B39+B41</f>
        <v>33.159999999999997</v>
      </c>
      <c r="C43" s="95"/>
      <c r="D43" s="94"/>
      <c r="E43" s="96"/>
      <c r="F43" s="94"/>
      <c r="G43" s="94"/>
      <c r="H43" s="98"/>
      <c r="I43" s="99">
        <v>33.159999999999997</v>
      </c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198.29679999999999</v>
      </c>
      <c r="C44" s="95"/>
      <c r="D44" s="94"/>
      <c r="E44" s="96"/>
      <c r="F44" s="94"/>
      <c r="G44" s="94"/>
      <c r="H44" s="98"/>
      <c r="I44" s="99"/>
      <c r="J44" s="185">
        <f t="shared" si="0"/>
        <v>198.29679999999999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613.80000000000007</v>
      </c>
      <c r="C46" s="116">
        <v>7.4999999999999997E-3</v>
      </c>
      <c r="D46" s="117">
        <f>B46*C46</f>
        <v>4.6035000000000004</v>
      </c>
      <c r="E46" s="172">
        <v>0</v>
      </c>
      <c r="F46" s="117">
        <f t="shared" ref="F46:F50" si="15">D46*E46</f>
        <v>0</v>
      </c>
      <c r="G46" s="117">
        <f t="shared" ref="G46:G51" si="16">B46-D46-F46</f>
        <v>609.19650000000001</v>
      </c>
      <c r="H46" s="173">
        <f>B$6+1</f>
        <v>44789</v>
      </c>
      <c r="I46" s="174">
        <v>613.79999999999995</v>
      </c>
      <c r="J46" s="81">
        <f t="shared" si="0"/>
        <v>0</v>
      </c>
      <c r="K46" s="80">
        <f>100.72+508.48</f>
        <v>609.20000000000005</v>
      </c>
      <c r="L46" s="186">
        <f>K46-G46</f>
        <v>3.5000000000309228E-3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44789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44789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250</v>
      </c>
      <c r="B49" s="117">
        <f>R75</f>
        <v>4585.49</v>
      </c>
      <c r="C49" s="116">
        <v>7.4999999999999997E-3</v>
      </c>
      <c r="D49" s="117">
        <f t="shared" si="17"/>
        <v>34.391174999999997</v>
      </c>
      <c r="E49" s="172">
        <v>0</v>
      </c>
      <c r="F49" s="117">
        <f t="shared" si="15"/>
        <v>0</v>
      </c>
      <c r="G49" s="117">
        <f t="shared" si="16"/>
        <v>4551.098825</v>
      </c>
      <c r="H49" s="173">
        <f t="shared" si="19"/>
        <v>44789</v>
      </c>
      <c r="I49" s="176">
        <v>4585.49</v>
      </c>
      <c r="J49" s="81">
        <f t="shared" si="0"/>
        <v>0</v>
      </c>
      <c r="K49" s="80">
        <v>4551.1000000000004</v>
      </c>
      <c r="L49" s="186">
        <f t="shared" si="18"/>
        <v>-1.1750000003303285E-3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390.14</v>
      </c>
      <c r="C50" s="116">
        <v>7.4999999999999997E-3</v>
      </c>
      <c r="D50" s="117">
        <f t="shared" si="17"/>
        <v>2.9260499999999996</v>
      </c>
      <c r="E50" s="172">
        <v>0</v>
      </c>
      <c r="F50" s="117">
        <f t="shared" si="15"/>
        <v>0</v>
      </c>
      <c r="G50" s="117">
        <f t="shared" si="16"/>
        <v>387.21395000000001</v>
      </c>
      <c r="H50" s="173">
        <f t="shared" si="19"/>
        <v>44789</v>
      </c>
      <c r="I50" s="175">
        <v>888.46</v>
      </c>
      <c r="J50" s="81">
        <f t="shared" si="0"/>
        <v>-498.32000000000005</v>
      </c>
      <c r="K50" s="80">
        <v>387.21</v>
      </c>
      <c r="L50" s="186">
        <f t="shared" si="18"/>
        <v>3.9500000000316504E-3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498.26</v>
      </c>
      <c r="C51" s="116">
        <v>1.4999999999999999E-2</v>
      </c>
      <c r="D51" s="117">
        <f>+B51*C51</f>
        <v>7.4738999999999995</v>
      </c>
      <c r="E51" s="172">
        <v>0</v>
      </c>
      <c r="F51" s="117">
        <f>D51*E51</f>
        <v>0</v>
      </c>
      <c r="G51" s="117">
        <f t="shared" si="16"/>
        <v>490.78609999999998</v>
      </c>
      <c r="H51" s="173">
        <f t="shared" si="19"/>
        <v>44789</v>
      </c>
      <c r="I51" s="175"/>
      <c r="J51" s="81">
        <f t="shared" si="0"/>
        <v>498.26</v>
      </c>
      <c r="K51" s="80">
        <v>490.79</v>
      </c>
      <c r="L51" s="186">
        <f t="shared" si="18"/>
        <v>-3.9000000000442014E-3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19.82</v>
      </c>
      <c r="C52" s="116">
        <v>2.5000000000000001E-2</v>
      </c>
      <c r="D52" s="117">
        <f>B52*C52</f>
        <v>0.49550000000000005</v>
      </c>
      <c r="E52" s="172">
        <v>0.05</v>
      </c>
      <c r="F52" s="117">
        <f>(B52/E$10)*E52</f>
        <v>0.85431034482758639</v>
      </c>
      <c r="G52" s="117">
        <f>B52-D52-F52</f>
        <v>18.470189655172415</v>
      </c>
      <c r="H52" s="188">
        <f t="shared" si="19"/>
        <v>44789</v>
      </c>
      <c r="I52" s="176">
        <v>19.82</v>
      </c>
      <c r="J52" s="81">
        <f t="shared" si="0"/>
        <v>0</v>
      </c>
      <c r="K52" s="80"/>
      <c r="L52" s="186">
        <f>K52-G52</f>
        <v>-18.470189655172415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44789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44789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44789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44789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44791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44793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44818</v>
      </c>
      <c r="I60" s="175"/>
      <c r="J60" s="81">
        <f t="shared" si="0"/>
        <v>0</v>
      </c>
      <c r="K60" s="80"/>
      <c r="L60" s="186"/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49.890124999999998</v>
      </c>
      <c r="E61" s="177"/>
      <c r="F61" s="57">
        <f>SUM(F46:F58)</f>
        <v>0.85431034482758639</v>
      </c>
      <c r="G61" s="57">
        <f>SUM(G46:G58)</f>
        <v>6056.765564655173</v>
      </c>
      <c r="H61" s="173">
        <f t="shared" si="19"/>
        <v>44789</v>
      </c>
      <c r="I61" s="175"/>
      <c r="J61" s="81">
        <f t="shared" si="0"/>
        <v>0</v>
      </c>
      <c r="K61" s="80"/>
      <c r="L61" s="186">
        <f t="shared" si="18"/>
        <v>6056.765564655173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44789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12113.531129310346</v>
      </c>
      <c r="H64" s="184"/>
      <c r="I64" s="175"/>
      <c r="J64" s="81">
        <f t="shared" si="0"/>
        <v>0</v>
      </c>
      <c r="K64" s="80"/>
      <c r="L64" s="186">
        <f t="shared" si="18"/>
        <v>12113.531129310346</v>
      </c>
      <c r="M64" s="130"/>
      <c r="N64" s="87">
        <v>1</v>
      </c>
      <c r="O64" s="122" t="s">
        <v>195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8978.7667999999994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8971.82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8928.5499999999993</v>
      </c>
      <c r="C69" s="59"/>
      <c r="F69" s="87" t="s">
        <v>129</v>
      </c>
      <c r="G69" s="22">
        <f>+G46</f>
        <v>609.19650000000001</v>
      </c>
      <c r="H69" s="89">
        <f>+G52</f>
        <v>18.470189655172415</v>
      </c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43.270000000000437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182</v>
      </c>
      <c r="P70" s="228">
        <v>778</v>
      </c>
      <c r="Q70" s="228">
        <v>2002</v>
      </c>
      <c r="R70" s="262">
        <v>1768.31</v>
      </c>
      <c r="S70" s="261"/>
      <c r="T70" s="261"/>
      <c r="U70" s="189">
        <f t="shared" ref="U70:U74" si="34">((T70/U$10)*U$9)</f>
        <v>0</v>
      </c>
      <c r="V70" s="189">
        <f t="shared" ref="V70:V74" si="35">R70*V$10</f>
        <v>13.262324999999999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1755.047675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6.9467999999997119</v>
      </c>
      <c r="C71" s="64"/>
      <c r="F71" s="87" t="s">
        <v>131</v>
      </c>
      <c r="G71" s="137"/>
      <c r="H71" s="87"/>
      <c r="I71" s="81">
        <f>+I69-G69-G70-G71-G72-G73</f>
        <v>-609.19650000000001</v>
      </c>
      <c r="J71" s="81">
        <f>+J69-H69-H70-H71-H72-H73</f>
        <v>-18.470189655172415</v>
      </c>
      <c r="N71" s="87">
        <v>2</v>
      </c>
      <c r="O71" s="122" t="s">
        <v>182</v>
      </c>
      <c r="P71" s="158">
        <v>785</v>
      </c>
      <c r="Q71" s="158">
        <v>2001</v>
      </c>
      <c r="R71" s="262">
        <v>1094.7</v>
      </c>
      <c r="S71" s="261"/>
      <c r="T71" s="261"/>
      <c r="U71" s="189">
        <f t="shared" si="34"/>
        <v>0</v>
      </c>
      <c r="V71" s="189">
        <f t="shared" si="35"/>
        <v>8.2102500000000003</v>
      </c>
      <c r="W71" s="189">
        <f t="shared" si="36"/>
        <v>0</v>
      </c>
      <c r="X71" s="189">
        <f t="shared" si="37"/>
        <v>0</v>
      </c>
      <c r="Y71" s="189">
        <f t="shared" si="38"/>
        <v>1086.48975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>
        <v>786</v>
      </c>
      <c r="Q72" s="228">
        <v>2001</v>
      </c>
      <c r="R72" s="262">
        <v>1722.48</v>
      </c>
      <c r="S72" s="261"/>
      <c r="T72" s="261"/>
      <c r="U72" s="189">
        <f t="shared" si="34"/>
        <v>0</v>
      </c>
      <c r="V72" s="189">
        <f t="shared" si="35"/>
        <v>12.9186</v>
      </c>
      <c r="W72" s="189">
        <f t="shared" si="36"/>
        <v>0</v>
      </c>
      <c r="X72" s="189">
        <f t="shared" si="37"/>
        <v>0</v>
      </c>
      <c r="Y72" s="189">
        <f t="shared" si="38"/>
        <v>1709.5614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/>
      <c r="Q73" s="228"/>
      <c r="R73" s="262"/>
      <c r="S73" s="261"/>
      <c r="T73" s="261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609.19650000000001</v>
      </c>
      <c r="H74" s="89">
        <f t="shared" ref="H74" si="40">+H69+H70+H71+H72+H73</f>
        <v>18.470189655172415</v>
      </c>
      <c r="N74" s="87">
        <v>5</v>
      </c>
      <c r="O74" s="122" t="s">
        <v>182</v>
      </c>
      <c r="P74" s="228"/>
      <c r="Q74" s="228"/>
      <c r="R74" s="262"/>
      <c r="S74" s="261"/>
      <c r="T74" s="261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4585.49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34.391174999999997</v>
      </c>
      <c r="W75" s="192">
        <f t="shared" si="41"/>
        <v>0</v>
      </c>
      <c r="X75" s="192">
        <f t="shared" si="41"/>
        <v>0</v>
      </c>
      <c r="Y75" s="192">
        <f t="shared" si="41"/>
        <v>4551.098825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26.28+52.55</f>
        <v>78.83</v>
      </c>
      <c r="R78" s="82">
        <v>7.4999999999999997E-3</v>
      </c>
      <c r="S78" s="216">
        <f>+(P78+Q78)*R78</f>
        <v>0.591225</v>
      </c>
      <c r="T78" s="213">
        <f>+(P78+Q78)-S78</f>
        <v>78.238775000000004</v>
      </c>
      <c r="U78" s="211">
        <f>136.78</f>
        <v>136.78</v>
      </c>
      <c r="V78" s="112"/>
      <c r="W78" s="113">
        <v>1.4999999999999999E-2</v>
      </c>
      <c r="X78" s="196">
        <f>+(U78+V78)*W78</f>
        <v>2.0516999999999999</v>
      </c>
      <c r="Y78" s="246">
        <f>+(U78+V78)-X78</f>
        <v>134.72829999999999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87">
        <f>61.02+51.69+157.1+41.5</f>
        <v>311.31</v>
      </c>
      <c r="R79" s="82">
        <v>7.4999999999999997E-3</v>
      </c>
      <c r="S79" s="216">
        <f t="shared" ref="S79:S97" si="43">+(P79+Q79)*R79</f>
        <v>2.3348249999999999</v>
      </c>
      <c r="T79" s="213">
        <f t="shared" ref="T79:T97" si="44">+(P79+Q79)-S79</f>
        <v>308.97517499999998</v>
      </c>
      <c r="U79" s="211">
        <f>189.78+171.7</f>
        <v>361.48</v>
      </c>
      <c r="V79" s="112"/>
      <c r="W79" s="113">
        <v>1.4999999999999999E-2</v>
      </c>
      <c r="X79" s="196">
        <f t="shared" ref="X79:X97" si="45">+(U79+V79)*W79</f>
        <v>5.4222000000000001</v>
      </c>
      <c r="Y79" s="246">
        <f t="shared" ref="Y79:Y97" si="46">+(U79+V79)-X79</f>
        <v>356.05780000000004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46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58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216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58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23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137"/>
      <c r="R87" s="82">
        <v>7.4999999999999997E-3</v>
      </c>
      <c r="S87" s="194">
        <f t="shared" si="43"/>
        <v>0</v>
      </c>
      <c r="T87" s="219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220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220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220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220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220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220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390.14</v>
      </c>
      <c r="R98" s="111"/>
      <c r="S98" s="195">
        <f>SUM(S78:S97)</f>
        <v>2.92605</v>
      </c>
      <c r="T98" s="195">
        <f>SUM(T78:T97)</f>
        <v>387.21394999999995</v>
      </c>
      <c r="U98" s="114">
        <f>SUM(U78:U97)</f>
        <v>498.26</v>
      </c>
      <c r="V98" s="114">
        <f>SUM(V78:V97)</f>
        <v>0</v>
      </c>
      <c r="W98" s="112"/>
      <c r="X98" s="197">
        <f>SUM(X78:X97)</f>
        <v>7.4739000000000004</v>
      </c>
      <c r="Y98" s="197">
        <f>SUM(Y78:Y97)</f>
        <v>490.78610000000003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R101" s="215">
        <f>P78+Q78+U78</f>
        <v>215.61</v>
      </c>
    </row>
    <row r="102" spans="14:30" x14ac:dyDescent="0.25">
      <c r="N102" s="85"/>
      <c r="R102" s="215">
        <f>P79+U79+Q79</f>
        <v>672.79</v>
      </c>
    </row>
    <row r="103" spans="14:30" x14ac:dyDescent="0.25">
      <c r="N103" s="85"/>
      <c r="R103" s="215">
        <f>P80+Q80+U80</f>
        <v>0</v>
      </c>
    </row>
    <row r="104" spans="14:30" x14ac:dyDescent="0.25">
      <c r="N104" s="85"/>
      <c r="R104" s="215">
        <f>P81+U81+Q81</f>
        <v>0</v>
      </c>
    </row>
    <row r="105" spans="14:30" x14ac:dyDescent="0.25">
      <c r="N105" s="85"/>
      <c r="R105" s="215">
        <f>P82+U82+Q82</f>
        <v>0</v>
      </c>
    </row>
    <row r="106" spans="14:30" x14ac:dyDescent="0.25">
      <c r="N106" s="85"/>
      <c r="R106" s="215">
        <f>P83+Q83+U83</f>
        <v>0</v>
      </c>
    </row>
    <row r="107" spans="14:30" x14ac:dyDescent="0.25">
      <c r="N107" s="85"/>
      <c r="R107" s="215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3" priority="1" operator="greaterThan">
      <formula>0</formula>
    </cfRule>
    <cfRule type="cellIs" dxfId="3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8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71093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44758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873.5</v>
      </c>
      <c r="C12" s="15"/>
      <c r="D12" s="56"/>
      <c r="E12" s="16"/>
      <c r="F12" s="56"/>
      <c r="G12" s="56"/>
      <c r="H12" s="17"/>
      <c r="I12" s="83">
        <v>873.5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728</v>
      </c>
      <c r="C13" s="15"/>
      <c r="D13" s="56"/>
      <c r="E13" s="16"/>
      <c r="F13" s="56"/>
      <c r="G13" s="56"/>
      <c r="H13" s="17"/>
      <c r="I13" s="83">
        <v>728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4149.6000000000004</v>
      </c>
      <c r="C14" s="15"/>
      <c r="D14" s="56"/>
      <c r="E14" s="16"/>
      <c r="F14" s="56"/>
      <c r="G14" s="56"/>
      <c r="H14" s="17"/>
      <c r="I14" s="83">
        <v>4149.6000000000004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728</v>
      </c>
      <c r="C19" s="95"/>
      <c r="D19" s="94"/>
      <c r="E19" s="96"/>
      <c r="F19" s="94"/>
      <c r="G19" s="94"/>
      <c r="H19" s="98"/>
      <c r="I19" s="99">
        <v>728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4149.6000000000004</v>
      </c>
      <c r="C20" s="95"/>
      <c r="D20" s="94"/>
      <c r="E20" s="96"/>
      <c r="F20" s="94"/>
      <c r="G20" s="94"/>
      <c r="H20" s="98"/>
      <c r="I20" s="99">
        <v>4149.6000000000004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8.5</v>
      </c>
      <c r="C37" s="100"/>
      <c r="D37" s="66"/>
      <c r="E37" s="67"/>
      <c r="F37" s="66"/>
      <c r="G37" s="66"/>
      <c r="H37" s="102"/>
      <c r="I37" s="79">
        <v>8.5</v>
      </c>
      <c r="J37" s="81">
        <f t="shared" si="0"/>
        <v>0</v>
      </c>
      <c r="K37" s="80"/>
      <c r="L37" s="186">
        <f>K37-B37</f>
        <v>-8.5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48.45</v>
      </c>
      <c r="C38" s="100"/>
      <c r="D38" s="66"/>
      <c r="E38" s="67"/>
      <c r="F38" s="66"/>
      <c r="G38" s="66"/>
      <c r="H38" s="102"/>
      <c r="I38" s="79">
        <v>48.45</v>
      </c>
      <c r="J38" s="81">
        <f t="shared" si="0"/>
        <v>0</v>
      </c>
      <c r="K38" s="80"/>
      <c r="L38" s="186">
        <f>K38-B38</f>
        <v>-48.45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8.5</v>
      </c>
      <c r="C43" s="95"/>
      <c r="D43" s="94"/>
      <c r="E43" s="96"/>
      <c r="F43" s="94"/>
      <c r="G43" s="94"/>
      <c r="H43" s="98"/>
      <c r="I43" s="99">
        <v>8.5</v>
      </c>
      <c r="J43" s="185">
        <f t="shared" si="0"/>
        <v>0</v>
      </c>
      <c r="K43" s="99"/>
      <c r="L43" s="187">
        <f>K43-B43</f>
        <v>-8.5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48.45</v>
      </c>
      <c r="C44" s="95"/>
      <c r="D44" s="94"/>
      <c r="E44" s="96"/>
      <c r="F44" s="94"/>
      <c r="G44" s="94"/>
      <c r="H44" s="98"/>
      <c r="I44" s="99">
        <v>48.45</v>
      </c>
      <c r="J44" s="185">
        <f t="shared" si="0"/>
        <v>0</v>
      </c>
      <c r="K44" s="99"/>
      <c r="L44" s="187">
        <f>K44-B44</f>
        <v>-48.45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44759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44759</v>
      </c>
      <c r="I47" s="216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44759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203</v>
      </c>
      <c r="B49" s="117">
        <f>R75</f>
        <v>5966.3099999999995</v>
      </c>
      <c r="C49" s="116">
        <v>7.4999999999999997E-3</v>
      </c>
      <c r="D49" s="117">
        <f t="shared" si="17"/>
        <v>44.747324999999996</v>
      </c>
      <c r="E49" s="172">
        <v>0</v>
      </c>
      <c r="F49" s="117">
        <f t="shared" si="15"/>
        <v>0</v>
      </c>
      <c r="G49" s="117">
        <f t="shared" si="16"/>
        <v>5921.5626749999992</v>
      </c>
      <c r="H49" s="173">
        <f t="shared" si="19"/>
        <v>44759</v>
      </c>
      <c r="I49" s="176">
        <f>344.73+5621.58</f>
        <v>5966.3099999999995</v>
      </c>
      <c r="J49" s="81">
        <f t="shared" si="0"/>
        <v>0</v>
      </c>
      <c r="K49" s="80">
        <v>5921.56</v>
      </c>
      <c r="L49" s="186">
        <f t="shared" si="18"/>
        <v>2.6749999988169293E-3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46.76</v>
      </c>
      <c r="C50" s="116">
        <v>7.4999999999999997E-3</v>
      </c>
      <c r="D50" s="117">
        <f t="shared" si="17"/>
        <v>0.35069999999999996</v>
      </c>
      <c r="E50" s="172">
        <v>0</v>
      </c>
      <c r="F50" s="117">
        <f t="shared" si="15"/>
        <v>0</v>
      </c>
      <c r="G50" s="117">
        <f t="shared" si="16"/>
        <v>46.409299999999995</v>
      </c>
      <c r="H50" s="173">
        <f t="shared" si="19"/>
        <v>44759</v>
      </c>
      <c r="I50" s="175"/>
      <c r="J50" s="81">
        <f t="shared" si="0"/>
        <v>46.76</v>
      </c>
      <c r="K50" s="80">
        <v>46.41</v>
      </c>
      <c r="L50" s="186">
        <f t="shared" si="18"/>
        <v>-7.0000000000192131E-4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121.1</v>
      </c>
      <c r="C51" s="116">
        <v>1.4999999999999999E-2</v>
      </c>
      <c r="D51" s="117">
        <f>+B51*C51</f>
        <v>1.8164999999999998</v>
      </c>
      <c r="E51" s="172">
        <v>0</v>
      </c>
      <c r="F51" s="117">
        <f>D51*E51</f>
        <v>0</v>
      </c>
      <c r="G51" s="117">
        <f t="shared" si="16"/>
        <v>119.28349999999999</v>
      </c>
      <c r="H51" s="173">
        <f t="shared" si="19"/>
        <v>44759</v>
      </c>
      <c r="I51" s="175">
        <v>167.86</v>
      </c>
      <c r="J51" s="81">
        <f t="shared" si="0"/>
        <v>-46.760000000000019</v>
      </c>
      <c r="K51" s="80">
        <v>119.28</v>
      </c>
      <c r="L51" s="186">
        <f t="shared" si="18"/>
        <v>3.4999999999882903E-3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44759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44759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44759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44759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4.96</v>
      </c>
      <c r="C56" s="116">
        <v>2.5000000000000001E-2</v>
      </c>
      <c r="D56" s="117">
        <f t="shared" si="20"/>
        <v>0.124</v>
      </c>
      <c r="E56" s="172">
        <v>0.05</v>
      </c>
      <c r="F56" s="117">
        <f t="shared" si="21"/>
        <v>0.2137931034482759</v>
      </c>
      <c r="G56" s="117">
        <f t="shared" si="22"/>
        <v>4.6222068965517247</v>
      </c>
      <c r="H56" s="173">
        <f t="shared" si="19"/>
        <v>44759</v>
      </c>
      <c r="I56" s="176">
        <v>4.96</v>
      </c>
      <c r="J56" s="81">
        <f t="shared" si="0"/>
        <v>0</v>
      </c>
      <c r="K56" s="80">
        <v>4.62</v>
      </c>
      <c r="L56" s="186">
        <f t="shared" si="18"/>
        <v>2.2068965517245687E-3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47.038525</v>
      </c>
      <c r="E61" s="177"/>
      <c r="F61" s="57">
        <f>SUM(F46:F58)</f>
        <v>0.2137931034482759</v>
      </c>
      <c r="G61" s="57">
        <f>SUM(G46:G58)</f>
        <v>6091.8776818965507</v>
      </c>
      <c r="H61" s="173">
        <f t="shared" si="19"/>
        <v>44759</v>
      </c>
      <c r="I61" s="175"/>
      <c r="J61" s="81">
        <f t="shared" si="0"/>
        <v>0</v>
      </c>
      <c r="K61" s="80"/>
      <c r="L61" s="186">
        <f t="shared" si="18"/>
        <v>6091.8776818965507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44759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12183.755363793101</v>
      </c>
      <c r="H64" s="184"/>
      <c r="I64" s="175"/>
      <c r="J64" s="81">
        <f t="shared" si="0"/>
        <v>0</v>
      </c>
      <c r="K64" s="80"/>
      <c r="L64" s="186">
        <f t="shared" si="18"/>
        <v>12183.755363793101</v>
      </c>
      <c r="M64" s="130"/>
      <c r="N64" s="87">
        <v>1</v>
      </c>
      <c r="O64" s="122" t="s">
        <v>175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11210.68</v>
      </c>
      <c r="G65" s="22"/>
      <c r="L65" s="132"/>
      <c r="M65" s="131"/>
      <c r="N65" s="87">
        <v>2</v>
      </c>
      <c r="O65" s="122" t="s">
        <v>195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11079.93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11188.02</v>
      </c>
      <c r="C69" s="59"/>
      <c r="F69" s="87" t="s">
        <v>129</v>
      </c>
      <c r="G69" s="22"/>
      <c r="H69" s="89"/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-108.09000000000015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222</v>
      </c>
      <c r="P70" s="228">
        <v>244</v>
      </c>
      <c r="Q70" s="228">
        <v>2001</v>
      </c>
      <c r="R70" s="255">
        <v>203.99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1.529925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202.46007500000002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22.659999999999854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223</v>
      </c>
      <c r="P71" s="228" t="s">
        <v>229</v>
      </c>
      <c r="Q71" s="228">
        <v>1001</v>
      </c>
      <c r="R71" s="255">
        <v>140.74</v>
      </c>
      <c r="S71" s="228"/>
      <c r="T71" s="256">
        <v>4.96</v>
      </c>
      <c r="U71" s="189">
        <f t="shared" si="34"/>
        <v>0.2137931034482759</v>
      </c>
      <c r="V71" s="189">
        <f t="shared" si="35"/>
        <v>1.05555</v>
      </c>
      <c r="W71" s="189">
        <f t="shared" si="36"/>
        <v>0</v>
      </c>
      <c r="X71" s="189">
        <f t="shared" si="37"/>
        <v>0.124</v>
      </c>
      <c r="Y71" s="189">
        <f t="shared" si="38"/>
        <v>139.68445</v>
      </c>
      <c r="Z71" s="189">
        <f t="shared" si="38"/>
        <v>0</v>
      </c>
      <c r="AA71" s="189">
        <f t="shared" si="39"/>
        <v>4.6222068965517247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 t="s">
        <v>232</v>
      </c>
      <c r="Q72" s="228">
        <v>2003</v>
      </c>
      <c r="R72" s="255">
        <f>481.95+1042.57</f>
        <v>1524.52</v>
      </c>
      <c r="S72" s="228"/>
      <c r="T72" s="228"/>
      <c r="U72" s="189">
        <f t="shared" si="34"/>
        <v>0</v>
      </c>
      <c r="V72" s="189">
        <f t="shared" si="35"/>
        <v>11.4339</v>
      </c>
      <c r="W72" s="189">
        <f t="shared" si="36"/>
        <v>0</v>
      </c>
      <c r="X72" s="189">
        <f t="shared" si="37"/>
        <v>0</v>
      </c>
      <c r="Y72" s="189">
        <f t="shared" si="38"/>
        <v>1513.0861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 t="s">
        <v>231</v>
      </c>
      <c r="Q73" s="228">
        <v>2003</v>
      </c>
      <c r="R73" s="255">
        <f>364.86+1204.5</f>
        <v>1569.3600000000001</v>
      </c>
      <c r="S73" s="228"/>
      <c r="T73" s="228"/>
      <c r="U73" s="189">
        <f t="shared" si="34"/>
        <v>0</v>
      </c>
      <c r="V73" s="189">
        <f t="shared" si="35"/>
        <v>11.770200000000001</v>
      </c>
      <c r="W73" s="189">
        <f t="shared" si="36"/>
        <v>0</v>
      </c>
      <c r="X73" s="189">
        <f t="shared" si="37"/>
        <v>0</v>
      </c>
      <c r="Y73" s="189">
        <f t="shared" si="38"/>
        <v>1557.5898000000002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 t="s">
        <v>230</v>
      </c>
      <c r="Q74" s="228">
        <v>2002</v>
      </c>
      <c r="R74" s="256">
        <f>1032.17+1495.53</f>
        <v>2527.6999999999998</v>
      </c>
      <c r="S74" s="228"/>
      <c r="T74" s="228"/>
      <c r="U74" s="189">
        <f t="shared" si="34"/>
        <v>0</v>
      </c>
      <c r="V74" s="189">
        <f t="shared" si="35"/>
        <v>18.957749999999997</v>
      </c>
      <c r="W74" s="189">
        <f t="shared" si="36"/>
        <v>0</v>
      </c>
      <c r="X74" s="189">
        <f t="shared" si="37"/>
        <v>0</v>
      </c>
      <c r="Y74" s="189">
        <f t="shared" si="38"/>
        <v>2508.7422499999998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5966.3099999999995</v>
      </c>
      <c r="S75" s="192"/>
      <c r="T75" s="192">
        <f>SUM(T70:T74)</f>
        <v>4.96</v>
      </c>
      <c r="U75" s="192">
        <f>SUM(U70:U74)</f>
        <v>0.2137931034482759</v>
      </c>
      <c r="V75" s="192">
        <f t="shared" ref="V75:AA75" si="41">SUM(V70:V74)</f>
        <v>44.747324999999996</v>
      </c>
      <c r="W75" s="192">
        <f t="shared" si="41"/>
        <v>0</v>
      </c>
      <c r="X75" s="192">
        <f t="shared" si="41"/>
        <v>0.124</v>
      </c>
      <c r="Y75" s="192">
        <f t="shared" si="41"/>
        <v>5921.5626750000001</v>
      </c>
      <c r="Z75" s="192">
        <f t="shared" si="41"/>
        <v>0</v>
      </c>
      <c r="AA75" s="193">
        <f t="shared" si="41"/>
        <v>4.6222068965517247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11</v>
      </c>
      <c r="Q79" s="137"/>
      <c r="R79" s="82">
        <v>7.4999999999999997E-3</v>
      </c>
      <c r="S79" s="194">
        <f t="shared" ref="S79:S97" si="43">+(P79+Q79)*R79</f>
        <v>8.249999999999999E-2</v>
      </c>
      <c r="T79" s="258">
        <f t="shared" ref="T79:T97" si="44">+(P79+Q79)-S79</f>
        <v>10.9175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25.19</v>
      </c>
      <c r="Q80" s="137"/>
      <c r="R80" s="82">
        <v>7.4999999999999997E-3</v>
      </c>
      <c r="S80" s="194">
        <f t="shared" si="43"/>
        <v>0.18892500000000001</v>
      </c>
      <c r="T80" s="258">
        <f t="shared" si="44"/>
        <v>25.001075</v>
      </c>
      <c r="U80" s="211">
        <v>89.36</v>
      </c>
      <c r="V80" s="112"/>
      <c r="W80" s="113">
        <v>1.4999999999999999E-2</v>
      </c>
      <c r="X80" s="196">
        <f t="shared" si="45"/>
        <v>1.3404</v>
      </c>
      <c r="Y80" s="246">
        <f t="shared" si="46"/>
        <v>88.019599999999997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10.57</v>
      </c>
      <c r="Q81" s="137"/>
      <c r="R81" s="82">
        <v>7.4999999999999997E-3</v>
      </c>
      <c r="S81" s="194">
        <f t="shared" si="43"/>
        <v>7.9274999999999998E-2</v>
      </c>
      <c r="T81" s="246">
        <f t="shared" si="44"/>
        <v>10.490724999999999</v>
      </c>
      <c r="U81" s="211">
        <v>31.74</v>
      </c>
      <c r="V81" s="112"/>
      <c r="W81" s="113">
        <v>1.4999999999999999E-2</v>
      </c>
      <c r="X81" s="196">
        <f t="shared" si="45"/>
        <v>0.47609999999999997</v>
      </c>
      <c r="Y81" s="246">
        <f t="shared" si="46"/>
        <v>31.2639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46.76</v>
      </c>
      <c r="Q98" s="195">
        <f>SUM(Q78:Q97)</f>
        <v>0</v>
      </c>
      <c r="R98" s="111"/>
      <c r="S98" s="195">
        <f>SUM(S78:S97)</f>
        <v>0.35070000000000001</v>
      </c>
      <c r="T98" s="195">
        <f>SUM(T78:T97)</f>
        <v>46.409300000000002</v>
      </c>
      <c r="U98" s="114">
        <f>SUM(U78:U97)</f>
        <v>121.1</v>
      </c>
      <c r="V98" s="114">
        <f>SUM(V78:V97)</f>
        <v>0</v>
      </c>
      <c r="W98" s="112"/>
      <c r="X98" s="197">
        <f>SUM(X78:X97)</f>
        <v>1.8165</v>
      </c>
      <c r="Y98" s="197">
        <f>SUM(Y78:Y97)</f>
        <v>119.2835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>P78+Q78+U78</f>
        <v>0</v>
      </c>
    </row>
    <row r="102" spans="14:30" x14ac:dyDescent="0.25">
      <c r="N102" s="85"/>
      <c r="Q102" s="215">
        <f>P79+Q79+U79</f>
        <v>11</v>
      </c>
    </row>
    <row r="103" spans="14:30" x14ac:dyDescent="0.25">
      <c r="N103" s="85"/>
      <c r="Q103" s="215">
        <f>P80+Q80+U80</f>
        <v>114.55</v>
      </c>
    </row>
    <row r="104" spans="14:30" x14ac:dyDescent="0.25">
      <c r="N104" s="85"/>
      <c r="Q104" s="215">
        <f>P81+Q81+U81</f>
        <v>42.31</v>
      </c>
    </row>
    <row r="105" spans="14:30" x14ac:dyDescent="0.25">
      <c r="N105" s="85"/>
      <c r="Q105" s="236">
        <f t="shared" ref="Q105:Q106" si="50">P82+Q82+U82</f>
        <v>0</v>
      </c>
    </row>
    <row r="106" spans="14:30" x14ac:dyDescent="0.25">
      <c r="N106" s="85"/>
      <c r="Q106" s="236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1" priority="1" operator="greaterThan">
      <formula>0</formula>
    </cfRule>
    <cfRule type="cellIs" dxfId="3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5" zoomScaleNormal="100" workbookViewId="0">
      <selection activeCell="A5" sqref="A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44759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243">
        <v>5.7</v>
      </c>
      <c r="C8" s="85" t="s">
        <v>94</v>
      </c>
      <c r="D8" s="108"/>
    </row>
    <row r="9" spans="1:28" x14ac:dyDescent="0.25">
      <c r="A9" s="7" t="s">
        <v>78</v>
      </c>
      <c r="B9" s="243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1250.5</v>
      </c>
      <c r="C12" s="15"/>
      <c r="D12" s="56"/>
      <c r="E12" s="16"/>
      <c r="F12" s="56"/>
      <c r="G12" s="56"/>
      <c r="H12" s="17"/>
      <c r="I12" s="83">
        <v>1250.5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929</v>
      </c>
      <c r="C13" s="15"/>
      <c r="D13" s="56"/>
      <c r="E13" s="16"/>
      <c r="F13" s="56"/>
      <c r="G13" s="56"/>
      <c r="H13" s="17"/>
      <c r="I13" s="83">
        <v>929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5295.3</v>
      </c>
      <c r="C14" s="15"/>
      <c r="D14" s="56"/>
      <c r="E14" s="16"/>
      <c r="F14" s="56"/>
      <c r="G14" s="56"/>
      <c r="H14" s="17"/>
      <c r="I14" s="83">
        <v>5295.3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929</v>
      </c>
      <c r="C19" s="95"/>
      <c r="D19" s="94"/>
      <c r="E19" s="96"/>
      <c r="F19" s="94"/>
      <c r="G19" s="94"/>
      <c r="H19" s="98"/>
      <c r="I19" s="99">
        <v>929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5295.3</v>
      </c>
      <c r="C20" s="95"/>
      <c r="D20" s="94"/>
      <c r="E20" s="96"/>
      <c r="F20" s="94"/>
      <c r="G20" s="94"/>
      <c r="H20" s="98"/>
      <c r="I20" s="99">
        <v>5295.3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 t="s">
        <v>166</v>
      </c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63.29</v>
      </c>
      <c r="C37" s="100"/>
      <c r="D37" s="66"/>
      <c r="E37" s="67"/>
      <c r="F37" s="66"/>
      <c r="G37" s="66"/>
      <c r="H37" s="102"/>
      <c r="I37" s="79">
        <v>63.29</v>
      </c>
      <c r="J37" s="81">
        <f t="shared" si="0"/>
        <v>0</v>
      </c>
      <c r="K37" s="80">
        <f>50+13.29</f>
        <v>63.29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360.75299999999999</v>
      </c>
      <c r="C38" s="100"/>
      <c r="D38" s="66"/>
      <c r="E38" s="67"/>
      <c r="F38" s="66"/>
      <c r="G38" s="66"/>
      <c r="H38" s="102"/>
      <c r="I38" s="79">
        <v>360.75</v>
      </c>
      <c r="J38" s="81">
        <f t="shared" si="0"/>
        <v>2.9999999999859028E-3</v>
      </c>
      <c r="K38" s="80">
        <v>360.75</v>
      </c>
      <c r="L38" s="186">
        <f>K38-B38</f>
        <v>-2.9999999999859028E-3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63.29</v>
      </c>
      <c r="C43" s="95"/>
      <c r="D43" s="94"/>
      <c r="E43" s="96"/>
      <c r="F43" s="94"/>
      <c r="G43" s="94"/>
      <c r="H43" s="98"/>
      <c r="I43" s="99"/>
      <c r="J43" s="185">
        <f t="shared" si="0"/>
        <v>63.29</v>
      </c>
      <c r="K43" s="99">
        <v>63.29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360.75299999999999</v>
      </c>
      <c r="C44" s="95"/>
      <c r="D44" s="94"/>
      <c r="E44" s="96"/>
      <c r="F44" s="94"/>
      <c r="G44" s="94"/>
      <c r="H44" s="98"/>
      <c r="I44" s="99"/>
      <c r="J44" s="185">
        <f t="shared" si="0"/>
        <v>360.75299999999999</v>
      </c>
      <c r="K44" s="99">
        <v>360.75</v>
      </c>
      <c r="L44" s="187">
        <f>K44-B44</f>
        <v>-2.9999999999859028E-3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44760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215</v>
      </c>
      <c r="B49" s="117">
        <f>R75</f>
        <v>6426.6900000000005</v>
      </c>
      <c r="C49" s="116">
        <v>7.4999999999999997E-3</v>
      </c>
      <c r="D49" s="117">
        <f t="shared" si="17"/>
        <v>48.200175000000002</v>
      </c>
      <c r="E49" s="172">
        <v>0</v>
      </c>
      <c r="F49" s="117">
        <f t="shared" si="15"/>
        <v>0</v>
      </c>
      <c r="G49" s="117">
        <f t="shared" si="16"/>
        <v>6378.4898250000006</v>
      </c>
      <c r="H49" s="173">
        <f t="shared" si="19"/>
        <v>44760</v>
      </c>
      <c r="I49" s="176">
        <f>2143.45+4283.24</f>
        <v>6426.69</v>
      </c>
      <c r="J49" s="81">
        <f t="shared" si="0"/>
        <v>0</v>
      </c>
      <c r="K49" s="80">
        <v>6378.49</v>
      </c>
      <c r="L49" s="186">
        <f t="shared" si="18"/>
        <v>-1.7499999921710696E-4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121.27000000000001</v>
      </c>
      <c r="C50" s="116">
        <v>7.4999999999999997E-3</v>
      </c>
      <c r="D50" s="117">
        <f t="shared" si="17"/>
        <v>0.90952500000000003</v>
      </c>
      <c r="E50" s="172">
        <v>0</v>
      </c>
      <c r="F50" s="117">
        <f t="shared" si="15"/>
        <v>0</v>
      </c>
      <c r="G50" s="117">
        <f t="shared" si="16"/>
        <v>120.36047500000001</v>
      </c>
      <c r="H50" s="173">
        <f t="shared" si="19"/>
        <v>44760</v>
      </c>
      <c r="I50" s="175"/>
      <c r="J50" s="81">
        <f t="shared" si="0"/>
        <v>121.27000000000001</v>
      </c>
      <c r="K50" s="80"/>
      <c r="L50" s="186">
        <f t="shared" si="18"/>
        <v>120.36047500000001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107.77</v>
      </c>
      <c r="C51" s="116">
        <v>1.4999999999999999E-2</v>
      </c>
      <c r="D51" s="117">
        <f>+B51*C51</f>
        <v>1.6165499999999999</v>
      </c>
      <c r="E51" s="172">
        <v>0</v>
      </c>
      <c r="F51" s="117">
        <f>D51*E51</f>
        <v>0</v>
      </c>
      <c r="G51" s="117">
        <f t="shared" si="16"/>
        <v>106.15344999999999</v>
      </c>
      <c r="H51" s="173">
        <f t="shared" si="19"/>
        <v>44760</v>
      </c>
      <c r="I51" s="175">
        <v>228.97</v>
      </c>
      <c r="J51" s="81">
        <f t="shared" si="0"/>
        <v>-121.2</v>
      </c>
      <c r="K51" s="80"/>
      <c r="L51" s="186">
        <f t="shared" si="18"/>
        <v>106.15344999999999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44760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183</v>
      </c>
      <c r="B56" s="117">
        <f>T75</f>
        <v>67.81</v>
      </c>
      <c r="C56" s="116">
        <v>2.5000000000000001E-2</v>
      </c>
      <c r="D56" s="117">
        <f t="shared" si="20"/>
        <v>1.6952500000000001</v>
      </c>
      <c r="E56" s="172">
        <v>0.05</v>
      </c>
      <c r="F56" s="117">
        <f t="shared" si="21"/>
        <v>2.9228448275862071</v>
      </c>
      <c r="G56" s="117">
        <f t="shared" si="22"/>
        <v>63.191905172413797</v>
      </c>
      <c r="H56" s="173">
        <f t="shared" si="19"/>
        <v>44760</v>
      </c>
      <c r="I56" s="176">
        <f>7.7+60.11</f>
        <v>67.81</v>
      </c>
      <c r="J56" s="81">
        <f t="shared" si="0"/>
        <v>0</v>
      </c>
      <c r="K56" s="80">
        <v>63.19</v>
      </c>
      <c r="L56" s="186">
        <f t="shared" si="18"/>
        <v>1.9051724137995052E-3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44789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52.421500000000002</v>
      </c>
      <c r="E61" s="177"/>
      <c r="F61" s="57">
        <f>SUM(F46:F58)</f>
        <v>2.9228448275862071</v>
      </c>
      <c r="G61" s="57">
        <f>SUM(G46:G58)</f>
        <v>6668.1956551724143</v>
      </c>
      <c r="H61" s="173">
        <f t="shared" si="19"/>
        <v>44760</v>
      </c>
      <c r="I61" s="175"/>
      <c r="J61" s="81">
        <f t="shared" si="0"/>
        <v>0</v>
      </c>
      <c r="K61" s="80"/>
      <c r="L61" s="186">
        <f t="shared" si="18"/>
        <v>6668.1956551724143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13336.391310344829</v>
      </c>
      <c r="H64" s="184"/>
      <c r="I64" s="175"/>
      <c r="J64" s="81">
        <f t="shared" si="0"/>
        <v>0</v>
      </c>
      <c r="K64" s="80"/>
      <c r="L64" s="186">
        <f t="shared" si="18"/>
        <v>13336.391310344829</v>
      </c>
      <c r="M64" s="130"/>
      <c r="N64" s="87">
        <v>1</v>
      </c>
      <c r="O64" s="122" t="s">
        <v>195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13630.093000000001</v>
      </c>
      <c r="G65" s="22"/>
      <c r="L65" s="132"/>
      <c r="M65" s="131"/>
      <c r="N65" s="87">
        <v>2</v>
      </c>
      <c r="O65" s="122" t="s">
        <v>195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13476.48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13623.31</v>
      </c>
      <c r="C69" s="59"/>
      <c r="F69" s="87" t="s">
        <v>129</v>
      </c>
      <c r="G69" s="22"/>
      <c r="H69" s="89"/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-146.82999999999993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 t="s">
        <v>226</v>
      </c>
      <c r="Q70" s="228">
        <v>2001</v>
      </c>
      <c r="R70" s="255">
        <f>767.71+464.81</f>
        <v>1232.52</v>
      </c>
      <c r="S70" s="228"/>
      <c r="T70" s="259">
        <v>7.7</v>
      </c>
      <c r="U70" s="189">
        <f t="shared" ref="U70:U74" si="34">((T70/U$10)*U$9)</f>
        <v>0.33189655172413796</v>
      </c>
      <c r="V70" s="189">
        <f t="shared" ref="V70:V74" si="35">R70*V$10</f>
        <v>9.2439</v>
      </c>
      <c r="W70" s="189">
        <f t="shared" ref="W70:W74" si="36">+S70*V$10</f>
        <v>0</v>
      </c>
      <c r="X70" s="189">
        <f t="shared" ref="X70:X74" si="37">+T70*X$10</f>
        <v>0.1925</v>
      </c>
      <c r="Y70" s="189">
        <f t="shared" ref="Y70:Z74" si="38">R70-V70</f>
        <v>1223.2761</v>
      </c>
      <c r="Z70" s="189">
        <f t="shared" si="38"/>
        <v>0</v>
      </c>
      <c r="AA70" s="189">
        <f t="shared" ref="AA70:AA74" si="39">T70-U70-X70</f>
        <v>7.1756034482758624</v>
      </c>
      <c r="AB70" s="87"/>
    </row>
    <row r="71" spans="1:30" ht="28.5" customHeight="1" thickBot="1" x14ac:dyDescent="0.3">
      <c r="A71" s="25" t="s">
        <v>57</v>
      </c>
      <c r="B71" s="70">
        <f>(B65-B69)-B72</f>
        <v>6.783000000001266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>
        <v>219</v>
      </c>
      <c r="Q71" s="228">
        <v>2001</v>
      </c>
      <c r="R71" s="255">
        <v>910.93</v>
      </c>
      <c r="S71" s="228"/>
      <c r="T71" s="222"/>
      <c r="U71" s="189">
        <f t="shared" si="34"/>
        <v>0</v>
      </c>
      <c r="V71" s="189">
        <f t="shared" si="35"/>
        <v>6.831974999999999</v>
      </c>
      <c r="W71" s="189">
        <f t="shared" si="36"/>
        <v>0</v>
      </c>
      <c r="X71" s="189">
        <f t="shared" si="37"/>
        <v>0</v>
      </c>
      <c r="Y71" s="189">
        <f t="shared" si="38"/>
        <v>904.09802500000001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>
        <v>43</v>
      </c>
      <c r="Q72" s="228">
        <v>2003</v>
      </c>
      <c r="R72" s="256">
        <v>635.22</v>
      </c>
      <c r="S72" s="228"/>
      <c r="T72" s="228"/>
      <c r="U72" s="189">
        <f t="shared" si="34"/>
        <v>0</v>
      </c>
      <c r="V72" s="189">
        <f t="shared" si="35"/>
        <v>4.7641499999999999</v>
      </c>
      <c r="W72" s="189">
        <f t="shared" si="36"/>
        <v>0</v>
      </c>
      <c r="X72" s="189">
        <f t="shared" si="37"/>
        <v>0</v>
      </c>
      <c r="Y72" s="189">
        <f t="shared" si="38"/>
        <v>630.45585000000005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 t="s">
        <v>228</v>
      </c>
      <c r="Q73" s="228">
        <v>2003</v>
      </c>
      <c r="R73" s="238">
        <f>593.15+1098.73</f>
        <v>1691.88</v>
      </c>
      <c r="S73" s="228"/>
      <c r="T73" s="222"/>
      <c r="U73" s="189">
        <f t="shared" si="34"/>
        <v>0</v>
      </c>
      <c r="V73" s="189">
        <f t="shared" si="35"/>
        <v>12.6891</v>
      </c>
      <c r="W73" s="189">
        <f t="shared" si="36"/>
        <v>0</v>
      </c>
      <c r="X73" s="189">
        <f t="shared" si="37"/>
        <v>0</v>
      </c>
      <c r="Y73" s="189">
        <f t="shared" si="38"/>
        <v>1679.1909000000001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 t="s">
        <v>227</v>
      </c>
      <c r="Q74" s="228">
        <v>2002</v>
      </c>
      <c r="R74" s="255">
        <f>841.55+1114.59</f>
        <v>1956.1399999999999</v>
      </c>
      <c r="S74" s="228"/>
      <c r="T74" s="256">
        <v>60.11</v>
      </c>
      <c r="U74" s="189">
        <f t="shared" si="34"/>
        <v>2.5909482758620692</v>
      </c>
      <c r="V74" s="189">
        <f t="shared" si="35"/>
        <v>14.671049999999999</v>
      </c>
      <c r="W74" s="189">
        <f t="shared" si="36"/>
        <v>0</v>
      </c>
      <c r="X74" s="189">
        <f t="shared" si="37"/>
        <v>1.50275</v>
      </c>
      <c r="Y74" s="189">
        <f t="shared" si="38"/>
        <v>1941.4689499999999</v>
      </c>
      <c r="Z74" s="189">
        <f t="shared" si="38"/>
        <v>0</v>
      </c>
      <c r="AA74" s="189">
        <f t="shared" si="39"/>
        <v>56.016301724137932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6426.6900000000005</v>
      </c>
      <c r="S75" s="192"/>
      <c r="T75" s="192">
        <f>SUM(T70:T74)</f>
        <v>67.81</v>
      </c>
      <c r="U75" s="192">
        <f>SUM(U70:U74)</f>
        <v>2.9228448275862071</v>
      </c>
      <c r="V75" s="192">
        <f t="shared" ref="V75:AA75" si="41">SUM(V70:V74)</f>
        <v>48.200175000000002</v>
      </c>
      <c r="W75" s="192">
        <f t="shared" si="41"/>
        <v>0</v>
      </c>
      <c r="X75" s="192">
        <f t="shared" si="41"/>
        <v>1.6952500000000001</v>
      </c>
      <c r="Y75" s="192">
        <f t="shared" si="41"/>
        <v>6378.4898250000006</v>
      </c>
      <c r="Z75" s="192">
        <f t="shared" si="41"/>
        <v>0</v>
      </c>
      <c r="AA75" s="193">
        <f t="shared" si="41"/>
        <v>63.191905172413797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87"/>
      <c r="R78" s="82">
        <v>7.4999999999999997E-3</v>
      </c>
      <c r="S78" s="194">
        <f>+(P78+Q78)*R78</f>
        <v>0</v>
      </c>
      <c r="T78" s="246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8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>
        <v>4.96</v>
      </c>
      <c r="Q80" s="87">
        <f>0.01</f>
        <v>0.01</v>
      </c>
      <c r="R80" s="82">
        <v>7.4999999999999997E-3</v>
      </c>
      <c r="S80" s="194">
        <f t="shared" si="43"/>
        <v>3.7274999999999996E-2</v>
      </c>
      <c r="T80" s="219">
        <f t="shared" si="44"/>
        <v>4.9327249999999996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211">
        <v>42.41</v>
      </c>
      <c r="V81" s="112"/>
      <c r="W81" s="113">
        <v>1.4999999999999999E-2</v>
      </c>
      <c r="X81" s="196">
        <f t="shared" si="45"/>
        <v>0.63614999999999988</v>
      </c>
      <c r="Y81" s="246">
        <f t="shared" si="46"/>
        <v>41.773849999999996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>
        <v>65.36</v>
      </c>
      <c r="V82" s="112"/>
      <c r="W82" s="113">
        <v>1.4999999999999999E-2</v>
      </c>
      <c r="X82" s="196">
        <f t="shared" si="45"/>
        <v>0.98039999999999994</v>
      </c>
      <c r="Y82" s="246">
        <f t="shared" si="46"/>
        <v>64.379599999999996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>
        <v>16.57</v>
      </c>
      <c r="Q84" s="87"/>
      <c r="R84" s="82">
        <v>7.4999999999999997E-3</v>
      </c>
      <c r="S84" s="194">
        <f t="shared" si="43"/>
        <v>0.124275</v>
      </c>
      <c r="T84" s="246">
        <f t="shared" si="44"/>
        <v>16.445724999999999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>
        <v>99.73</v>
      </c>
      <c r="Q85" s="87"/>
      <c r="R85" s="82">
        <v>7.4999999999999997E-3</v>
      </c>
      <c r="S85" s="194">
        <f t="shared" si="43"/>
        <v>0.74797500000000006</v>
      </c>
      <c r="T85" s="246">
        <f t="shared" si="44"/>
        <v>98.982025000000007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121.26</v>
      </c>
      <c r="Q98" s="195">
        <f>SUM(Q78:Q97)</f>
        <v>0.01</v>
      </c>
      <c r="R98" s="111"/>
      <c r="S98" s="195">
        <f>SUM(S78:S97)</f>
        <v>0.90952500000000003</v>
      </c>
      <c r="T98" s="195">
        <f>SUM(T78:T97)</f>
        <v>120.36047500000001</v>
      </c>
      <c r="U98" s="114">
        <f>SUM(U78:U97)</f>
        <v>107.77</v>
      </c>
      <c r="V98" s="114">
        <f>SUM(V78:V97)</f>
        <v>0</v>
      </c>
      <c r="W98" s="112"/>
      <c r="X98" s="197">
        <f>SUM(X78:X97)</f>
        <v>1.6165499999999997</v>
      </c>
      <c r="Y98" s="197">
        <f>SUM(Y78:Y97)</f>
        <v>106.15344999999999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R100" s="215">
        <f>Q78+U78+P78</f>
        <v>0</v>
      </c>
    </row>
    <row r="101" spans="14:30" x14ac:dyDescent="0.25">
      <c r="N101" s="85"/>
      <c r="R101" s="215">
        <f>P79+Q79+U79</f>
        <v>0</v>
      </c>
    </row>
    <row r="102" spans="14:30" x14ac:dyDescent="0.25">
      <c r="N102" s="85"/>
      <c r="R102" s="212">
        <f>P80+Q80+U80</f>
        <v>4.97</v>
      </c>
    </row>
    <row r="103" spans="14:30" x14ac:dyDescent="0.25">
      <c r="N103" s="85"/>
      <c r="R103" s="212">
        <f>P81+Q81+U81</f>
        <v>42.41</v>
      </c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9" priority="1" operator="greaterThan">
      <formula>0</formula>
    </cfRule>
    <cfRule type="cellIs" dxfId="2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6" zoomScale="90" zoomScaleNormal="90" workbookViewId="0">
      <selection activeCell="A7" sqref="A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28515625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44760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666.5</v>
      </c>
      <c r="C12" s="15"/>
      <c r="D12" s="56"/>
      <c r="E12" s="16"/>
      <c r="F12" s="56"/>
      <c r="G12" s="56"/>
      <c r="H12" s="17"/>
      <c r="I12" s="83">
        <v>666.5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369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369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2103.3000000000002</v>
      </c>
      <c r="C14" s="15"/>
      <c r="D14" s="56"/>
      <c r="E14" s="16"/>
      <c r="F14" s="56"/>
      <c r="G14" s="56"/>
      <c r="H14" s="17"/>
      <c r="I14" s="83"/>
      <c r="J14" s="81">
        <f t="shared" si="0"/>
        <v>2103.3000000000002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369</v>
      </c>
      <c r="C19" s="95"/>
      <c r="D19" s="94"/>
      <c r="E19" s="96"/>
      <c r="F19" s="94"/>
      <c r="G19" s="94"/>
      <c r="H19" s="98"/>
      <c r="I19" s="99">
        <v>369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2103.3000000000002</v>
      </c>
      <c r="C20" s="95"/>
      <c r="D20" s="94"/>
      <c r="E20" s="96"/>
      <c r="F20" s="94"/>
      <c r="G20" s="94"/>
      <c r="H20" s="98"/>
      <c r="I20" s="99">
        <v>2103.3000000000002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23.9</v>
      </c>
      <c r="C37" s="100"/>
      <c r="D37" s="66"/>
      <c r="E37" s="67"/>
      <c r="F37" s="66"/>
      <c r="G37" s="66"/>
      <c r="H37" s="102"/>
      <c r="I37" s="79">
        <v>23.9</v>
      </c>
      <c r="J37" s="81">
        <f t="shared" si="0"/>
        <v>0</v>
      </c>
      <c r="K37" s="80">
        <v>23.9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136.22999999999999</v>
      </c>
      <c r="C38" s="100"/>
      <c r="D38" s="66"/>
      <c r="E38" s="67"/>
      <c r="F38" s="66"/>
      <c r="G38" s="66"/>
      <c r="H38" s="102"/>
      <c r="I38" s="79">
        <v>136.22999999999999</v>
      </c>
      <c r="J38" s="81">
        <f t="shared" si="0"/>
        <v>0</v>
      </c>
      <c r="K38" s="80">
        <v>136.22999999999999</v>
      </c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23.9</v>
      </c>
      <c r="C43" s="95"/>
      <c r="D43" s="94"/>
      <c r="E43" s="96"/>
      <c r="F43" s="94"/>
      <c r="G43" s="94"/>
      <c r="H43" s="98"/>
      <c r="I43" s="99">
        <v>23.9</v>
      </c>
      <c r="J43" s="185">
        <f t="shared" si="0"/>
        <v>0</v>
      </c>
      <c r="K43" s="99">
        <v>23.9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136.22999999999999</v>
      </c>
      <c r="C44" s="95"/>
      <c r="D44" s="94"/>
      <c r="E44" s="96"/>
      <c r="F44" s="94"/>
      <c r="G44" s="94"/>
      <c r="H44" s="98"/>
      <c r="I44" s="244">
        <v>136.22999999999999</v>
      </c>
      <c r="J44" s="185">
        <f t="shared" si="0"/>
        <v>0</v>
      </c>
      <c r="K44" s="244">
        <v>136.22999999999999</v>
      </c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44761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44761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44761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4293.05</v>
      </c>
      <c r="C49" s="116">
        <v>7.4999999999999997E-3</v>
      </c>
      <c r="D49" s="117">
        <f t="shared" si="17"/>
        <v>32.197875000000003</v>
      </c>
      <c r="E49" s="172">
        <v>0</v>
      </c>
      <c r="F49" s="117">
        <f t="shared" si="15"/>
        <v>0</v>
      </c>
      <c r="G49" s="117">
        <f t="shared" si="16"/>
        <v>4260.8521250000003</v>
      </c>
      <c r="H49" s="173">
        <f t="shared" si="19"/>
        <v>44761</v>
      </c>
      <c r="I49" s="176">
        <f>393.14+3899.91</f>
        <v>4293.05</v>
      </c>
      <c r="J49" s="81">
        <f t="shared" si="0"/>
        <v>0</v>
      </c>
      <c r="K49" s="80"/>
      <c r="L49" s="186">
        <f t="shared" si="18"/>
        <v>4260.8521250000003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101.13000000000001</v>
      </c>
      <c r="C50" s="116">
        <v>7.4999999999999997E-3</v>
      </c>
      <c r="D50" s="117">
        <f t="shared" si="17"/>
        <v>0.75847500000000001</v>
      </c>
      <c r="E50" s="172">
        <v>0</v>
      </c>
      <c r="F50" s="117">
        <f t="shared" si="15"/>
        <v>0</v>
      </c>
      <c r="G50" s="117">
        <f t="shared" si="16"/>
        <v>100.37152500000001</v>
      </c>
      <c r="H50" s="173">
        <f t="shared" si="19"/>
        <v>44761</v>
      </c>
      <c r="I50" s="175"/>
      <c r="J50" s="81">
        <f t="shared" si="0"/>
        <v>101.13000000000001</v>
      </c>
      <c r="K50" s="80">
        <v>100.37</v>
      </c>
      <c r="L50" s="186">
        <f t="shared" si="18"/>
        <v>1.5250000000008868E-3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255.83</v>
      </c>
      <c r="C51" s="116">
        <v>1.4999999999999999E-2</v>
      </c>
      <c r="D51" s="117">
        <f>+B51*C51</f>
        <v>3.83745</v>
      </c>
      <c r="E51" s="172">
        <v>0</v>
      </c>
      <c r="F51" s="117">
        <f>D51*E51</f>
        <v>0</v>
      </c>
      <c r="G51" s="117">
        <f t="shared" si="16"/>
        <v>251.99255000000002</v>
      </c>
      <c r="H51" s="173">
        <f t="shared" si="19"/>
        <v>44761</v>
      </c>
      <c r="I51" s="175">
        <v>356.96</v>
      </c>
      <c r="J51" s="81">
        <f t="shared" si="0"/>
        <v>-101.12999999999997</v>
      </c>
      <c r="K51" s="80">
        <v>251.99</v>
      </c>
      <c r="L51" s="186">
        <f t="shared" si="18"/>
        <v>2.5500000000135969E-3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44761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44761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44761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44761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35.61</v>
      </c>
      <c r="C56" s="116">
        <v>2.5000000000000001E-2</v>
      </c>
      <c r="D56" s="117">
        <f t="shared" si="20"/>
        <v>0.89024999999999999</v>
      </c>
      <c r="E56" s="172">
        <v>0.05</v>
      </c>
      <c r="F56" s="117">
        <f t="shared" si="21"/>
        <v>1.5349137931034484</v>
      </c>
      <c r="G56" s="117">
        <f t="shared" si="22"/>
        <v>33.184836206896549</v>
      </c>
      <c r="H56" s="173">
        <f t="shared" si="19"/>
        <v>44761</v>
      </c>
      <c r="I56" s="176">
        <f>23.32+12.29</f>
        <v>35.61</v>
      </c>
      <c r="J56" s="81">
        <f t="shared" si="0"/>
        <v>0</v>
      </c>
      <c r="K56" s="80"/>
      <c r="L56" s="186">
        <f t="shared" si="18"/>
        <v>33.184836206896549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44763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44765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44790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37.684049999999999</v>
      </c>
      <c r="E61" s="177"/>
      <c r="F61" s="57">
        <f>SUM(F46:F58)</f>
        <v>1.5349137931034484</v>
      </c>
      <c r="G61" s="57">
        <f>SUM(G46:G58)</f>
        <v>4646.4010362068966</v>
      </c>
      <c r="H61" s="173">
        <f t="shared" si="19"/>
        <v>44761</v>
      </c>
      <c r="I61" s="175"/>
      <c r="J61" s="81">
        <f t="shared" si="0"/>
        <v>0</v>
      </c>
      <c r="K61" s="80"/>
      <c r="L61" s="186">
        <f t="shared" si="18"/>
        <v>4646.4010362068966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44761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9292.8020724137932</v>
      </c>
      <c r="H64" s="184"/>
      <c r="I64" s="175"/>
      <c r="J64" s="81">
        <f t="shared" si="0"/>
        <v>0</v>
      </c>
      <c r="K64" s="80"/>
      <c r="L64" s="186">
        <f t="shared" si="18"/>
        <v>9292.8020724137932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7591.65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7531.37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7584.98</v>
      </c>
      <c r="C69" s="59"/>
      <c r="F69" s="87" t="s">
        <v>129</v>
      </c>
      <c r="G69" s="22"/>
      <c r="H69" s="89"/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-53.609999999999673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95</v>
      </c>
      <c r="Q70" s="228">
        <v>1001</v>
      </c>
      <c r="R70" s="255">
        <v>303.2</v>
      </c>
      <c r="S70" s="228"/>
      <c r="T70" s="256">
        <v>8.86</v>
      </c>
      <c r="U70" s="189">
        <f t="shared" ref="U70:U74" si="34">((T70/U$10)*U$9)</f>
        <v>0.38189655172413794</v>
      </c>
      <c r="V70" s="189">
        <f t="shared" ref="V70:V74" si="35">R70*V$10</f>
        <v>2.274</v>
      </c>
      <c r="W70" s="189">
        <f t="shared" ref="W70:W74" si="36">+S70*V$10</f>
        <v>0</v>
      </c>
      <c r="X70" s="189">
        <f t="shared" ref="X70:X74" si="37">+T70*X$10</f>
        <v>0.2215</v>
      </c>
      <c r="Y70" s="189">
        <f t="shared" ref="Y70:Z74" si="38">R70-V70</f>
        <v>300.92599999999999</v>
      </c>
      <c r="Z70" s="189">
        <f t="shared" si="38"/>
        <v>0</v>
      </c>
      <c r="AA70" s="189">
        <f t="shared" ref="AA70:AA74" si="39">T70-U70-X70</f>
        <v>8.256603448275861</v>
      </c>
      <c r="AB70" s="87"/>
    </row>
    <row r="71" spans="1:30" ht="28.5" customHeight="1" thickBot="1" x14ac:dyDescent="0.3">
      <c r="A71" s="25" t="s">
        <v>57</v>
      </c>
      <c r="B71" s="70">
        <f>(B65-B69)-B72</f>
        <v>6.6700000000000728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>
        <v>123</v>
      </c>
      <c r="Q71" s="228">
        <v>1001</v>
      </c>
      <c r="R71" s="255">
        <v>89.94</v>
      </c>
      <c r="S71" s="228"/>
      <c r="T71" s="256">
        <v>3.43</v>
      </c>
      <c r="U71" s="189">
        <f t="shared" si="34"/>
        <v>0.14784482758620693</v>
      </c>
      <c r="V71" s="189">
        <f t="shared" si="35"/>
        <v>0.67454999999999998</v>
      </c>
      <c r="W71" s="189">
        <f t="shared" si="36"/>
        <v>0</v>
      </c>
      <c r="X71" s="189">
        <f t="shared" si="37"/>
        <v>8.5750000000000007E-2</v>
      </c>
      <c r="Y71" s="189">
        <f t="shared" si="38"/>
        <v>89.265450000000001</v>
      </c>
      <c r="Z71" s="189">
        <f t="shared" si="38"/>
        <v>0</v>
      </c>
      <c r="AA71" s="189">
        <f t="shared" si="39"/>
        <v>3.1964051724137934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 t="s">
        <v>233</v>
      </c>
      <c r="Q72" s="228">
        <v>2003</v>
      </c>
      <c r="R72" s="222">
        <f>238.67+988.5</f>
        <v>1227.17</v>
      </c>
      <c r="S72" s="228"/>
      <c r="T72" s="228">
        <v>23.32</v>
      </c>
      <c r="U72" s="189">
        <f t="shared" si="34"/>
        <v>1.0051724137931035</v>
      </c>
      <c r="V72" s="189">
        <f t="shared" si="35"/>
        <v>9.2037750000000003</v>
      </c>
      <c r="W72" s="189">
        <f t="shared" si="36"/>
        <v>0</v>
      </c>
      <c r="X72" s="189">
        <f t="shared" si="37"/>
        <v>0.58300000000000007</v>
      </c>
      <c r="Y72" s="189">
        <f t="shared" si="38"/>
        <v>1217.9662250000001</v>
      </c>
      <c r="Z72" s="189">
        <f t="shared" si="38"/>
        <v>0</v>
      </c>
      <c r="AA72" s="189">
        <f t="shared" si="39"/>
        <v>21.731827586206897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>
        <v>46</v>
      </c>
      <c r="Q73" s="228">
        <v>2003</v>
      </c>
      <c r="R73" s="222">
        <v>996.29</v>
      </c>
      <c r="S73" s="228"/>
      <c r="T73" s="228"/>
      <c r="U73" s="189">
        <f t="shared" si="34"/>
        <v>0</v>
      </c>
      <c r="V73" s="189">
        <f t="shared" si="35"/>
        <v>7.4721749999999991</v>
      </c>
      <c r="W73" s="189">
        <f t="shared" si="36"/>
        <v>0</v>
      </c>
      <c r="X73" s="189">
        <f t="shared" si="37"/>
        <v>0</v>
      </c>
      <c r="Y73" s="189">
        <f t="shared" si="38"/>
        <v>988.81782499999997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>
        <v>726</v>
      </c>
      <c r="Q74" s="228">
        <v>2002</v>
      </c>
      <c r="R74" s="222">
        <v>1676.45</v>
      </c>
      <c r="S74" s="228"/>
      <c r="T74" s="222"/>
      <c r="U74" s="189">
        <f t="shared" si="34"/>
        <v>0</v>
      </c>
      <c r="V74" s="189">
        <f t="shared" si="35"/>
        <v>12.573375</v>
      </c>
      <c r="W74" s="189">
        <f t="shared" si="36"/>
        <v>0</v>
      </c>
      <c r="X74" s="189">
        <f t="shared" si="37"/>
        <v>0</v>
      </c>
      <c r="Y74" s="189">
        <f t="shared" si="38"/>
        <v>1663.8766250000001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4293.05</v>
      </c>
      <c r="S75" s="192"/>
      <c r="T75" s="192">
        <f>SUM(T70:T74)</f>
        <v>35.61</v>
      </c>
      <c r="U75" s="192">
        <f>SUM(U70:U74)</f>
        <v>1.5349137931034484</v>
      </c>
      <c r="V75" s="192">
        <f t="shared" ref="V75:AA75" si="41">SUM(V70:V74)</f>
        <v>32.197875000000003</v>
      </c>
      <c r="W75" s="192">
        <f t="shared" si="41"/>
        <v>0</v>
      </c>
      <c r="X75" s="192">
        <f t="shared" si="41"/>
        <v>0.8902500000000001</v>
      </c>
      <c r="Y75" s="192">
        <f t="shared" si="41"/>
        <v>4260.8521250000003</v>
      </c>
      <c r="Z75" s="192">
        <f t="shared" si="41"/>
        <v>0</v>
      </c>
      <c r="AA75" s="193">
        <f t="shared" si="41"/>
        <v>33.184836206896549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50.88</v>
      </c>
      <c r="Q78" s="137"/>
      <c r="R78" s="82">
        <v>7.4999999999999997E-3</v>
      </c>
      <c r="S78" s="216">
        <f>+(P78+Q78)*R78</f>
        <v>0.38159999999999999</v>
      </c>
      <c r="T78" s="246">
        <f>+(P78+Q78)-S78</f>
        <v>50.498400000000004</v>
      </c>
      <c r="U78" s="112">
        <v>212.36</v>
      </c>
      <c r="V78" s="112"/>
      <c r="W78" s="113">
        <v>1.4999999999999999E-2</v>
      </c>
      <c r="X78" s="217">
        <f>+(U78+V78)*W78</f>
        <v>3.1854</v>
      </c>
      <c r="Y78" s="260">
        <f>+(U78+V78)-X78</f>
        <v>209.17460000000003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100.37</v>
      </c>
      <c r="N79" s="87">
        <v>2</v>
      </c>
      <c r="O79" s="87" t="s">
        <v>112</v>
      </c>
      <c r="P79" s="137">
        <v>46.71</v>
      </c>
      <c r="Q79" s="137">
        <v>3.54</v>
      </c>
      <c r="R79" s="82">
        <v>7.4999999999999997E-3</v>
      </c>
      <c r="S79" s="216">
        <f t="shared" ref="S79:S97" si="43">+(P79+Q79)*R79</f>
        <v>0.37687499999999996</v>
      </c>
      <c r="T79" s="246">
        <f t="shared" ref="T79:T97" si="44">+(P79+Q79)-S79</f>
        <v>49.873125000000002</v>
      </c>
      <c r="U79" s="211">
        <v>43.47</v>
      </c>
      <c r="V79" s="112"/>
      <c r="W79" s="113">
        <v>1.4999999999999999E-2</v>
      </c>
      <c r="X79" s="217">
        <f t="shared" ref="X79:X97" si="45">+(U79+V79)*W79</f>
        <v>0.65204999999999991</v>
      </c>
      <c r="Y79" s="253">
        <f t="shared" ref="Y79:Y97" si="46">+(U79+V79)-X79</f>
        <v>42.817949999999996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35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100.37</v>
      </c>
      <c r="N81" s="87">
        <v>4</v>
      </c>
      <c r="O81" s="87" t="s">
        <v>112</v>
      </c>
      <c r="P81" s="137"/>
      <c r="Q81" s="137"/>
      <c r="R81" s="82">
        <v>7.4999999999999997E-3</v>
      </c>
      <c r="S81" s="216">
        <f t="shared" si="43"/>
        <v>0</v>
      </c>
      <c r="T81" s="219">
        <f t="shared" si="44"/>
        <v>0</v>
      </c>
      <c r="U81" s="112"/>
      <c r="V81" s="112"/>
      <c r="W81" s="113">
        <v>1.4999999999999999E-2</v>
      </c>
      <c r="X81" s="217">
        <f t="shared" si="45"/>
        <v>0</v>
      </c>
      <c r="Y81" s="235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35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35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23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97.59</v>
      </c>
      <c r="Q98" s="195">
        <f>SUM(Q78:Q97)</f>
        <v>3.54</v>
      </c>
      <c r="R98" s="111"/>
      <c r="S98" s="195">
        <f>SUM(S78:S97)</f>
        <v>0.75847500000000001</v>
      </c>
      <c r="T98" s="195">
        <f>SUM(T78:T97)</f>
        <v>100.37152500000001</v>
      </c>
      <c r="U98" s="114">
        <f>SUM(U78:U97)</f>
        <v>255.83</v>
      </c>
      <c r="V98" s="114">
        <f>SUM(V78:V97)</f>
        <v>0</v>
      </c>
      <c r="W98" s="112"/>
      <c r="X98" s="197">
        <f>SUM(X78:X97)</f>
        <v>3.83745</v>
      </c>
      <c r="Y98" s="197">
        <f>SUM(Y78:Y97)</f>
        <v>251.99255000000002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>P78+Q78+U78</f>
        <v>263.24</v>
      </c>
    </row>
    <row r="102" spans="14:30" x14ac:dyDescent="0.25">
      <c r="N102" s="85"/>
      <c r="P102" s="212">
        <f t="shared" ref="P102:P106" si="50">P79+Q79+U79</f>
        <v>93.72</v>
      </c>
    </row>
    <row r="103" spans="14:30" x14ac:dyDescent="0.25">
      <c r="N103" s="85"/>
      <c r="P103" s="212">
        <f t="shared" si="50"/>
        <v>0</v>
      </c>
    </row>
    <row r="104" spans="14:30" x14ac:dyDescent="0.25">
      <c r="N104" s="85"/>
      <c r="P104" s="212">
        <f t="shared" si="50"/>
        <v>0</v>
      </c>
    </row>
    <row r="105" spans="14:30" x14ac:dyDescent="0.25">
      <c r="N105" s="85"/>
      <c r="P105" s="212">
        <f t="shared" si="50"/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7" priority="1" operator="greaterThan">
      <formula>0</formula>
    </cfRule>
    <cfRule type="cellIs" dxfId="2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3" zoomScale="90" zoomScaleNormal="90" workbookViewId="0">
      <selection activeCell="A9" sqref="A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188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44761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446</v>
      </c>
      <c r="C12" s="15"/>
      <c r="D12" s="56"/>
      <c r="E12" s="16"/>
      <c r="F12" s="56"/>
      <c r="G12" s="56"/>
      <c r="H12" s="17"/>
      <c r="I12" s="83">
        <v>446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394</v>
      </c>
      <c r="C13" s="15"/>
      <c r="D13" s="56"/>
      <c r="E13" s="16"/>
      <c r="F13" s="56"/>
      <c r="G13" s="56"/>
      <c r="H13" s="17"/>
      <c r="I13" s="83">
        <v>394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2245.8000000000002</v>
      </c>
      <c r="C14" s="15"/>
      <c r="D14" s="56"/>
      <c r="E14" s="16"/>
      <c r="F14" s="56"/>
      <c r="G14" s="56"/>
      <c r="H14" s="17"/>
      <c r="I14" s="83">
        <v>2257.62</v>
      </c>
      <c r="J14" s="81">
        <f t="shared" si="0"/>
        <v>-11.819999999999709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394</v>
      </c>
      <c r="C19" s="95"/>
      <c r="D19" s="94"/>
      <c r="E19" s="96"/>
      <c r="F19" s="94"/>
      <c r="G19" s="94"/>
      <c r="H19" s="98"/>
      <c r="I19" s="99">
        <v>394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2245.8000000000002</v>
      </c>
      <c r="C20" s="95"/>
      <c r="D20" s="94"/>
      <c r="E20" s="96"/>
      <c r="F20" s="94"/>
      <c r="G20" s="94"/>
      <c r="H20" s="98"/>
      <c r="I20" s="99">
        <v>2257.62</v>
      </c>
      <c r="J20" s="185">
        <f t="shared" si="0"/>
        <v>-11.819999999999709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44762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44762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44762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3655.21</v>
      </c>
      <c r="C49" s="116">
        <v>7.4999999999999997E-3</v>
      </c>
      <c r="D49" s="117">
        <f t="shared" si="17"/>
        <v>27.414075</v>
      </c>
      <c r="E49" s="172">
        <v>0</v>
      </c>
      <c r="F49" s="117">
        <f t="shared" si="15"/>
        <v>0</v>
      </c>
      <c r="G49" s="117">
        <f t="shared" si="16"/>
        <v>3627.7959249999999</v>
      </c>
      <c r="H49" s="173">
        <f t="shared" si="19"/>
        <v>44762</v>
      </c>
      <c r="I49" s="176">
        <f>3364.47+291.15</f>
        <v>3655.62</v>
      </c>
      <c r="J49" s="81">
        <f t="shared" si="0"/>
        <v>-0.40999999999985448</v>
      </c>
      <c r="K49" s="80"/>
      <c r="L49" s="186">
        <f t="shared" si="18"/>
        <v>3627.7959249999999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102.98999999999998</v>
      </c>
      <c r="C50" s="116">
        <v>7.4999999999999997E-3</v>
      </c>
      <c r="D50" s="117">
        <f t="shared" si="17"/>
        <v>0.77242499999999981</v>
      </c>
      <c r="E50" s="172">
        <v>0</v>
      </c>
      <c r="F50" s="117">
        <f t="shared" si="15"/>
        <v>0</v>
      </c>
      <c r="G50" s="117">
        <f t="shared" si="16"/>
        <v>102.21757499999998</v>
      </c>
      <c r="H50" s="173">
        <f t="shared" si="19"/>
        <v>44762</v>
      </c>
      <c r="I50" s="175"/>
      <c r="J50" s="81">
        <f t="shared" si="0"/>
        <v>102.98999999999998</v>
      </c>
      <c r="K50" s="225">
        <v>102.22</v>
      </c>
      <c r="L50" s="186">
        <f t="shared" si="18"/>
        <v>-2.4250000000165528E-3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122.08</v>
      </c>
      <c r="C51" s="116">
        <v>1.4999999999999999E-2</v>
      </c>
      <c r="D51" s="117">
        <f>+B51*C51</f>
        <v>1.8311999999999999</v>
      </c>
      <c r="E51" s="172">
        <v>0</v>
      </c>
      <c r="F51" s="117">
        <f>D51*E51</f>
        <v>0</v>
      </c>
      <c r="G51" s="117">
        <f t="shared" si="16"/>
        <v>120.2488</v>
      </c>
      <c r="H51" s="173">
        <f t="shared" si="19"/>
        <v>44762</v>
      </c>
      <c r="I51" s="175">
        <v>225.07</v>
      </c>
      <c r="J51" s="81">
        <f t="shared" si="0"/>
        <v>-102.99</v>
      </c>
      <c r="K51" s="80">
        <v>120.25</v>
      </c>
      <c r="L51" s="186">
        <f t="shared" si="18"/>
        <v>-1.1999999999972033E-3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44762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44762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183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44762</v>
      </c>
      <c r="I56" s="176"/>
      <c r="J56" s="81">
        <f>B56-I56</f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30.017699999999998</v>
      </c>
      <c r="E61" s="177"/>
      <c r="F61" s="57">
        <f>SUM(F46:F58)</f>
        <v>0</v>
      </c>
      <c r="G61" s="57">
        <f>SUM(G46:G58)</f>
        <v>3850.2622999999999</v>
      </c>
      <c r="H61" s="173">
        <f t="shared" si="19"/>
        <v>44762</v>
      </c>
      <c r="I61" s="175"/>
      <c r="J61" s="81">
        <f t="shared" si="0"/>
        <v>0</v>
      </c>
      <c r="K61" s="80"/>
      <c r="L61" s="186">
        <f t="shared" si="18"/>
        <v>3850.2622999999999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7700.5245999999997</v>
      </c>
      <c r="H64" s="184"/>
      <c r="I64" s="175"/>
      <c r="J64" s="81">
        <f t="shared" si="0"/>
        <v>0</v>
      </c>
      <c r="K64" s="80"/>
      <c r="L64" s="186">
        <f t="shared" si="18"/>
        <v>7700.5245999999997</v>
      </c>
      <c r="M64" s="130"/>
      <c r="N64" s="87">
        <v>1</v>
      </c>
      <c r="O64" s="122" t="s">
        <v>201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6572.08</v>
      </c>
      <c r="G65" s="22"/>
      <c r="L65" s="132"/>
      <c r="M65" s="131"/>
      <c r="N65" s="87">
        <v>2</v>
      </c>
      <c r="O65" s="122" t="s">
        <v>181</v>
      </c>
      <c r="P65" s="87"/>
      <c r="Q65" s="87"/>
      <c r="R65" s="13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6516.03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6565.87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-49.840000000000146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248</v>
      </c>
      <c r="Q70" s="228">
        <v>2001</v>
      </c>
      <c r="R70" s="222">
        <v>291.16000000000003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2.1837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288.97630000000004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6.2100000000000364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>
        <v>47</v>
      </c>
      <c r="Q72" s="228">
        <v>2003</v>
      </c>
      <c r="R72" s="222">
        <v>41.94</v>
      </c>
      <c r="S72" s="228"/>
      <c r="T72" s="222"/>
      <c r="U72" s="189">
        <f t="shared" si="34"/>
        <v>0</v>
      </c>
      <c r="V72" s="189">
        <f t="shared" si="35"/>
        <v>0.31455</v>
      </c>
      <c r="W72" s="189">
        <f t="shared" si="36"/>
        <v>0</v>
      </c>
      <c r="X72" s="189">
        <f t="shared" si="37"/>
        <v>0</v>
      </c>
      <c r="Y72" s="189">
        <f t="shared" si="38"/>
        <v>41.625450000000001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 t="s">
        <v>235</v>
      </c>
      <c r="Q73" s="228">
        <v>2003</v>
      </c>
      <c r="R73" s="222">
        <f>124.35+1517.46</f>
        <v>1641.81</v>
      </c>
      <c r="S73" s="228"/>
      <c r="T73" s="228"/>
      <c r="U73" s="189">
        <f t="shared" si="34"/>
        <v>0</v>
      </c>
      <c r="V73" s="189">
        <f t="shared" si="35"/>
        <v>12.313574999999998</v>
      </c>
      <c r="W73" s="189">
        <f t="shared" si="36"/>
        <v>0</v>
      </c>
      <c r="X73" s="189">
        <f t="shared" si="37"/>
        <v>0</v>
      </c>
      <c r="Y73" s="189">
        <f t="shared" si="38"/>
        <v>1629.496425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 t="s">
        <v>234</v>
      </c>
      <c r="Q74" s="228">
        <v>2002</v>
      </c>
      <c r="R74" s="222">
        <f>972.1+708.2</f>
        <v>1680.3000000000002</v>
      </c>
      <c r="S74" s="228"/>
      <c r="T74" s="228"/>
      <c r="U74" s="189">
        <f t="shared" si="34"/>
        <v>0</v>
      </c>
      <c r="V74" s="189">
        <f t="shared" si="35"/>
        <v>12.602250000000002</v>
      </c>
      <c r="W74" s="189">
        <f t="shared" si="36"/>
        <v>0</v>
      </c>
      <c r="X74" s="189">
        <f t="shared" si="37"/>
        <v>0</v>
      </c>
      <c r="Y74" s="189">
        <f t="shared" si="38"/>
        <v>1667.6977500000003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3655.21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27.414075</v>
      </c>
      <c r="W75" s="192">
        <f t="shared" si="41"/>
        <v>0</v>
      </c>
      <c r="X75" s="192">
        <f t="shared" si="41"/>
        <v>0</v>
      </c>
      <c r="Y75" s="192">
        <f t="shared" si="41"/>
        <v>3627.7959250000004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28.06</v>
      </c>
      <c r="Q78" s="137"/>
      <c r="R78" s="82">
        <v>7.4999999999999997E-3</v>
      </c>
      <c r="S78" s="194">
        <f>+(P78+Q78)*R78</f>
        <v>0.21044999999999997</v>
      </c>
      <c r="T78" s="246">
        <f>+(P78+Q78)-S78</f>
        <v>27.849549999999997</v>
      </c>
      <c r="U78" s="211">
        <v>46.13</v>
      </c>
      <c r="V78" s="112"/>
      <c r="W78" s="113">
        <v>1.4999999999999999E-2</v>
      </c>
      <c r="X78" s="196">
        <f>+(U78+V78)*W78</f>
        <v>0.69195000000000007</v>
      </c>
      <c r="Y78" s="213">
        <f>+(U78+V78)-X78</f>
        <v>45.438050000000004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102.22</v>
      </c>
      <c r="N79" s="87">
        <v>2</v>
      </c>
      <c r="O79" s="87" t="s">
        <v>112</v>
      </c>
      <c r="P79" s="137">
        <v>7.7</v>
      </c>
      <c r="Q79" s="87"/>
      <c r="R79" s="82">
        <v>7.4999999999999997E-3</v>
      </c>
      <c r="S79" s="194">
        <f t="shared" ref="S79:S97" si="43">+(P79+Q79)*R79</f>
        <v>5.7749999999999996E-2</v>
      </c>
      <c r="T79" s="246">
        <f t="shared" ref="T79:T97" si="44">+(P79+Q79)-S79</f>
        <v>7.6422499999999998</v>
      </c>
      <c r="U79" s="211">
        <v>14.7</v>
      </c>
      <c r="V79" s="112"/>
      <c r="W79" s="113">
        <v>1.4999999999999999E-2</v>
      </c>
      <c r="X79" s="196">
        <f t="shared" ref="X79:X97" si="45">+(U79+V79)*W79</f>
        <v>0.22049999999999997</v>
      </c>
      <c r="Y79" s="213">
        <f t="shared" ref="Y79:Y97" si="46">+(U79+V79)-X79</f>
        <v>14.4795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50.66</v>
      </c>
      <c r="Q80" s="137">
        <v>16.57</v>
      </c>
      <c r="R80" s="82">
        <v>7.4999999999999997E-3</v>
      </c>
      <c r="S80" s="194">
        <f t="shared" si="43"/>
        <v>0.50422499999999992</v>
      </c>
      <c r="T80" s="246">
        <f t="shared" si="44"/>
        <v>66.725774999999985</v>
      </c>
      <c r="U80" s="211">
        <v>61.25</v>
      </c>
      <c r="V80" s="112"/>
      <c r="W80" s="113">
        <v>1.4999999999999999E-2</v>
      </c>
      <c r="X80" s="196">
        <f t="shared" si="45"/>
        <v>0.91874999999999996</v>
      </c>
      <c r="Y80" s="253">
        <f t="shared" si="46"/>
        <v>60.331249999999997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102.22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86.419999999999987</v>
      </c>
      <c r="Q98" s="195">
        <f>SUM(Q78:Q97)</f>
        <v>16.57</v>
      </c>
      <c r="R98" s="111"/>
      <c r="S98" s="195">
        <f>SUM(S78:S97)</f>
        <v>0.77242499999999992</v>
      </c>
      <c r="T98" s="195">
        <f>SUM(T78:T97)</f>
        <v>102.21757499999998</v>
      </c>
      <c r="U98" s="114">
        <f>SUM(U78:U97)</f>
        <v>122.08</v>
      </c>
      <c r="V98" s="114">
        <f>SUM(V78:V97)</f>
        <v>0</v>
      </c>
      <c r="W98" s="112"/>
      <c r="X98" s="197">
        <f>SUM(X78:X97)</f>
        <v>1.8311999999999999</v>
      </c>
      <c r="Y98" s="197">
        <f>SUM(Y78:Y97)</f>
        <v>120.2488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74.19</v>
      </c>
    </row>
    <row r="102" spans="14:30" x14ac:dyDescent="0.25">
      <c r="N102" s="85"/>
      <c r="P102" s="215">
        <f>P79+U79</f>
        <v>22.4</v>
      </c>
    </row>
    <row r="103" spans="14:30" x14ac:dyDescent="0.25">
      <c r="N103" s="85"/>
      <c r="P103" s="215">
        <f>P80+Q80+U80</f>
        <v>128.47999999999999</v>
      </c>
    </row>
    <row r="104" spans="14:30" x14ac:dyDescent="0.25">
      <c r="N104" s="85"/>
      <c r="P104" s="215">
        <f>P81+Q81+U81</f>
        <v>0</v>
      </c>
    </row>
    <row r="105" spans="14:30" x14ac:dyDescent="0.25">
      <c r="N105" s="85"/>
      <c r="P105" s="212">
        <f>P82+U82</f>
        <v>0</v>
      </c>
    </row>
    <row r="106" spans="14:30" x14ac:dyDescent="0.25">
      <c r="N106" s="85"/>
      <c r="P106" s="212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5" priority="1" operator="greaterThan">
      <formula>0</formula>
    </cfRule>
    <cfRule type="cellIs" dxfId="2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4" zoomScale="90" zoomScaleNormal="90" workbookViewId="0">
      <selection activeCell="A7" sqref="A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" style="85" customWidth="1"/>
    <col min="16" max="17" width="17" style="85" customWidth="1"/>
    <col min="18" max="18" width="18.140625" style="85" customWidth="1"/>
    <col min="19" max="19" width="14.57031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169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170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44732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</v>
      </c>
      <c r="C8" s="85" t="s">
        <v>94</v>
      </c>
      <c r="D8" s="108"/>
    </row>
    <row r="9" spans="1:28" x14ac:dyDescent="0.25">
      <c r="A9" s="7" t="s">
        <v>78</v>
      </c>
      <c r="B9" s="108">
        <v>5.73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330</v>
      </c>
      <c r="C12" s="15"/>
      <c r="D12" s="56"/>
      <c r="E12" s="16"/>
      <c r="F12" s="56"/>
      <c r="G12" s="56"/>
      <c r="H12" s="17"/>
      <c r="I12" s="83">
        <v>330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194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194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1105.8</v>
      </c>
      <c r="C14" s="15"/>
      <c r="D14" s="56"/>
      <c r="E14" s="16"/>
      <c r="F14" s="56"/>
      <c r="G14" s="56"/>
      <c r="H14" s="17"/>
      <c r="I14" s="83"/>
      <c r="J14" s="81">
        <f t="shared" si="0"/>
        <v>1105.8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214</v>
      </c>
      <c r="C15" s="15"/>
      <c r="D15" s="56"/>
      <c r="E15" s="16"/>
      <c r="F15" s="56"/>
      <c r="G15" s="56"/>
      <c r="H15" s="17"/>
      <c r="I15" s="83"/>
      <c r="J15" s="81">
        <f t="shared" si="0"/>
        <v>214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1226.22</v>
      </c>
      <c r="C16" s="15"/>
      <c r="D16" s="56"/>
      <c r="E16" s="16"/>
      <c r="F16" s="56"/>
      <c r="G16" s="56"/>
      <c r="H16" s="17"/>
      <c r="I16" s="83"/>
      <c r="J16" s="81">
        <f t="shared" si="0"/>
        <v>1226.22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408</v>
      </c>
      <c r="C19" s="95"/>
      <c r="D19" s="94"/>
      <c r="E19" s="96"/>
      <c r="F19" s="94"/>
      <c r="G19" s="94"/>
      <c r="H19" s="98"/>
      <c r="I19" s="99">
        <v>408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2332.02</v>
      </c>
      <c r="C20" s="95"/>
      <c r="D20" s="94"/>
      <c r="E20" s="96"/>
      <c r="F20" s="94"/>
      <c r="G20" s="94"/>
      <c r="H20" s="98"/>
      <c r="I20" s="244">
        <v>2337.84</v>
      </c>
      <c r="J20" s="185">
        <f t="shared" si="0"/>
        <v>-5.8200000000001637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 t="s">
        <v>205</v>
      </c>
      <c r="S23" s="160"/>
      <c r="T23" s="155"/>
      <c r="U23" s="189">
        <f t="shared" si="2"/>
        <v>0</v>
      </c>
      <c r="V23" s="189">
        <v>0</v>
      </c>
      <c r="W23" s="189">
        <f t="shared" si="4"/>
        <v>0</v>
      </c>
      <c r="X23" s="189">
        <f t="shared" si="5"/>
        <v>0</v>
      </c>
      <c r="Y23" s="189"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202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202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202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44733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202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44733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202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44733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3772.5</v>
      </c>
      <c r="C49" s="116">
        <v>7.4999999999999997E-3</v>
      </c>
      <c r="D49" s="117">
        <f t="shared" si="17"/>
        <v>28.293749999999999</v>
      </c>
      <c r="E49" s="172">
        <v>0</v>
      </c>
      <c r="F49" s="117">
        <f t="shared" si="15"/>
        <v>0</v>
      </c>
      <c r="G49" s="117">
        <f t="shared" si="16"/>
        <v>3744.2062500000002</v>
      </c>
      <c r="H49" s="173">
        <f t="shared" si="19"/>
        <v>44733</v>
      </c>
      <c r="I49" s="176">
        <f>793.99+2978.51</f>
        <v>3772.5</v>
      </c>
      <c r="J49" s="81">
        <f t="shared" si="0"/>
        <v>0</v>
      </c>
      <c r="K49" s="80"/>
      <c r="L49" s="186">
        <f>K49-G49</f>
        <v>-3744.2062500000002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62.39</v>
      </c>
      <c r="C50" s="116">
        <v>7.4999999999999997E-3</v>
      </c>
      <c r="D50" s="117">
        <f t="shared" si="17"/>
        <v>0.46792499999999998</v>
      </c>
      <c r="E50" s="172">
        <v>0</v>
      </c>
      <c r="F50" s="117">
        <f t="shared" si="15"/>
        <v>0</v>
      </c>
      <c r="G50" s="117">
        <f t="shared" si="16"/>
        <v>61.922075</v>
      </c>
      <c r="H50" s="173">
        <f t="shared" si="19"/>
        <v>44733</v>
      </c>
      <c r="I50" s="175"/>
      <c r="J50" s="81">
        <f t="shared" si="0"/>
        <v>62.39</v>
      </c>
      <c r="K50" s="80"/>
      <c r="L50" s="186">
        <f t="shared" si="18"/>
        <v>61.922075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136.68</v>
      </c>
      <c r="C51" s="116">
        <v>1.4999999999999999E-2</v>
      </c>
      <c r="D51" s="117">
        <f>+B51*C51</f>
        <v>2.0502000000000002</v>
      </c>
      <c r="E51" s="172">
        <v>0</v>
      </c>
      <c r="F51" s="117">
        <f>D51*E51</f>
        <v>0</v>
      </c>
      <c r="G51" s="117">
        <f t="shared" si="16"/>
        <v>134.62980000000002</v>
      </c>
      <c r="H51" s="173">
        <f t="shared" si="19"/>
        <v>44733</v>
      </c>
      <c r="I51" s="175">
        <v>199.07</v>
      </c>
      <c r="J51" s="81">
        <f t="shared" si="0"/>
        <v>-62.389999999999986</v>
      </c>
      <c r="K51" s="80"/>
      <c r="L51" s="186">
        <f t="shared" si="18"/>
        <v>134.62980000000002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44733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44733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44733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44733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75.75</v>
      </c>
      <c r="C56" s="116">
        <v>2.5000000000000001E-2</v>
      </c>
      <c r="D56" s="117">
        <f t="shared" si="20"/>
        <v>1.89375</v>
      </c>
      <c r="E56" s="172">
        <v>0.05</v>
      </c>
      <c r="F56" s="117">
        <f t="shared" si="21"/>
        <v>3.2650862068965516</v>
      </c>
      <c r="G56" s="117">
        <f t="shared" si="22"/>
        <v>70.591163793103448</v>
      </c>
      <c r="H56" s="173">
        <f t="shared" si="19"/>
        <v>44733</v>
      </c>
      <c r="I56" s="176">
        <v>75.75</v>
      </c>
      <c r="J56" s="81">
        <f t="shared" si="0"/>
        <v>0</v>
      </c>
      <c r="K56" s="80"/>
      <c r="L56" s="186">
        <f t="shared" si="18"/>
        <v>70.591163793103448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44735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44737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44762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32.705624999999998</v>
      </c>
      <c r="E61" s="177"/>
      <c r="F61" s="57">
        <f>SUM(F46:F58)</f>
        <v>3.2650862068965516</v>
      </c>
      <c r="G61" s="57">
        <f>SUM(G46:G58)</f>
        <v>4011.3492887931038</v>
      </c>
      <c r="H61" s="173">
        <f t="shared" si="19"/>
        <v>44733</v>
      </c>
      <c r="I61" s="175"/>
      <c r="J61" s="81">
        <f t="shared" si="0"/>
        <v>0</v>
      </c>
      <c r="K61" s="80"/>
      <c r="L61" s="186">
        <f t="shared" si="18"/>
        <v>4011.3492887931038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44733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8022.6985775862076</v>
      </c>
      <c r="H64" s="184"/>
      <c r="I64" s="175"/>
      <c r="J64" s="81">
        <f t="shared" si="0"/>
        <v>0</v>
      </c>
      <c r="K64" s="80"/>
      <c r="L64" s="186">
        <f t="shared" si="18"/>
        <v>8022.6985775862076</v>
      </c>
      <c r="M64" s="130"/>
      <c r="N64" s="87">
        <v>1</v>
      </c>
      <c r="O64" s="122" t="s">
        <v>195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6709.3400000000011</v>
      </c>
      <c r="G65" s="22"/>
      <c r="L65" s="132"/>
      <c r="M65" s="131"/>
      <c r="N65" s="87">
        <v>2</v>
      </c>
      <c r="O65" s="122" t="s">
        <v>195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6645.29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6703.42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-58.130000000000109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219</v>
      </c>
      <c r="P70" s="228" t="s">
        <v>236</v>
      </c>
      <c r="Q70" s="228">
        <v>2001</v>
      </c>
      <c r="R70" s="222">
        <f>66.92+101.3</f>
        <v>168.22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1.2616499999999999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166.95835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5.9200000000009823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219</v>
      </c>
      <c r="P71" s="228">
        <v>249</v>
      </c>
      <c r="Q71" s="228">
        <v>2001</v>
      </c>
      <c r="R71" s="222">
        <v>625.77</v>
      </c>
      <c r="S71" s="228"/>
      <c r="T71" s="228"/>
      <c r="U71" s="189">
        <f t="shared" si="34"/>
        <v>0</v>
      </c>
      <c r="V71" s="189">
        <f t="shared" si="35"/>
        <v>4.6932749999999999</v>
      </c>
      <c r="W71" s="189">
        <f t="shared" si="36"/>
        <v>0</v>
      </c>
      <c r="X71" s="189">
        <f t="shared" si="37"/>
        <v>0</v>
      </c>
      <c r="Y71" s="189">
        <f t="shared" si="38"/>
        <v>621.07672500000001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>
        <v>729</v>
      </c>
      <c r="Q72" s="228">
        <v>2002</v>
      </c>
      <c r="R72" s="222">
        <v>355.37</v>
      </c>
      <c r="S72" s="228"/>
      <c r="T72" s="228"/>
      <c r="U72" s="189">
        <f t="shared" si="34"/>
        <v>0</v>
      </c>
      <c r="V72" s="189">
        <f t="shared" si="35"/>
        <v>2.6652749999999998</v>
      </c>
      <c r="W72" s="189">
        <f t="shared" si="36"/>
        <v>0</v>
      </c>
      <c r="X72" s="189">
        <f t="shared" si="37"/>
        <v>0</v>
      </c>
      <c r="Y72" s="189">
        <f t="shared" si="38"/>
        <v>352.704725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>
        <v>730</v>
      </c>
      <c r="Q73" s="228">
        <v>2002</v>
      </c>
      <c r="R73" s="222">
        <v>863.21</v>
      </c>
      <c r="S73" s="228"/>
      <c r="T73" s="222"/>
      <c r="U73" s="189">
        <f t="shared" si="34"/>
        <v>0</v>
      </c>
      <c r="V73" s="189">
        <f t="shared" si="35"/>
        <v>6.474075</v>
      </c>
      <c r="W73" s="189">
        <f t="shared" si="36"/>
        <v>0</v>
      </c>
      <c r="X73" s="189">
        <f t="shared" si="37"/>
        <v>0</v>
      </c>
      <c r="Y73" s="189">
        <f t="shared" si="38"/>
        <v>856.73592500000007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 t="s">
        <v>237</v>
      </c>
      <c r="Q74" s="228">
        <v>2001</v>
      </c>
      <c r="R74" s="222">
        <f>606.05+1153.88</f>
        <v>1759.93</v>
      </c>
      <c r="S74" s="228"/>
      <c r="T74" s="228">
        <v>75.75</v>
      </c>
      <c r="U74" s="189">
        <f t="shared" si="34"/>
        <v>3.2650862068965516</v>
      </c>
      <c r="V74" s="189">
        <f t="shared" si="35"/>
        <v>13.199475</v>
      </c>
      <c r="W74" s="189">
        <f t="shared" si="36"/>
        <v>0</v>
      </c>
      <c r="X74" s="189">
        <f t="shared" si="37"/>
        <v>1.89375</v>
      </c>
      <c r="Y74" s="189">
        <f t="shared" si="38"/>
        <v>1746.7305250000002</v>
      </c>
      <c r="Z74" s="189">
        <f t="shared" si="38"/>
        <v>0</v>
      </c>
      <c r="AA74" s="189">
        <f t="shared" si="39"/>
        <v>70.591163793103448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3772.5</v>
      </c>
      <c r="S75" s="192"/>
      <c r="T75" s="192">
        <f>SUM(T70:T74)</f>
        <v>75.75</v>
      </c>
      <c r="U75" s="192">
        <f>SUM(U70:U74)</f>
        <v>3.2650862068965516</v>
      </c>
      <c r="V75" s="192">
        <f t="shared" ref="V75:AA75" si="41">SUM(V70:V74)</f>
        <v>28.293749999999999</v>
      </c>
      <c r="W75" s="192">
        <f t="shared" si="41"/>
        <v>0</v>
      </c>
      <c r="X75" s="192">
        <f t="shared" si="41"/>
        <v>1.89375</v>
      </c>
      <c r="Y75" s="192">
        <f t="shared" si="41"/>
        <v>3744.2062500000002</v>
      </c>
      <c r="Z75" s="192">
        <f t="shared" si="41"/>
        <v>0</v>
      </c>
      <c r="AA75" s="193">
        <f t="shared" si="41"/>
        <v>70.591163793103448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/>
      <c r="Q78" s="137">
        <v>4.4400000000000004</v>
      </c>
      <c r="R78" s="82">
        <v>7.4999999999999997E-3</v>
      </c>
      <c r="S78" s="216">
        <f>+(P78+Q78)*R78</f>
        <v>3.3300000000000003E-2</v>
      </c>
      <c r="T78" s="246">
        <f>+(P78+Q78)-S78</f>
        <v>4.4067000000000007</v>
      </c>
      <c r="U78" s="211">
        <v>64.23</v>
      </c>
      <c r="V78" s="112"/>
      <c r="W78" s="113">
        <v>1.4999999999999999E-2</v>
      </c>
      <c r="X78" s="217">
        <f>+(U78+V78)*W78</f>
        <v>0.96345000000000003</v>
      </c>
      <c r="Y78" s="246">
        <f>+(U78+V78)-X78</f>
        <v>63.266550000000002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22.76</v>
      </c>
      <c r="Q79" s="137"/>
      <c r="R79" s="82">
        <v>7.4999999999999997E-3</v>
      </c>
      <c r="S79" s="216">
        <f t="shared" ref="S79:S97" si="43">+(P79+Q79)*R79</f>
        <v>0.17070000000000002</v>
      </c>
      <c r="T79" s="246">
        <f t="shared" ref="T79:T97" si="44">+(P79+Q79)-S79</f>
        <v>22.589300000000001</v>
      </c>
      <c r="U79" s="211">
        <v>28.83</v>
      </c>
      <c r="V79" s="112"/>
      <c r="W79" s="113">
        <v>1.4999999999999999E-2</v>
      </c>
      <c r="X79" s="217">
        <f t="shared" ref="X79:X97" si="45">+(U79+V79)*W79</f>
        <v>0.43244999999999995</v>
      </c>
      <c r="Y79" s="246">
        <f t="shared" ref="Y79:Y97" si="46">+(U79+V79)-X79</f>
        <v>28.397549999999999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211">
        <v>23.93</v>
      </c>
      <c r="V80" s="112"/>
      <c r="W80" s="113">
        <v>1.4999999999999999E-2</v>
      </c>
      <c r="X80" s="217">
        <f t="shared" si="45"/>
        <v>0.35894999999999999</v>
      </c>
      <c r="Y80" s="213">
        <f t="shared" si="46"/>
        <v>23.57105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35.19</v>
      </c>
      <c r="Q81" s="137"/>
      <c r="R81" s="82">
        <v>7.4999999999999997E-3</v>
      </c>
      <c r="S81" s="216">
        <f t="shared" si="43"/>
        <v>0.26392499999999997</v>
      </c>
      <c r="T81" s="219">
        <f t="shared" si="44"/>
        <v>34.926074999999997</v>
      </c>
      <c r="U81" s="211">
        <v>19.690000000000001</v>
      </c>
      <c r="V81" s="112"/>
      <c r="W81" s="113">
        <v>1.4999999999999999E-2</v>
      </c>
      <c r="X81" s="217">
        <f t="shared" si="45"/>
        <v>0.29535</v>
      </c>
      <c r="Y81" s="213">
        <f t="shared" si="46"/>
        <v>19.394650000000002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216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57.95</v>
      </c>
      <c r="Q98" s="195">
        <f>SUM(Q78:Q97)</f>
        <v>4.4400000000000004</v>
      </c>
      <c r="R98" s="111"/>
      <c r="S98" s="195">
        <f>SUM(S78:S97)</f>
        <v>0.46792499999999998</v>
      </c>
      <c r="T98" s="195">
        <f>SUM(T78:T97)</f>
        <v>61.922075</v>
      </c>
      <c r="U98" s="114">
        <f>SUM(U78:U97)</f>
        <v>136.68</v>
      </c>
      <c r="V98" s="114">
        <f>SUM(V78:V97)</f>
        <v>0</v>
      </c>
      <c r="W98" s="112"/>
      <c r="X98" s="197">
        <f>SUM(X78:X97)</f>
        <v>2.0501999999999998</v>
      </c>
      <c r="Y98" s="197">
        <f>SUM(Y78:Y97)</f>
        <v>134.62980000000002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68.67</v>
      </c>
    </row>
    <row r="101" spans="14:30" x14ac:dyDescent="0.25">
      <c r="N101" s="85"/>
      <c r="P101" s="212">
        <f>P79+Q79+U79</f>
        <v>51.59</v>
      </c>
      <c r="R101" s="215">
        <f>P78+Q78+U78</f>
        <v>68.67</v>
      </c>
    </row>
    <row r="102" spans="14:30" x14ac:dyDescent="0.25">
      <c r="N102" s="85"/>
      <c r="R102" s="215">
        <f>P79+Q79+U79</f>
        <v>51.59</v>
      </c>
    </row>
    <row r="103" spans="14:30" x14ac:dyDescent="0.25">
      <c r="N103" s="85"/>
      <c r="R103" s="215">
        <f>P80+Q80+U80</f>
        <v>23.93</v>
      </c>
    </row>
    <row r="104" spans="14:30" x14ac:dyDescent="0.25">
      <c r="N104" s="85"/>
      <c r="R104" s="212">
        <f>P81+Q81+U81</f>
        <v>54.879999999999995</v>
      </c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3" priority="1" operator="greaterThan">
      <formula>0</formula>
    </cfRule>
    <cfRule type="cellIs" dxfId="2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8" zoomScale="90" zoomScaleNormal="90" workbookViewId="0">
      <selection activeCell="A91" sqref="A9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169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170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44763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234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532.5</v>
      </c>
      <c r="C12" s="15"/>
      <c r="D12" s="56"/>
      <c r="E12" s="16"/>
      <c r="F12" s="56"/>
      <c r="G12" s="56"/>
      <c r="H12" s="17"/>
      <c r="I12" s="83">
        <v>532.5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400</v>
      </c>
      <c r="C13" s="15"/>
      <c r="D13" s="56"/>
      <c r="E13" s="16"/>
      <c r="F13" s="56"/>
      <c r="G13" s="56"/>
      <c r="H13" s="17"/>
      <c r="I13" s="83">
        <v>400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2292</v>
      </c>
      <c r="C14" s="15"/>
      <c r="D14" s="56"/>
      <c r="E14" s="16"/>
      <c r="F14" s="56"/>
      <c r="G14" s="56"/>
      <c r="H14" s="17"/>
      <c r="I14" s="83">
        <v>2292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 t="s">
        <v>166</v>
      </c>
      <c r="T16" s="157"/>
      <c r="U16" s="189">
        <f t="shared" si="2"/>
        <v>0</v>
      </c>
      <c r="V16" s="189">
        <f t="shared" si="3"/>
        <v>0</v>
      </c>
      <c r="W16" s="189">
        <v>0</v>
      </c>
      <c r="X16" s="189">
        <f t="shared" si="5"/>
        <v>0</v>
      </c>
      <c r="Y16" s="189">
        <f t="shared" si="6"/>
        <v>0</v>
      </c>
      <c r="Z16" s="189" t="e">
        <f t="shared" si="6"/>
        <v>#VALUE!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400</v>
      </c>
      <c r="C19" s="95"/>
      <c r="D19" s="94"/>
      <c r="E19" s="96"/>
      <c r="F19" s="94"/>
      <c r="G19" s="94"/>
      <c r="H19" s="98"/>
      <c r="I19" s="99">
        <v>400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2292</v>
      </c>
      <c r="C20" s="95"/>
      <c r="D20" s="94"/>
      <c r="E20" s="96"/>
      <c r="F20" s="94"/>
      <c r="G20" s="94"/>
      <c r="H20" s="98"/>
      <c r="I20" s="99">
        <v>2292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 t="e">
        <f t="shared" si="8"/>
        <v>#VALUE!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44764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5951.7899999999991</v>
      </c>
      <c r="C49" s="116">
        <v>7.4999999999999997E-3</v>
      </c>
      <c r="D49" s="117">
        <f t="shared" si="18"/>
        <v>44.638424999999991</v>
      </c>
      <c r="E49" s="172">
        <v>0</v>
      </c>
      <c r="F49" s="117">
        <f t="shared" si="15"/>
        <v>0</v>
      </c>
      <c r="G49" s="117">
        <f t="shared" si="16"/>
        <v>5907.151574999999</v>
      </c>
      <c r="H49" s="173">
        <f t="shared" si="19"/>
        <v>44764</v>
      </c>
      <c r="I49" s="176">
        <f>401.06+5550.73</f>
        <v>5951.79</v>
      </c>
      <c r="J49" s="81">
        <f t="shared" si="0"/>
        <v>0</v>
      </c>
      <c r="K49" s="80"/>
      <c r="L49" s="186">
        <f t="shared" si="17"/>
        <v>5907.151574999999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235.35</v>
      </c>
      <c r="C50" s="116">
        <v>7.4999999999999997E-3</v>
      </c>
      <c r="D50" s="117">
        <f t="shared" si="18"/>
        <v>1.7651249999999998</v>
      </c>
      <c r="E50" s="172">
        <v>0</v>
      </c>
      <c r="F50" s="117">
        <f t="shared" si="15"/>
        <v>0</v>
      </c>
      <c r="G50" s="117">
        <f t="shared" si="16"/>
        <v>233.58487499999998</v>
      </c>
      <c r="H50" s="173">
        <f t="shared" si="19"/>
        <v>44764</v>
      </c>
      <c r="I50" s="175"/>
      <c r="J50" s="81">
        <f t="shared" si="0"/>
        <v>235.35</v>
      </c>
      <c r="K50" s="80"/>
      <c r="L50" s="186">
        <f t="shared" si="17"/>
        <v>233.58487499999998</v>
      </c>
      <c r="M50" s="107"/>
      <c r="N50" s="104">
        <v>8</v>
      </c>
      <c r="O50" s="167" t="s">
        <v>70</v>
      </c>
      <c r="P50" s="158"/>
      <c r="Q50" s="158"/>
      <c r="R50" s="160"/>
      <c r="S50" s="160"/>
      <c r="T50" s="160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157.08999999999997</v>
      </c>
      <c r="C51" s="116">
        <v>1.4999999999999999E-2</v>
      </c>
      <c r="D51" s="117">
        <f>+B51*C51</f>
        <v>2.3563499999999995</v>
      </c>
      <c r="E51" s="172">
        <v>0</v>
      </c>
      <c r="F51" s="117">
        <f>D51*E51</f>
        <v>0</v>
      </c>
      <c r="G51" s="117">
        <f t="shared" si="16"/>
        <v>154.73364999999998</v>
      </c>
      <c r="H51" s="173">
        <f t="shared" si="19"/>
        <v>44764</v>
      </c>
      <c r="I51" s="175">
        <v>392.24</v>
      </c>
      <c r="J51" s="81">
        <f t="shared" si="0"/>
        <v>-235.15000000000003</v>
      </c>
      <c r="K51" s="80"/>
      <c r="L51" s="186">
        <f t="shared" si="17"/>
        <v>154.73364999999998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44764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174</v>
      </c>
      <c r="B56" s="117">
        <f>T75</f>
        <v>195.27</v>
      </c>
      <c r="C56" s="116">
        <v>2.5000000000000001E-2</v>
      </c>
      <c r="D56" s="117">
        <f t="shared" si="20"/>
        <v>4.8817500000000003</v>
      </c>
      <c r="E56" s="172">
        <v>0.05</v>
      </c>
      <c r="F56" s="117">
        <f t="shared" si="21"/>
        <v>8.4168103448275868</v>
      </c>
      <c r="G56" s="117">
        <f t="shared" si="22"/>
        <v>181.97143965517242</v>
      </c>
      <c r="H56" s="173">
        <f t="shared" si="19"/>
        <v>44764</v>
      </c>
      <c r="I56" s="176">
        <v>195.27</v>
      </c>
      <c r="J56" s="81">
        <f t="shared" si="0"/>
        <v>0</v>
      </c>
      <c r="K56" s="80"/>
      <c r="L56" s="186">
        <f t="shared" si="17"/>
        <v>181.97143965517242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53.641649999999984</v>
      </c>
      <c r="E61" s="177"/>
      <c r="F61" s="57">
        <f>SUM(F46:F58)</f>
        <v>8.4168103448275868</v>
      </c>
      <c r="G61" s="57">
        <f>SUM(G46:G58)</f>
        <v>6477.4415396551713</v>
      </c>
      <c r="H61" s="173">
        <f t="shared" si="19"/>
        <v>44764</v>
      </c>
      <c r="I61" s="175"/>
      <c r="J61" s="81">
        <f t="shared" si="0"/>
        <v>0</v>
      </c>
      <c r="K61" s="80"/>
      <c r="L61" s="186">
        <f t="shared" si="17"/>
        <v>6477.4415396551713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12954.883079310343</v>
      </c>
      <c r="H64" s="184"/>
      <c r="I64" s="175"/>
      <c r="J64" s="81">
        <f t="shared" si="0"/>
        <v>0</v>
      </c>
      <c r="K64" s="80"/>
      <c r="L64" s="186">
        <f t="shared" si="17"/>
        <v>12954.883079310343</v>
      </c>
      <c r="M64" s="130"/>
      <c r="N64" s="87">
        <v>1</v>
      </c>
      <c r="O64" s="122" t="s">
        <v>171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9364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9301.31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9356.44</v>
      </c>
      <c r="C69" s="59"/>
      <c r="F69" s="87" t="s">
        <v>129</v>
      </c>
      <c r="G69" s="22"/>
      <c r="H69" s="89"/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-55.130000000001019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251</v>
      </c>
      <c r="Q70" s="222">
        <v>2001</v>
      </c>
      <c r="R70" s="222">
        <v>244.27</v>
      </c>
      <c r="S70" s="228"/>
      <c r="T70" s="222"/>
      <c r="U70" s="189">
        <f t="shared" ref="U70:U74" si="34">((T70/U$10)*U$9)</f>
        <v>0</v>
      </c>
      <c r="V70" s="189">
        <f t="shared" ref="V70:V74" si="35">R70*V$10</f>
        <v>1.832025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242.43797500000002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7.5599999999994907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>
        <v>124</v>
      </c>
      <c r="Q71" s="228">
        <v>1001</v>
      </c>
      <c r="R71" s="222">
        <v>156.79</v>
      </c>
      <c r="S71" s="228"/>
      <c r="T71" s="228">
        <v>195.27</v>
      </c>
      <c r="U71" s="189">
        <f t="shared" si="34"/>
        <v>8.4168103448275868</v>
      </c>
      <c r="V71" s="189">
        <f t="shared" si="35"/>
        <v>1.1759249999999999</v>
      </c>
      <c r="W71" s="189">
        <f t="shared" si="36"/>
        <v>0</v>
      </c>
      <c r="X71" s="189">
        <f t="shared" si="37"/>
        <v>4.8817500000000003</v>
      </c>
      <c r="Y71" s="189">
        <f t="shared" si="38"/>
        <v>155.61407499999999</v>
      </c>
      <c r="Z71" s="189">
        <f t="shared" si="38"/>
        <v>0</v>
      </c>
      <c r="AA71" s="189">
        <f t="shared" si="39"/>
        <v>181.97143965517242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182</v>
      </c>
      <c r="P72" s="228">
        <v>49</v>
      </c>
      <c r="Q72" s="228">
        <v>2003</v>
      </c>
      <c r="R72" s="222">
        <v>86.34</v>
      </c>
      <c r="S72" s="228"/>
      <c r="T72" s="228"/>
      <c r="U72" s="189">
        <f t="shared" si="34"/>
        <v>0</v>
      </c>
      <c r="V72" s="189">
        <f t="shared" si="35"/>
        <v>0.64754999999999996</v>
      </c>
      <c r="W72" s="189">
        <f t="shared" si="36"/>
        <v>0</v>
      </c>
      <c r="X72" s="189">
        <f t="shared" si="37"/>
        <v>0</v>
      </c>
      <c r="Y72" s="189">
        <f t="shared" si="38"/>
        <v>85.692450000000008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182</v>
      </c>
      <c r="P73" s="228" t="s">
        <v>239</v>
      </c>
      <c r="Q73" s="228">
        <v>2003</v>
      </c>
      <c r="R73" s="222">
        <f>175.6+1045.05</f>
        <v>1220.6499999999999</v>
      </c>
      <c r="S73" s="228"/>
      <c r="T73" s="228"/>
      <c r="U73" s="189">
        <f t="shared" si="34"/>
        <v>0</v>
      </c>
      <c r="V73" s="189">
        <f t="shared" si="35"/>
        <v>9.1548749999999988</v>
      </c>
      <c r="W73" s="189">
        <f t="shared" si="36"/>
        <v>0</v>
      </c>
      <c r="X73" s="189">
        <f t="shared" si="37"/>
        <v>0</v>
      </c>
      <c r="Y73" s="189">
        <f t="shared" si="38"/>
        <v>1211.4951249999999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182</v>
      </c>
      <c r="P74" s="228" t="s">
        <v>238</v>
      </c>
      <c r="Q74" s="228">
        <v>2002</v>
      </c>
      <c r="R74" s="222">
        <f>1081.12+1395.43+1767.19</f>
        <v>4243.74</v>
      </c>
      <c r="S74" s="228"/>
      <c r="T74" s="228"/>
      <c r="U74" s="189">
        <f t="shared" si="34"/>
        <v>0</v>
      </c>
      <c r="V74" s="189">
        <f t="shared" si="35"/>
        <v>31.828049999999998</v>
      </c>
      <c r="W74" s="189">
        <f t="shared" si="36"/>
        <v>0</v>
      </c>
      <c r="X74" s="189">
        <f t="shared" si="37"/>
        <v>0</v>
      </c>
      <c r="Y74" s="189">
        <f t="shared" si="38"/>
        <v>4211.9119499999997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5951.7899999999991</v>
      </c>
      <c r="S75" s="192"/>
      <c r="T75" s="192">
        <f>SUM(T70:T74)</f>
        <v>195.27</v>
      </c>
      <c r="U75" s="192">
        <f>SUM(U70:U74)</f>
        <v>8.4168103448275868</v>
      </c>
      <c r="V75" s="192">
        <f t="shared" ref="V75:AA75" si="41">SUM(V70:V74)</f>
        <v>44.638424999999998</v>
      </c>
      <c r="W75" s="192">
        <f t="shared" si="41"/>
        <v>0</v>
      </c>
      <c r="X75" s="192">
        <f t="shared" si="41"/>
        <v>4.8817500000000003</v>
      </c>
      <c r="Y75" s="192">
        <f t="shared" si="41"/>
        <v>5907.1515749999999</v>
      </c>
      <c r="Z75" s="192">
        <f t="shared" si="41"/>
        <v>0</v>
      </c>
      <c r="AA75" s="193">
        <f t="shared" si="41"/>
        <v>181.97143965517242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>
        <v>22.46</v>
      </c>
      <c r="V78" s="112"/>
      <c r="W78" s="113">
        <v>1.4999999999999999E-2</v>
      </c>
      <c r="X78" s="196">
        <f>+(U78+V78)*W78</f>
        <v>0.33689999999999998</v>
      </c>
      <c r="Y78" s="246">
        <f>+(U78+V78)-X78</f>
        <v>22.123100000000001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17.989999999999998</v>
      </c>
      <c r="Q79" s="137">
        <v>1.52</v>
      </c>
      <c r="R79" s="82">
        <v>7.4999999999999997E-3</v>
      </c>
      <c r="S79" s="194">
        <f t="shared" ref="S79:S97" si="43">+(P79+Q79)*R79</f>
        <v>0.14632499999999998</v>
      </c>
      <c r="T79" s="219">
        <f t="shared" ref="T79:T97" si="44">+(P79+Q79)-S79</f>
        <v>19.363674999999997</v>
      </c>
      <c r="U79" s="211">
        <v>73.05</v>
      </c>
      <c r="V79" s="112"/>
      <c r="W79" s="113">
        <v>1.4999999999999999E-2</v>
      </c>
      <c r="X79" s="196">
        <f t="shared" ref="X79:X97" si="45">+(U79+V79)*W79</f>
        <v>1.09575</v>
      </c>
      <c r="Y79" s="213">
        <f t="shared" ref="Y79:Y97" si="46">+(U79+V79)-X79</f>
        <v>71.954250000000002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14.55</v>
      </c>
      <c r="Q80" s="137">
        <v>201.29</v>
      </c>
      <c r="R80" s="82">
        <v>7.4999999999999997E-3</v>
      </c>
      <c r="S80" s="194">
        <f t="shared" si="43"/>
        <v>1.6188</v>
      </c>
      <c r="T80" s="219">
        <f t="shared" si="44"/>
        <v>214.22120000000001</v>
      </c>
      <c r="U80" s="211">
        <v>61.58</v>
      </c>
      <c r="V80" s="112"/>
      <c r="W80" s="113">
        <v>1.4999999999999999E-2</v>
      </c>
      <c r="X80" s="196">
        <f t="shared" si="45"/>
        <v>0.92369999999999997</v>
      </c>
      <c r="Y80" s="213">
        <f t="shared" si="46"/>
        <v>60.656300000000002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32.54</v>
      </c>
      <c r="Q98" s="195">
        <f>SUM(Q78:Q97)</f>
        <v>202.81</v>
      </c>
      <c r="R98" s="111"/>
      <c r="S98" s="195">
        <f>SUM(S78:S97)</f>
        <v>1.7651250000000001</v>
      </c>
      <c r="T98" s="195">
        <f>SUM(T78:T97)</f>
        <v>233.58487500000001</v>
      </c>
      <c r="U98" s="114">
        <f>SUM(U78:U97)</f>
        <v>157.08999999999997</v>
      </c>
      <c r="V98" s="114">
        <f>SUM(V78:V97)</f>
        <v>0</v>
      </c>
      <c r="W98" s="112"/>
      <c r="X98" s="197">
        <f>SUM(X78:X97)</f>
        <v>2.3563499999999999</v>
      </c>
      <c r="Y98" s="197">
        <f>SUM(Y78:Y97)</f>
        <v>154.73365000000001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22.46</v>
      </c>
    </row>
    <row r="103" spans="14:30" x14ac:dyDescent="0.25">
      <c r="N103" s="85"/>
      <c r="Q103" s="215">
        <f>P79+Q79+U79</f>
        <v>92.56</v>
      </c>
    </row>
    <row r="104" spans="14:30" x14ac:dyDescent="0.25">
      <c r="N104" s="85"/>
      <c r="Q104" s="215">
        <f>P80+Q80+U80</f>
        <v>277.42</v>
      </c>
    </row>
    <row r="105" spans="14:30" x14ac:dyDescent="0.25">
      <c r="N105" s="85"/>
      <c r="Q105" s="215">
        <f>P81+Q81+U81</f>
        <v>0</v>
      </c>
    </row>
    <row r="106" spans="14:30" x14ac:dyDescent="0.25">
      <c r="N106" s="85"/>
      <c r="Q106" s="212">
        <f>P82+Q82+U82</f>
        <v>0</v>
      </c>
    </row>
    <row r="107" spans="14:30" x14ac:dyDescent="0.25">
      <c r="N107" s="85"/>
      <c r="Q107" s="224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21" priority="1" operator="greaterThan">
      <formula>0</formula>
    </cfRule>
    <cfRule type="cellIs" dxfId="2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6" zoomScale="90" zoomScaleNormal="90" workbookViewId="0">
      <selection activeCell="D41" sqref="D41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88"/>
      <c r="B1" s="292" t="s">
        <v>12</v>
      </c>
      <c r="C1" s="293"/>
      <c r="D1" s="293"/>
      <c r="E1" s="293"/>
      <c r="F1" s="293"/>
      <c r="G1" s="293"/>
      <c r="H1" s="293"/>
      <c r="I1" s="294"/>
    </row>
    <row r="2" spans="1:9" s="84" customFormat="1" ht="16.5" customHeight="1" x14ac:dyDescent="0.25">
      <c r="A2" s="288"/>
      <c r="B2" s="295" t="s">
        <v>13</v>
      </c>
      <c r="C2" s="296"/>
      <c r="D2" s="296"/>
      <c r="E2" s="296"/>
      <c r="F2" s="296"/>
      <c r="G2" s="296"/>
      <c r="H2" s="296"/>
      <c r="I2" s="297"/>
    </row>
    <row r="3" spans="1:9" s="84" customFormat="1" ht="16.5" customHeight="1" x14ac:dyDescent="0.25">
      <c r="A3" s="288"/>
      <c r="B3" s="291"/>
      <c r="C3" s="291"/>
      <c r="D3" s="291"/>
      <c r="E3" s="291"/>
      <c r="F3" s="291"/>
      <c r="G3" s="291"/>
      <c r="H3" s="291"/>
      <c r="I3" s="291"/>
    </row>
    <row r="4" spans="1:9" x14ac:dyDescent="0.25">
      <c r="B4" s="291"/>
      <c r="C4" s="291"/>
      <c r="D4" s="291"/>
      <c r="E4" s="291"/>
      <c r="F4" s="291"/>
      <c r="G4" s="291"/>
    </row>
    <row r="6" spans="1:9" ht="15.75" thickBot="1" x14ac:dyDescent="0.3"/>
    <row r="7" spans="1:9" x14ac:dyDescent="0.25">
      <c r="E7" s="289" t="s">
        <v>14</v>
      </c>
      <c r="F7" s="290"/>
    </row>
    <row r="8" spans="1:9" ht="27" customHeight="1" x14ac:dyDescent="0.25">
      <c r="A8" s="45" t="s">
        <v>33</v>
      </c>
      <c r="B8" s="45" t="s">
        <v>1</v>
      </c>
      <c r="C8" s="45" t="s">
        <v>2</v>
      </c>
      <c r="D8" s="52" t="s">
        <v>27</v>
      </c>
      <c r="E8" s="49" t="s">
        <v>1</v>
      </c>
      <c r="F8" s="50" t="s">
        <v>2</v>
      </c>
      <c r="G8" s="51" t="s">
        <v>53</v>
      </c>
      <c r="H8" s="51" t="s">
        <v>54</v>
      </c>
    </row>
    <row r="9" spans="1:9" x14ac:dyDescent="0.25">
      <c r="A9" s="46">
        <f>'DIA 1'!B$6</f>
        <v>44774</v>
      </c>
      <c r="B9" s="199">
        <f>+'DIA 1'!G$47</f>
        <v>0</v>
      </c>
      <c r="C9" s="199">
        <f>+'DIA 1'!G$53</f>
        <v>0</v>
      </c>
      <c r="D9" s="203">
        <f>B9+C9</f>
        <v>0</v>
      </c>
      <c r="E9" s="204">
        <f>+'DIA 1'!K$47</f>
        <v>0</v>
      </c>
      <c r="F9" s="205">
        <f>+'DIA 1'!K$53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44775</v>
      </c>
      <c r="B10" s="199">
        <f>'DIA 2'!G$47</f>
        <v>0</v>
      </c>
      <c r="C10" s="199">
        <f>'DIA 2'!G$53</f>
        <v>0</v>
      </c>
      <c r="D10" s="203">
        <f t="shared" ref="D10:D39" si="0">B10+C10</f>
        <v>0</v>
      </c>
      <c r="E10" s="199">
        <f>'DIA 2'!K$47</f>
        <v>0</v>
      </c>
      <c r="F10" s="199">
        <f>'DIA 2'!K$53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44776</v>
      </c>
      <c r="B11" s="199">
        <f>'DIA 3'!G$47</f>
        <v>0</v>
      </c>
      <c r="C11" s="199">
        <f>'DIA 3'!G$53</f>
        <v>0</v>
      </c>
      <c r="D11" s="203">
        <f t="shared" si="0"/>
        <v>0</v>
      </c>
      <c r="E11" s="199">
        <f>'DIA 3'!K$47</f>
        <v>0</v>
      </c>
      <c r="F11" s="199">
        <f>'DIA 3'!K$53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44777</v>
      </c>
      <c r="B12" s="199">
        <f>'DIA 4'!G$47</f>
        <v>0</v>
      </c>
      <c r="C12" s="199">
        <f>'DIA 4'!G$53</f>
        <v>0</v>
      </c>
      <c r="D12" s="203">
        <f t="shared" si="0"/>
        <v>0</v>
      </c>
      <c r="E12" s="199">
        <f>'DIA 4'!K$47</f>
        <v>0</v>
      </c>
      <c r="F12" s="199">
        <f>'DIA 4'!K$53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44778</v>
      </c>
      <c r="B13" s="199">
        <f>'DIA 5'!G$47</f>
        <v>0</v>
      </c>
      <c r="C13" s="199">
        <f>'DIA 5'!G$53</f>
        <v>0</v>
      </c>
      <c r="D13" s="203">
        <f t="shared" si="0"/>
        <v>0</v>
      </c>
      <c r="E13" s="199">
        <f>'DIA 5'!K$47</f>
        <v>0</v>
      </c>
      <c r="F13" s="199">
        <f>'DIA 5'!K$53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44779</v>
      </c>
      <c r="B14" s="199">
        <f>'DIA 6'!G$47</f>
        <v>0</v>
      </c>
      <c r="C14" s="199">
        <f>'DIA 6'!G$53</f>
        <v>0</v>
      </c>
      <c r="D14" s="203">
        <f t="shared" si="0"/>
        <v>0</v>
      </c>
      <c r="E14" s="199">
        <f>'DIA 6'!K$47</f>
        <v>0</v>
      </c>
      <c r="F14" s="199">
        <f>'DIA 6'!K$53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44780</v>
      </c>
      <c r="B15" s="199">
        <f>'DIA 7'!G$47</f>
        <v>0</v>
      </c>
      <c r="C15" s="199">
        <f>'DIA 7'!G$53</f>
        <v>0</v>
      </c>
      <c r="D15" s="203">
        <f t="shared" si="0"/>
        <v>0</v>
      </c>
      <c r="E15" s="199">
        <f>'DIA 7'!K$47</f>
        <v>0</v>
      </c>
      <c r="F15" s="199">
        <f>'DIA 7'!K$53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44781</v>
      </c>
      <c r="B16" s="199">
        <f>'DIA 8'!G$47</f>
        <v>0</v>
      </c>
      <c r="C16" s="199">
        <f>'DIA 8'!G$53</f>
        <v>0</v>
      </c>
      <c r="D16" s="203">
        <f t="shared" si="0"/>
        <v>0</v>
      </c>
      <c r="E16" s="199">
        <f>'DIA 8'!K$47</f>
        <v>0</v>
      </c>
      <c r="F16" s="199">
        <f>'DIA 8'!K$53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44782</v>
      </c>
      <c r="B17" s="199">
        <f>'DIA 9'!G$47</f>
        <v>0</v>
      </c>
      <c r="C17" s="199">
        <f>'DIA 9'!G$53</f>
        <v>0</v>
      </c>
      <c r="D17" s="203">
        <f t="shared" si="0"/>
        <v>0</v>
      </c>
      <c r="E17" s="199">
        <f>'DIA 9'!K$47</f>
        <v>0</v>
      </c>
      <c r="F17" s="199">
        <f>'DIA 9'!K$53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44783</v>
      </c>
      <c r="B18" s="199">
        <f>'DIA 10'!G$47</f>
        <v>0</v>
      </c>
      <c r="C18" s="199">
        <f>'DIA 10'!G$53</f>
        <v>0</v>
      </c>
      <c r="D18" s="203">
        <f t="shared" si="0"/>
        <v>0</v>
      </c>
      <c r="E18" s="199">
        <f>'DIA 10'!K$47</f>
        <v>0</v>
      </c>
      <c r="F18" s="199">
        <f>'DIA 10'!K$53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44784</v>
      </c>
      <c r="B19" s="199">
        <f>'DIA 11'!G$47</f>
        <v>0</v>
      </c>
      <c r="C19" s="199">
        <f>'DIA 11'!G$53</f>
        <v>0</v>
      </c>
      <c r="D19" s="203">
        <f t="shared" si="0"/>
        <v>0</v>
      </c>
      <c r="E19" s="199">
        <f>'DIA 11'!K$47</f>
        <v>0</v>
      </c>
      <c r="F19" s="199">
        <f>'DIA 11'!K$53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44785</v>
      </c>
      <c r="B20" s="199">
        <f>'DIA 12'!G$47</f>
        <v>0</v>
      </c>
      <c r="C20" s="199">
        <f>'DIA 12'!G$53</f>
        <v>0</v>
      </c>
      <c r="D20" s="203">
        <f t="shared" si="0"/>
        <v>0</v>
      </c>
      <c r="E20" s="199">
        <f>'DIA 12'!K$47</f>
        <v>0</v>
      </c>
      <c r="F20" s="199">
        <f>'DIA 12'!K$53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44786</v>
      </c>
      <c r="B21" s="199">
        <f>'DIA 13'!G$47</f>
        <v>0</v>
      </c>
      <c r="C21" s="199">
        <f>'DIA 13'!G$53</f>
        <v>0</v>
      </c>
      <c r="D21" s="203">
        <f t="shared" si="0"/>
        <v>0</v>
      </c>
      <c r="E21" s="199">
        <f>'DIA 13'!K$47</f>
        <v>0</v>
      </c>
      <c r="F21" s="199">
        <f>'DIA 13'!K$53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44787</v>
      </c>
      <c r="B22" s="199">
        <f>'DIA 14'!G$47</f>
        <v>0</v>
      </c>
      <c r="C22" s="199">
        <f>'DIA 14'!G$53</f>
        <v>0</v>
      </c>
      <c r="D22" s="203">
        <f t="shared" si="0"/>
        <v>0</v>
      </c>
      <c r="E22" s="199">
        <f>'DIA 14'!K$47</f>
        <v>0</v>
      </c>
      <c r="F22" s="199">
        <f>'DIA 14'!K$53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44788</v>
      </c>
      <c r="B23" s="199">
        <f>'DIA 15'!G$47</f>
        <v>0</v>
      </c>
      <c r="C23" s="199">
        <f>'DIA 15'!G$53</f>
        <v>0</v>
      </c>
      <c r="D23" s="203">
        <f t="shared" si="0"/>
        <v>0</v>
      </c>
      <c r="E23" s="199">
        <f>'DIA 15'!K$47</f>
        <v>0</v>
      </c>
      <c r="F23" s="199">
        <f>'DIA 15'!K$53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16'!G$47</f>
        <v>0</v>
      </c>
      <c r="C24" s="199">
        <f>'DIA 16'!G$53</f>
        <v>0</v>
      </c>
      <c r="D24" s="203">
        <f t="shared" si="0"/>
        <v>0</v>
      </c>
      <c r="E24" s="199">
        <f>'DIA 16'!K$47</f>
        <v>0</v>
      </c>
      <c r="F24" s="199">
        <f>'DIA 16'!K$53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17'!G$47</f>
        <v>0</v>
      </c>
      <c r="C25" s="199">
        <f>'DIA 17'!G$53</f>
        <v>0</v>
      </c>
      <c r="D25" s="203">
        <f t="shared" si="0"/>
        <v>0</v>
      </c>
      <c r="E25" s="199">
        <f>'DIA 17'!K$47</f>
        <v>0</v>
      </c>
      <c r="F25" s="199">
        <f>'DIA 17'!K$53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18'!G$47</f>
        <v>0</v>
      </c>
      <c r="C26" s="199">
        <f>'DIA 18'!G$53</f>
        <v>0</v>
      </c>
      <c r="D26" s="203">
        <f t="shared" si="0"/>
        <v>0</v>
      </c>
      <c r="E26" s="199">
        <f>'DIA 18'!K$47</f>
        <v>0</v>
      </c>
      <c r="F26" s="199">
        <f>'DIA 18'!K$53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19'!G$47</f>
        <v>0</v>
      </c>
      <c r="C27" s="199">
        <f>'DIA 19'!G$53</f>
        <v>0</v>
      </c>
      <c r="D27" s="203">
        <f t="shared" si="0"/>
        <v>0</v>
      </c>
      <c r="E27" s="199">
        <f>'DIA 19'!K$47</f>
        <v>0</v>
      </c>
      <c r="F27" s="199">
        <f>'DIA 19'!K$53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44732</v>
      </c>
      <c r="B28" s="199">
        <f>'DIA 20'!G$47</f>
        <v>0</v>
      </c>
      <c r="C28" s="199">
        <f>'DIA 20'!G$53</f>
        <v>0</v>
      </c>
      <c r="D28" s="203">
        <f t="shared" si="0"/>
        <v>0</v>
      </c>
      <c r="E28" s="199">
        <f>'DIA 20'!K$47</f>
        <v>0</v>
      </c>
      <c r="F28" s="199">
        <f>'DIA 20'!K$53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21'!G$47</f>
        <v>0</v>
      </c>
      <c r="C29" s="199">
        <f>'DIA 21'!G$53</f>
        <v>0</v>
      </c>
      <c r="D29" s="203">
        <f t="shared" si="0"/>
        <v>0</v>
      </c>
      <c r="E29" s="199">
        <f>'DIA 21'!K$47</f>
        <v>0</v>
      </c>
      <c r="F29" s="199">
        <f>'DIA 21'!K$53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22'!G$47</f>
        <v>0</v>
      </c>
      <c r="C30" s="199">
        <f>'DIA 22'!G$53</f>
        <v>0</v>
      </c>
      <c r="D30" s="203">
        <f t="shared" si="0"/>
        <v>0</v>
      </c>
      <c r="E30" s="199">
        <f>'DIA 22'!K$47</f>
        <v>0</v>
      </c>
      <c r="F30" s="199">
        <f>'DIA 22'!K$53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23'!G$47</f>
        <v>0</v>
      </c>
      <c r="C31" s="199">
        <f>'DIA 23'!G$53</f>
        <v>0</v>
      </c>
      <c r="D31" s="203">
        <f t="shared" si="0"/>
        <v>0</v>
      </c>
      <c r="E31" s="199">
        <f>'DIA 23'!K$47</f>
        <v>0</v>
      </c>
      <c r="F31" s="199">
        <f>'DIA 23'!K$53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24'!G$47</f>
        <v>0</v>
      </c>
      <c r="C32" s="199">
        <f>'DIA 24'!G$53</f>
        <v>0</v>
      </c>
      <c r="D32" s="203">
        <f t="shared" si="0"/>
        <v>0</v>
      </c>
      <c r="E32" s="199">
        <f>'DIA 24'!K$47</f>
        <v>0</v>
      </c>
      <c r="F32" s="199">
        <f>'DIA 24'!K$53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25'!G$47</f>
        <v>0</v>
      </c>
      <c r="C33" s="199">
        <f>'DIA 25'!G$53</f>
        <v>0</v>
      </c>
      <c r="D33" s="203">
        <f t="shared" si="0"/>
        <v>0</v>
      </c>
      <c r="E33" s="199">
        <f>'DIA 25'!K$47</f>
        <v>0</v>
      </c>
      <c r="F33" s="199">
        <f>'DIA 25'!K$53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26'!G$47</f>
        <v>0</v>
      </c>
      <c r="C34" s="199">
        <f>'DIA 26'!G$53</f>
        <v>0</v>
      </c>
      <c r="D34" s="203">
        <f t="shared" si="0"/>
        <v>0</v>
      </c>
      <c r="E34" s="199">
        <f>'DIA 26'!K$47</f>
        <v>0</v>
      </c>
      <c r="F34" s="199">
        <f>'DIA 26'!K$53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44769</v>
      </c>
      <c r="B35" s="199">
        <f>'DIA 27'!G$47</f>
        <v>0</v>
      </c>
      <c r="C35" s="199">
        <f>'DIA 27'!G$53</f>
        <v>0</v>
      </c>
      <c r="D35" s="203">
        <f t="shared" si="0"/>
        <v>0</v>
      </c>
      <c r="E35" s="199">
        <f>'DIA 27'!K$47</f>
        <v>0</v>
      </c>
      <c r="F35" s="199">
        <f>'DIA 27'!K$53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28'!G$47</f>
        <v>0</v>
      </c>
      <c r="C36" s="199">
        <f>'DIA 28'!G$53</f>
        <v>0</v>
      </c>
      <c r="D36" s="203">
        <f t="shared" si="0"/>
        <v>0</v>
      </c>
      <c r="E36" s="199">
        <f>'DIA 28'!K$47</f>
        <v>0</v>
      </c>
      <c r="F36" s="199">
        <f>'DIA 28'!K$53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44771</v>
      </c>
      <c r="B37" s="199">
        <f>'DIA 29'!G$47</f>
        <v>0</v>
      </c>
      <c r="C37" s="199">
        <f>'DIA 29'!G$53</f>
        <v>0</v>
      </c>
      <c r="D37" s="203">
        <f t="shared" si="0"/>
        <v>0</v>
      </c>
      <c r="E37" s="199">
        <f>'DIA 29'!K$47</f>
        <v>0</v>
      </c>
      <c r="F37" s="199">
        <f>'DIA 29'!K$53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44772</v>
      </c>
      <c r="B38" s="199">
        <f>'DIA 30'!G$47</f>
        <v>0</v>
      </c>
      <c r="C38" s="199">
        <f>'DIA 30'!G$53</f>
        <v>0</v>
      </c>
      <c r="D38" s="203">
        <f t="shared" si="0"/>
        <v>0</v>
      </c>
      <c r="E38" s="199">
        <f>'DIA 30'!K$47</f>
        <v>0</v>
      </c>
      <c r="F38" s="199">
        <f>'DIA 30'!K$53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44773</v>
      </c>
      <c r="B39" s="199">
        <f>'DIA 31'!G$47</f>
        <v>0</v>
      </c>
      <c r="C39" s="199">
        <f>'DIA 31'!G$53</f>
        <v>0</v>
      </c>
      <c r="D39" s="203">
        <f t="shared" si="0"/>
        <v>0</v>
      </c>
      <c r="E39" s="199">
        <f>'DIA 31'!K$47</f>
        <v>0</v>
      </c>
      <c r="F39" s="199">
        <f>'DIA 31'!K$53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0</v>
      </c>
      <c r="C40" s="133">
        <f>SUM(C9:C38)</f>
        <v>0</v>
      </c>
      <c r="D40" s="133">
        <f>SUM(D9:D38)</f>
        <v>0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88" priority="5" operator="greaterThan">
      <formula>" Bs.  0"</formula>
    </cfRule>
    <cfRule type="cellIs" dxfId="87" priority="6" operator="lessThan">
      <formula>" Bs.  -2,00 "</formula>
    </cfRule>
  </conditionalFormatting>
  <conditionalFormatting sqref="G9:G39">
    <cfRule type="expression" dxfId="86" priority="4">
      <formula>G9=0</formula>
    </cfRule>
  </conditionalFormatting>
  <conditionalFormatting sqref="H9:H39">
    <cfRule type="cellIs" dxfId="85" priority="2" operator="greaterThan">
      <formula>" Bs.  0"</formula>
    </cfRule>
    <cfRule type="cellIs" dxfId="84" priority="3" operator="lessThan">
      <formula>" Bs.  -2,00 "</formula>
    </cfRule>
  </conditionalFormatting>
  <conditionalFormatting sqref="H9:H39">
    <cfRule type="expression" dxfId="83" priority="1">
      <formula>H9=0</formula>
    </cfRule>
  </conditionalFormatting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3" zoomScale="90" zoomScaleNormal="90" workbookViewId="0">
      <selection activeCell="A9" sqref="A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169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170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44764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943.5</v>
      </c>
      <c r="C12" s="15"/>
      <c r="D12" s="56"/>
      <c r="E12" s="16"/>
      <c r="F12" s="56"/>
      <c r="G12" s="56"/>
      <c r="H12" s="17"/>
      <c r="I12" s="83">
        <v>943.5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9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376</v>
      </c>
      <c r="C13" s="15"/>
      <c r="D13" s="56"/>
      <c r="E13" s="16"/>
      <c r="F13" s="56"/>
      <c r="G13" s="56"/>
      <c r="H13" s="17"/>
      <c r="I13" s="83">
        <v>376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9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2154.48</v>
      </c>
      <c r="C14" s="15"/>
      <c r="D14" s="56"/>
      <c r="E14" s="16"/>
      <c r="F14" s="56"/>
      <c r="G14" s="56"/>
      <c r="H14" s="17"/>
      <c r="I14" s="83">
        <v>2154.48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9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9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9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9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9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376</v>
      </c>
      <c r="C19" s="95"/>
      <c r="D19" s="94"/>
      <c r="E19" s="96"/>
      <c r="F19" s="94"/>
      <c r="G19" s="94"/>
      <c r="H19" s="98"/>
      <c r="I19" s="99">
        <v>376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2154.48</v>
      </c>
      <c r="C20" s="95"/>
      <c r="D20" s="94"/>
      <c r="E20" s="96"/>
      <c r="F20" s="94"/>
      <c r="G20" s="94"/>
      <c r="H20" s="98"/>
      <c r="I20" s="99">
        <v>2154.48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>K31-B31</f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>K32-B32</f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17.260000000000002</v>
      </c>
      <c r="C37" s="100"/>
      <c r="D37" s="66"/>
      <c r="E37" s="67"/>
      <c r="F37" s="66"/>
      <c r="G37" s="66"/>
      <c r="H37" s="102"/>
      <c r="I37" s="79">
        <v>17.260000000000002</v>
      </c>
      <c r="J37" s="81">
        <f t="shared" si="0"/>
        <v>0</v>
      </c>
      <c r="K37" s="80"/>
      <c r="L37" s="186">
        <f>K37-B37</f>
        <v>-17.260000000000002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98.899800000000013</v>
      </c>
      <c r="C38" s="100"/>
      <c r="D38" s="66"/>
      <c r="E38" s="67"/>
      <c r="F38" s="66"/>
      <c r="G38" s="66"/>
      <c r="H38" s="102"/>
      <c r="I38" s="79">
        <v>98.9</v>
      </c>
      <c r="J38" s="81">
        <f t="shared" si="0"/>
        <v>-1.9999999999242846E-4</v>
      </c>
      <c r="K38" s="80"/>
      <c r="L38" s="186">
        <f>K38-B38</f>
        <v>-98.899800000000013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17.260000000000002</v>
      </c>
      <c r="C43" s="95"/>
      <c r="D43" s="94"/>
      <c r="E43" s="96"/>
      <c r="F43" s="94"/>
      <c r="G43" s="94"/>
      <c r="H43" s="98"/>
      <c r="I43" s="99">
        <v>17.260000000000002</v>
      </c>
      <c r="J43" s="185">
        <f t="shared" si="0"/>
        <v>0</v>
      </c>
      <c r="K43" s="99"/>
      <c r="L43" s="187">
        <f>K43-B43</f>
        <v>-17.260000000000002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98.899800000000013</v>
      </c>
      <c r="C44" s="95"/>
      <c r="D44" s="94"/>
      <c r="E44" s="96"/>
      <c r="F44" s="94"/>
      <c r="G44" s="94"/>
      <c r="H44" s="98"/>
      <c r="I44" s="99">
        <v>98.9</v>
      </c>
      <c r="J44" s="185">
        <f t="shared" si="0"/>
        <v>-1.9999999999242846E-4</v>
      </c>
      <c r="K44" s="99"/>
      <c r="L44" s="187">
        <f>K44-B44</f>
        <v>-98.899800000000013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44765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225</v>
      </c>
      <c r="B49" s="117">
        <f>R75</f>
        <v>6069.1100000000006</v>
      </c>
      <c r="C49" s="116">
        <v>7.4999999999999997E-3</v>
      </c>
      <c r="D49" s="117">
        <f t="shared" si="18"/>
        <v>45.518325000000004</v>
      </c>
      <c r="E49" s="172">
        <v>0</v>
      </c>
      <c r="F49" s="117">
        <f t="shared" si="15"/>
        <v>0</v>
      </c>
      <c r="G49" s="117">
        <f t="shared" si="16"/>
        <v>6023.5916750000006</v>
      </c>
      <c r="H49" s="173">
        <f t="shared" si="19"/>
        <v>44765</v>
      </c>
      <c r="I49" s="176">
        <f>557.41+5511.7</f>
        <v>6069.11</v>
      </c>
      <c r="J49" s="81">
        <f t="shared" si="0"/>
        <v>0</v>
      </c>
      <c r="K49" s="80"/>
      <c r="L49" s="186">
        <f t="shared" si="17"/>
        <v>6023.5916750000006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201.73000000000002</v>
      </c>
      <c r="C50" s="116">
        <v>7.4999999999999997E-3</v>
      </c>
      <c r="D50" s="117">
        <f t="shared" si="18"/>
        <v>1.5129750000000002</v>
      </c>
      <c r="E50" s="172">
        <v>0</v>
      </c>
      <c r="F50" s="117">
        <f t="shared" si="15"/>
        <v>0</v>
      </c>
      <c r="G50" s="117">
        <f t="shared" si="16"/>
        <v>200.21702500000001</v>
      </c>
      <c r="H50" s="173">
        <f t="shared" si="19"/>
        <v>44765</v>
      </c>
      <c r="I50" s="175"/>
      <c r="J50" s="81">
        <f t="shared" si="0"/>
        <v>201.73000000000002</v>
      </c>
      <c r="K50" s="80">
        <v>200.22</v>
      </c>
      <c r="L50" s="186">
        <f t="shared" si="17"/>
        <v>-2.9749999999921783E-3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31.519999999999996</v>
      </c>
      <c r="C51" s="116">
        <v>1.4999999999999999E-2</v>
      </c>
      <c r="D51" s="117">
        <f>+B51*C51</f>
        <v>0.47279999999999994</v>
      </c>
      <c r="E51" s="172">
        <v>0</v>
      </c>
      <c r="F51" s="117">
        <f>D51*E51</f>
        <v>0</v>
      </c>
      <c r="G51" s="117">
        <f t="shared" si="16"/>
        <v>31.047199999999997</v>
      </c>
      <c r="H51" s="173">
        <f t="shared" si="19"/>
        <v>44765</v>
      </c>
      <c r="I51" s="175">
        <v>233.25</v>
      </c>
      <c r="J51" s="81">
        <f t="shared" si="0"/>
        <v>-201.73000000000002</v>
      </c>
      <c r="K51" s="80">
        <v>31.05</v>
      </c>
      <c r="L51" s="186">
        <f t="shared" si="17"/>
        <v>-2.8000000000041325E-3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44765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224</v>
      </c>
      <c r="B56" s="117">
        <f>T75</f>
        <v>166.22</v>
      </c>
      <c r="C56" s="116">
        <v>2.5000000000000001E-2</v>
      </c>
      <c r="D56" s="117">
        <f t="shared" si="20"/>
        <v>4.1555</v>
      </c>
      <c r="E56" s="172">
        <v>0.05</v>
      </c>
      <c r="F56" s="117">
        <f t="shared" si="21"/>
        <v>7.1646551724137941</v>
      </c>
      <c r="G56" s="117">
        <f t="shared" si="22"/>
        <v>154.89984482758621</v>
      </c>
      <c r="H56" s="173">
        <f t="shared" si="19"/>
        <v>44765</v>
      </c>
      <c r="I56" s="176">
        <v>166.22</v>
      </c>
      <c r="J56" s="81">
        <f t="shared" si="0"/>
        <v>0</v>
      </c>
      <c r="K56" s="80"/>
      <c r="L56" s="186">
        <f t="shared" si="17"/>
        <v>154.89984482758621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44769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166</v>
      </c>
      <c r="B61" s="56"/>
      <c r="C61" s="18"/>
      <c r="D61" s="57">
        <f>SUM(D46:D58)</f>
        <v>51.659599999999998</v>
      </c>
      <c r="E61" s="177"/>
      <c r="F61" s="57">
        <f>SUM(F46:F58)</f>
        <v>7.1646551724137941</v>
      </c>
      <c r="G61" s="57">
        <f>SUM(G46:G58)</f>
        <v>6409.7557448275866</v>
      </c>
      <c r="H61" s="173">
        <f t="shared" si="19"/>
        <v>44765</v>
      </c>
      <c r="I61" s="175"/>
      <c r="J61" s="81">
        <f t="shared" si="0"/>
        <v>0</v>
      </c>
      <c r="K61" s="80"/>
      <c r="L61" s="186">
        <f t="shared" si="17"/>
        <v>6409.7557448275866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12819.511489655173</v>
      </c>
      <c r="H64" s="184"/>
      <c r="I64" s="175"/>
      <c r="J64" s="81">
        <f t="shared" si="0"/>
        <v>0</v>
      </c>
      <c r="K64" s="80"/>
      <c r="L64" s="186">
        <f t="shared" si="17"/>
        <v>12819.511489655173</v>
      </c>
      <c r="M64" s="130"/>
      <c r="N64" s="87">
        <v>1</v>
      </c>
      <c r="O64" s="122" t="s">
        <v>175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9665.4598000000005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9587.25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9642.7999999999993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-55.549999999999272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222</v>
      </c>
      <c r="Q70" s="228">
        <v>2001</v>
      </c>
      <c r="R70" s="222">
        <v>405.56</v>
      </c>
      <c r="S70" s="228"/>
      <c r="T70" s="222">
        <v>104.36</v>
      </c>
      <c r="U70" s="189">
        <f t="shared" ref="U70:U74" si="34">((T70/U$10)*U$9)</f>
        <v>4.498275862068966</v>
      </c>
      <c r="V70" s="189">
        <f t="shared" ref="V70:V74" si="35">R70*V$10</f>
        <v>3.0417000000000001</v>
      </c>
      <c r="W70" s="189">
        <f t="shared" ref="W70:W74" si="36">+S70*V$10</f>
        <v>0</v>
      </c>
      <c r="X70" s="189">
        <f t="shared" ref="X70:X74" si="37">+T70*X$10</f>
        <v>2.609</v>
      </c>
      <c r="Y70" s="189">
        <f t="shared" ref="Y70:Z74" si="38">R70-V70</f>
        <v>402.51830000000001</v>
      </c>
      <c r="Z70" s="189">
        <f t="shared" si="38"/>
        <v>0</v>
      </c>
      <c r="AA70" s="189">
        <f t="shared" ref="AA70:AA74" si="39">T70-U70-X70</f>
        <v>97.25272413793104</v>
      </c>
      <c r="AB70" s="87"/>
    </row>
    <row r="71" spans="1:30" ht="28.5" customHeight="1" thickBot="1" x14ac:dyDescent="0.3">
      <c r="A71" s="25" t="s">
        <v>57</v>
      </c>
      <c r="B71" s="70">
        <f>(B65-B69)-B72</f>
        <v>22.659800000001269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 t="s">
        <v>240</v>
      </c>
      <c r="Q71" s="228">
        <v>2001</v>
      </c>
      <c r="R71" s="222">
        <f>17.23+134.62</f>
        <v>151.85</v>
      </c>
      <c r="S71" s="228"/>
      <c r="T71" s="228">
        <v>61.86</v>
      </c>
      <c r="U71" s="189">
        <f t="shared" si="34"/>
        <v>2.6663793103448281</v>
      </c>
      <c r="V71" s="189">
        <f t="shared" si="35"/>
        <v>1.1388749999999999</v>
      </c>
      <c r="W71" s="189">
        <f t="shared" si="36"/>
        <v>0</v>
      </c>
      <c r="X71" s="189">
        <f t="shared" si="37"/>
        <v>1.5465</v>
      </c>
      <c r="Y71" s="189">
        <f t="shared" si="38"/>
        <v>150.71112499999998</v>
      </c>
      <c r="Z71" s="189">
        <f t="shared" si="38"/>
        <v>0</v>
      </c>
      <c r="AA71" s="189">
        <f t="shared" si="39"/>
        <v>57.647120689655168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176</v>
      </c>
      <c r="P72" s="228"/>
      <c r="Q72" s="228"/>
      <c r="R72" s="222"/>
      <c r="S72" s="228"/>
      <c r="T72" s="222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176</v>
      </c>
      <c r="P73" s="228" t="s">
        <v>242</v>
      </c>
      <c r="Q73" s="228">
        <v>2001</v>
      </c>
      <c r="R73" s="222">
        <f>986.71+1509.09</f>
        <v>2495.8000000000002</v>
      </c>
      <c r="S73" s="228"/>
      <c r="T73" s="228"/>
      <c r="U73" s="189">
        <f t="shared" si="34"/>
        <v>0</v>
      </c>
      <c r="V73" s="189">
        <f t="shared" si="35"/>
        <v>18.718500000000002</v>
      </c>
      <c r="W73" s="189">
        <f t="shared" si="36"/>
        <v>0</v>
      </c>
      <c r="X73" s="189">
        <f t="shared" si="37"/>
        <v>0</v>
      </c>
      <c r="Y73" s="189">
        <f t="shared" si="38"/>
        <v>2477.0815000000002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176</v>
      </c>
      <c r="P74" s="228" t="s">
        <v>241</v>
      </c>
      <c r="Q74" s="228">
        <v>2002</v>
      </c>
      <c r="R74" s="222">
        <f>1098.39+1917.51</f>
        <v>3015.9</v>
      </c>
      <c r="S74" s="228"/>
      <c r="T74" s="228"/>
      <c r="U74" s="189">
        <f t="shared" si="34"/>
        <v>0</v>
      </c>
      <c r="V74" s="189">
        <f t="shared" si="35"/>
        <v>22.619250000000001</v>
      </c>
      <c r="W74" s="189">
        <f t="shared" si="36"/>
        <v>0</v>
      </c>
      <c r="X74" s="189">
        <f t="shared" si="37"/>
        <v>0</v>
      </c>
      <c r="Y74" s="189">
        <f t="shared" si="38"/>
        <v>2993.2807499999999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6069.1100000000006</v>
      </c>
      <c r="S75" s="192"/>
      <c r="T75" s="192">
        <f>SUM(T70:T74)</f>
        <v>166.22</v>
      </c>
      <c r="U75" s="192">
        <f>SUM(U70:U74)</f>
        <v>7.1646551724137941</v>
      </c>
      <c r="V75" s="192">
        <f t="shared" ref="V75:AA75" si="41">SUM(V70:V74)</f>
        <v>45.518325000000004</v>
      </c>
      <c r="W75" s="192">
        <f t="shared" si="41"/>
        <v>0</v>
      </c>
      <c r="X75" s="192">
        <f t="shared" si="41"/>
        <v>4.1555</v>
      </c>
      <c r="Y75" s="192">
        <f t="shared" si="41"/>
        <v>6023.5916749999997</v>
      </c>
      <c r="Z75" s="192">
        <f t="shared" si="41"/>
        <v>0</v>
      </c>
      <c r="AA75" s="193">
        <f t="shared" si="41"/>
        <v>154.89984482758621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196</v>
      </c>
      <c r="P78" s="137">
        <v>79.75</v>
      </c>
      <c r="Q78" s="137">
        <v>15.75</v>
      </c>
      <c r="R78" s="82">
        <v>7.4999999999999997E-3</v>
      </c>
      <c r="S78" s="194">
        <f>+(P78+Q78)*R78</f>
        <v>0.71624999999999994</v>
      </c>
      <c r="T78" s="246">
        <f>+(P78+Q78)-S78</f>
        <v>94.783749999999998</v>
      </c>
      <c r="U78" s="211">
        <v>21.65</v>
      </c>
      <c r="V78" s="112"/>
      <c r="W78" s="113">
        <v>1.4999999999999999E-2</v>
      </c>
      <c r="X78" s="196">
        <f>+(U78+V78)*W78</f>
        <v>0.32474999999999998</v>
      </c>
      <c r="Y78" s="246">
        <f>+(U78+V78)-X78</f>
        <v>21.325249999999997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200.22</v>
      </c>
      <c r="N79" s="87">
        <v>2</v>
      </c>
      <c r="O79" s="87" t="s">
        <v>196</v>
      </c>
      <c r="P79" s="137">
        <v>87.09</v>
      </c>
      <c r="Q79" s="137">
        <v>19.14</v>
      </c>
      <c r="R79" s="82">
        <v>7.4999999999999997E-3</v>
      </c>
      <c r="S79" s="194">
        <f t="shared" ref="S79:S97" si="43">+(P79+Q79)*R79</f>
        <v>0.79672500000000002</v>
      </c>
      <c r="T79" s="246">
        <f t="shared" ref="T79:T97" si="44">+(P79+Q79)-S79</f>
        <v>105.43327500000001</v>
      </c>
      <c r="U79" s="211">
        <v>9.8699999999999992</v>
      </c>
      <c r="V79" s="112"/>
      <c r="W79" s="113">
        <v>1.4999999999999999E-2</v>
      </c>
      <c r="X79" s="196">
        <f t="shared" ref="X79:X97" si="45">+(U79+V79)*W79</f>
        <v>0.14804999999999999</v>
      </c>
      <c r="Y79" s="246">
        <f t="shared" ref="Y79:Y97" si="46">+(U79+V79)-X79</f>
        <v>9.7219499999999996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196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200.22</v>
      </c>
      <c r="N81" s="87">
        <v>4</v>
      </c>
      <c r="O81" s="87" t="s">
        <v>196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196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196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196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196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196</v>
      </c>
      <c r="P86" s="137"/>
      <c r="Q86" s="13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196</v>
      </c>
      <c r="P87" s="137"/>
      <c r="Q87" s="13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196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196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196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196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196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196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196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196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196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196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166.84</v>
      </c>
      <c r="Q98" s="195">
        <f>SUM(Q78:Q97)</f>
        <v>34.89</v>
      </c>
      <c r="R98" s="111"/>
      <c r="S98" s="195">
        <f>SUM(S78:S97)</f>
        <v>1.512975</v>
      </c>
      <c r="T98" s="195">
        <f>SUM(T78:T97)</f>
        <v>200.21702500000001</v>
      </c>
      <c r="U98" s="114">
        <f>SUM(U78:U97)</f>
        <v>31.519999999999996</v>
      </c>
      <c r="V98" s="114">
        <f>SUM(V78:V97)</f>
        <v>0</v>
      </c>
      <c r="W98" s="112"/>
      <c r="X98" s="197">
        <f>SUM(X78:X97)</f>
        <v>0.4728</v>
      </c>
      <c r="Y98" s="197">
        <f>SUM(Y78:Y97)</f>
        <v>31.047199999999997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5">
        <f>P78+U78+Q78</f>
        <v>117.15</v>
      </c>
    </row>
    <row r="101" spans="14:30" x14ac:dyDescent="0.25">
      <c r="N101" s="85"/>
      <c r="P101" s="215">
        <f>P79+Q79+U79</f>
        <v>116.10000000000001</v>
      </c>
    </row>
    <row r="102" spans="14:30" x14ac:dyDescent="0.25">
      <c r="N102" s="85"/>
      <c r="P102" s="215">
        <f>P80+Q80+U80</f>
        <v>0</v>
      </c>
    </row>
    <row r="103" spans="14:30" x14ac:dyDescent="0.25">
      <c r="N103" s="85"/>
      <c r="P103" s="215">
        <f>Q81+U81+P81</f>
        <v>0</v>
      </c>
    </row>
    <row r="104" spans="14:30" x14ac:dyDescent="0.25">
      <c r="N104" s="85"/>
      <c r="P104" s="215">
        <f>P82+Q82+U82</f>
        <v>0</v>
      </c>
    </row>
    <row r="105" spans="14:30" x14ac:dyDescent="0.25">
      <c r="N105" s="85"/>
      <c r="P105" s="212">
        <f>P83+Q83+U83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  <c r="P108" s="212">
        <f>P86+Q86+U86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9" priority="1" operator="greaterThan">
      <formula>0</formula>
    </cfRule>
    <cfRule type="cellIs" dxfId="1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3" zoomScale="90" zoomScaleNormal="90" workbookViewId="0">
      <selection activeCell="A9" sqref="A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169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170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44765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243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917</v>
      </c>
      <c r="C12" s="15"/>
      <c r="D12" s="56"/>
      <c r="E12" s="16"/>
      <c r="F12" s="56"/>
      <c r="G12" s="56"/>
      <c r="H12" s="17"/>
      <c r="I12" s="83">
        <v>917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240">
        <v>564</v>
      </c>
      <c r="C13" s="15"/>
      <c r="D13" s="56"/>
      <c r="E13" s="16"/>
      <c r="F13" s="56"/>
      <c r="G13" s="56"/>
      <c r="H13" s="17"/>
      <c r="I13" s="83">
        <v>564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3231.7200000000003</v>
      </c>
      <c r="C14" s="15"/>
      <c r="D14" s="56"/>
      <c r="E14" s="16"/>
      <c r="F14" s="56"/>
      <c r="G14" s="56"/>
      <c r="H14" s="17"/>
      <c r="I14" s="83">
        <v>3231.72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564</v>
      </c>
      <c r="C19" s="95"/>
      <c r="D19" s="94"/>
      <c r="E19" s="96"/>
      <c r="F19" s="94"/>
      <c r="G19" s="94"/>
      <c r="H19" s="98"/>
      <c r="I19" s="99">
        <v>564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3231.7200000000003</v>
      </c>
      <c r="C20" s="95"/>
      <c r="D20" s="94"/>
      <c r="E20" s="96"/>
      <c r="F20" s="94"/>
      <c r="G20" s="94"/>
      <c r="H20" s="98"/>
      <c r="I20" s="99">
        <v>3231.72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44766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44766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44766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6092.3899999999994</v>
      </c>
      <c r="C49" s="116">
        <v>7.4999999999999997E-3</v>
      </c>
      <c r="D49" s="117">
        <f t="shared" si="18"/>
        <v>45.692924999999995</v>
      </c>
      <c r="E49" s="172">
        <v>0</v>
      </c>
      <c r="F49" s="117">
        <f t="shared" si="15"/>
        <v>0</v>
      </c>
      <c r="G49" s="117">
        <f t="shared" si="16"/>
        <v>6046.6970749999991</v>
      </c>
      <c r="H49" s="173">
        <f t="shared" si="19"/>
        <v>44766</v>
      </c>
      <c r="I49" s="176">
        <f>1131.42+4960.97</f>
        <v>6092.39</v>
      </c>
      <c r="J49" s="81">
        <f t="shared" si="0"/>
        <v>0</v>
      </c>
      <c r="K49" s="80"/>
      <c r="L49" s="186">
        <f t="shared" si="17"/>
        <v>6046.6970749999991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462.31</v>
      </c>
      <c r="C50" s="116">
        <v>7.4999999999999997E-3</v>
      </c>
      <c r="D50" s="117">
        <f t="shared" si="18"/>
        <v>3.4673249999999998</v>
      </c>
      <c r="E50" s="172">
        <v>0</v>
      </c>
      <c r="F50" s="117">
        <f t="shared" si="15"/>
        <v>0</v>
      </c>
      <c r="G50" s="117">
        <f t="shared" si="16"/>
        <v>458.84267499999999</v>
      </c>
      <c r="H50" s="173">
        <f t="shared" si="19"/>
        <v>44766</v>
      </c>
      <c r="I50" s="175"/>
      <c r="J50" s="81">
        <f t="shared" si="0"/>
        <v>462.31</v>
      </c>
      <c r="K50" s="225">
        <v>457.11</v>
      </c>
      <c r="L50" s="186">
        <f t="shared" si="17"/>
        <v>1.732674999999972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239.48</v>
      </c>
      <c r="C51" s="116">
        <v>1.4999999999999999E-2</v>
      </c>
      <c r="D51" s="117">
        <f>+B51*C51</f>
        <v>3.5921999999999996</v>
      </c>
      <c r="E51" s="172">
        <v>0</v>
      </c>
      <c r="F51" s="117">
        <f>D51*E51</f>
        <v>0</v>
      </c>
      <c r="G51" s="117">
        <f t="shared" si="16"/>
        <v>235.8878</v>
      </c>
      <c r="H51" s="173">
        <f t="shared" si="19"/>
        <v>44766</v>
      </c>
      <c r="I51" s="175">
        <v>701.79</v>
      </c>
      <c r="J51" s="81">
        <f t="shared" si="0"/>
        <v>-462.30999999999995</v>
      </c>
      <c r="K51" s="80">
        <f>31.74+200.22</f>
        <v>231.96</v>
      </c>
      <c r="L51" s="186">
        <f>K51-G51</f>
        <v>-3.9277999999999906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44766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174</v>
      </c>
      <c r="B56" s="117">
        <f>T75</f>
        <v>242.51</v>
      </c>
      <c r="C56" s="116">
        <v>2.5000000000000001E-2</v>
      </c>
      <c r="D56" s="117">
        <f t="shared" si="20"/>
        <v>6.0627500000000003</v>
      </c>
      <c r="E56" s="172">
        <v>0.05</v>
      </c>
      <c r="F56" s="117">
        <f t="shared" si="21"/>
        <v>10.453017241379312</v>
      </c>
      <c r="G56" s="117">
        <f t="shared" si="22"/>
        <v>225.99423275862068</v>
      </c>
      <c r="H56" s="173">
        <f t="shared" si="19"/>
        <v>44766</v>
      </c>
      <c r="I56" s="176">
        <v>231.61</v>
      </c>
      <c r="J56" s="81">
        <f t="shared" si="0"/>
        <v>10.899999999999977</v>
      </c>
      <c r="K56" s="80"/>
      <c r="L56" s="186">
        <f t="shared" si="17"/>
        <v>225.99423275862068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58.815199999999997</v>
      </c>
      <c r="E61" s="177"/>
      <c r="F61" s="57">
        <f>SUM(F46:F58)</f>
        <v>10.453017241379312</v>
      </c>
      <c r="G61" s="57">
        <f>SUM(G46:G58)</f>
        <v>6967.4217827586199</v>
      </c>
      <c r="H61" s="173">
        <f t="shared" si="19"/>
        <v>44766</v>
      </c>
      <c r="I61" s="175"/>
      <c r="J61" s="81">
        <f t="shared" si="0"/>
        <v>0</v>
      </c>
      <c r="K61" s="80"/>
      <c r="L61" s="186">
        <f t="shared" si="17"/>
        <v>6967.4217827586199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44766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13934.84356551724</v>
      </c>
      <c r="H64" s="184"/>
      <c r="I64" s="175"/>
      <c r="J64" s="81">
        <f t="shared" si="0"/>
        <v>0</v>
      </c>
      <c r="K64" s="80"/>
      <c r="L64" s="186">
        <f t="shared" si="17"/>
        <v>13934.84356551724</v>
      </c>
      <c r="M64" s="130"/>
      <c r="N64" s="87">
        <v>1</v>
      </c>
      <c r="O64" s="122" t="s">
        <v>175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11185.41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13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13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175</v>
      </c>
      <c r="P67" s="87"/>
      <c r="Q67" s="87"/>
      <c r="R67" s="13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249">
        <v>11094.06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11176.53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/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-82.470000000001164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>
        <v>97</v>
      </c>
      <c r="Q70" s="228">
        <v>1001</v>
      </c>
      <c r="R70" s="222">
        <v>760.93</v>
      </c>
      <c r="S70" s="228"/>
      <c r="T70" s="247">
        <v>10.9</v>
      </c>
      <c r="U70" s="189">
        <f t="shared" ref="U70:U74" si="34">((T70/U$10)*U$9)</f>
        <v>0.46982758620689663</v>
      </c>
      <c r="V70" s="189">
        <f t="shared" ref="V70:V74" si="35">R70*V$10</f>
        <v>5.706974999999999</v>
      </c>
      <c r="W70" s="189">
        <f t="shared" ref="W70:W74" si="36">+S70*V$10</f>
        <v>0</v>
      </c>
      <c r="X70" s="189">
        <f t="shared" ref="X70:X74" si="37">+T70*X$10</f>
        <v>0.27250000000000002</v>
      </c>
      <c r="Y70" s="189">
        <f t="shared" ref="Y70:Z74" si="38">R70-V70</f>
        <v>755.22302500000001</v>
      </c>
      <c r="Z70" s="189">
        <f t="shared" si="38"/>
        <v>0</v>
      </c>
      <c r="AA70" s="189">
        <f t="shared" ref="AA70:AA74" si="39">T70-U70-X70</f>
        <v>10.157672413793103</v>
      </c>
      <c r="AB70" s="87"/>
    </row>
    <row r="71" spans="1:30" ht="28.5" customHeight="1" thickBot="1" x14ac:dyDescent="0.3">
      <c r="A71" s="25" t="s">
        <v>57</v>
      </c>
      <c r="B71" s="70">
        <f>(B65-B69)-B72</f>
        <v>8.8799999999991996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>
        <v>255</v>
      </c>
      <c r="Q71" s="228">
        <v>2001</v>
      </c>
      <c r="R71" s="222">
        <v>370.49</v>
      </c>
      <c r="S71" s="228"/>
      <c r="T71" s="222"/>
      <c r="U71" s="189">
        <f t="shared" si="34"/>
        <v>0</v>
      </c>
      <c r="V71" s="189">
        <f t="shared" si="35"/>
        <v>2.7786749999999998</v>
      </c>
      <c r="W71" s="189">
        <f t="shared" si="36"/>
        <v>0</v>
      </c>
      <c r="X71" s="189">
        <f t="shared" si="37"/>
        <v>0</v>
      </c>
      <c r="Y71" s="189">
        <f t="shared" si="38"/>
        <v>367.71132499999999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176</v>
      </c>
      <c r="P72" s="228" t="s">
        <v>243</v>
      </c>
      <c r="Q72" s="228">
        <v>2003</v>
      </c>
      <c r="R72" s="222">
        <f>822.44+1234.43</f>
        <v>2056.87</v>
      </c>
      <c r="S72" s="228"/>
      <c r="T72" s="228">
        <v>139.5</v>
      </c>
      <c r="U72" s="189">
        <f t="shared" si="34"/>
        <v>6.0129310344827589</v>
      </c>
      <c r="V72" s="189">
        <f t="shared" si="35"/>
        <v>15.426524999999998</v>
      </c>
      <c r="W72" s="189">
        <f t="shared" si="36"/>
        <v>0</v>
      </c>
      <c r="X72" s="189">
        <f t="shared" si="37"/>
        <v>3.4875000000000003</v>
      </c>
      <c r="Y72" s="189">
        <f t="shared" si="38"/>
        <v>2041.4434749999998</v>
      </c>
      <c r="Z72" s="189">
        <f t="shared" si="38"/>
        <v>0</v>
      </c>
      <c r="AA72" s="189">
        <f t="shared" si="39"/>
        <v>129.99956896551723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176</v>
      </c>
      <c r="P73" s="228">
        <v>735</v>
      </c>
      <c r="Q73" s="228">
        <v>2002</v>
      </c>
      <c r="R73" s="222">
        <v>279.68</v>
      </c>
      <c r="S73" s="228"/>
      <c r="T73" s="228"/>
      <c r="U73" s="189">
        <f t="shared" si="34"/>
        <v>0</v>
      </c>
      <c r="V73" s="189">
        <f t="shared" si="35"/>
        <v>2.0975999999999999</v>
      </c>
      <c r="W73" s="189">
        <f t="shared" si="36"/>
        <v>0</v>
      </c>
      <c r="X73" s="189">
        <f t="shared" si="37"/>
        <v>0</v>
      </c>
      <c r="Y73" s="189">
        <f t="shared" si="38"/>
        <v>277.58240000000001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176</v>
      </c>
      <c r="P74" s="228">
        <v>742</v>
      </c>
      <c r="Q74" s="228">
        <v>2001</v>
      </c>
      <c r="R74" s="222">
        <v>2624.42</v>
      </c>
      <c r="S74" s="228"/>
      <c r="T74" s="247">
        <v>92.11</v>
      </c>
      <c r="U74" s="189">
        <f t="shared" si="34"/>
        <v>3.9702586206896555</v>
      </c>
      <c r="V74" s="189">
        <f t="shared" si="35"/>
        <v>19.683150000000001</v>
      </c>
      <c r="W74" s="189">
        <f t="shared" si="36"/>
        <v>0</v>
      </c>
      <c r="X74" s="189">
        <f t="shared" si="37"/>
        <v>2.3027500000000001</v>
      </c>
      <c r="Y74" s="189">
        <f t="shared" si="38"/>
        <v>2604.7368500000002</v>
      </c>
      <c r="Z74" s="189">
        <f t="shared" si="38"/>
        <v>0</v>
      </c>
      <c r="AA74" s="189">
        <f t="shared" si="39"/>
        <v>85.836991379310348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6092.3899999999994</v>
      </c>
      <c r="S75" s="192"/>
      <c r="T75" s="192">
        <f>SUM(T70:T74)</f>
        <v>242.51</v>
      </c>
      <c r="U75" s="192">
        <f>SUM(U70:U74)</f>
        <v>10.45301724137931</v>
      </c>
      <c r="V75" s="192">
        <f t="shared" ref="V75:AA75" si="41">SUM(V70:V74)</f>
        <v>45.692925000000002</v>
      </c>
      <c r="W75" s="192">
        <f t="shared" si="41"/>
        <v>0</v>
      </c>
      <c r="X75" s="192">
        <f t="shared" si="41"/>
        <v>6.0627500000000003</v>
      </c>
      <c r="Y75" s="192">
        <f t="shared" si="41"/>
        <v>6046.697075</v>
      </c>
      <c r="Z75" s="192">
        <f t="shared" si="41"/>
        <v>0</v>
      </c>
      <c r="AA75" s="193">
        <f t="shared" si="41"/>
        <v>225.99423275862068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87"/>
      <c r="R78" s="82">
        <v>7.4999999999999997E-3</v>
      </c>
      <c r="S78" s="194">
        <f>+(P78+Q78)*R78</f>
        <v>0</v>
      </c>
      <c r="T78" s="219">
        <f>+(P78+Q78)-S78</f>
        <v>0</v>
      </c>
      <c r="U78" s="211">
        <v>207.26</v>
      </c>
      <c r="V78" s="112"/>
      <c r="W78" s="113">
        <v>1.4999999999999999E-2</v>
      </c>
      <c r="X78" s="196">
        <f>+(U78+V78)*W78</f>
        <v>3.1088999999999998</v>
      </c>
      <c r="Y78" s="217">
        <f>+(U78+V78)-X78</f>
        <v>204.15109999999999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188.47</v>
      </c>
      <c r="Q79" s="87">
        <v>38.76</v>
      </c>
      <c r="R79" s="82">
        <v>7.4999999999999997E-3</v>
      </c>
      <c r="S79" s="194">
        <f t="shared" ref="S79:S97" si="43">+(P79+Q79)*R79</f>
        <v>1.7042249999999999</v>
      </c>
      <c r="T79" s="246">
        <f t="shared" ref="T79:T97" si="44">+(P79+Q79)-S79</f>
        <v>225.52577499999998</v>
      </c>
      <c r="U79" s="211">
        <v>20.53</v>
      </c>
      <c r="V79" s="112"/>
      <c r="W79" s="113">
        <v>1.4999999999999999E-2</v>
      </c>
      <c r="X79" s="196">
        <f t="shared" ref="X79:X97" si="45">+(U79+V79)*W79</f>
        <v>0.30795</v>
      </c>
      <c r="Y79" s="246">
        <f t="shared" ref="Y79:Y97" si="46">+(U79+V79)-X79</f>
        <v>20.222049999999999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107.54</v>
      </c>
      <c r="Q80" s="87">
        <v>127.54</v>
      </c>
      <c r="R80" s="82">
        <v>7.4999999999999997E-3</v>
      </c>
      <c r="S80" s="194">
        <f t="shared" si="43"/>
        <v>1.7631000000000001</v>
      </c>
      <c r="T80" s="246">
        <f t="shared" si="44"/>
        <v>233.3169</v>
      </c>
      <c r="U80" s="211">
        <v>11.69</v>
      </c>
      <c r="V80" s="112"/>
      <c r="W80" s="113">
        <v>1.4999999999999999E-2</v>
      </c>
      <c r="X80" s="196">
        <f t="shared" si="45"/>
        <v>0.17534999999999998</v>
      </c>
      <c r="Y80" s="246">
        <f t="shared" si="46"/>
        <v>11.51465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296.01</v>
      </c>
      <c r="Q98" s="195">
        <f>SUM(Q78:Q97)</f>
        <v>166.3</v>
      </c>
      <c r="R98" s="111"/>
      <c r="S98" s="195">
        <f>SUM(S78:S97)</f>
        <v>3.4673249999999998</v>
      </c>
      <c r="T98" s="195">
        <f>SUM(T78:T97)</f>
        <v>458.84267499999999</v>
      </c>
      <c r="U98" s="114">
        <f>SUM(U78:U97)</f>
        <v>239.48</v>
      </c>
      <c r="V98" s="114">
        <f>SUM(V78:V97)</f>
        <v>0</v>
      </c>
      <c r="W98" s="112"/>
      <c r="X98" s="197">
        <f>SUM(X78:X97)</f>
        <v>3.5921999999999996</v>
      </c>
      <c r="Y98" s="197">
        <f>SUM(Y78:Y97)</f>
        <v>235.88779999999997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8">
        <f>P78+Q78+U78</f>
        <v>207.26</v>
      </c>
    </row>
    <row r="102" spans="14:30" x14ac:dyDescent="0.25">
      <c r="N102" s="85"/>
      <c r="P102" s="215">
        <f>P79+Q79+U79</f>
        <v>247.76</v>
      </c>
    </row>
    <row r="103" spans="14:30" x14ac:dyDescent="0.25">
      <c r="N103" s="85"/>
      <c r="P103" s="215">
        <f>P80+Q80+U80</f>
        <v>246.77</v>
      </c>
    </row>
    <row r="104" spans="14:30" x14ac:dyDescent="0.25">
      <c r="N104" s="85"/>
      <c r="P104" s="212">
        <f>P81+Q81+U81</f>
        <v>0</v>
      </c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7" priority="1" operator="greaterThan">
      <formula>0</formula>
    </cfRule>
    <cfRule type="cellIs" dxfId="1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39" zoomScale="90" zoomScaleNormal="90" workbookViewId="0">
      <selection activeCell="A8" sqref="A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169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170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44766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234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1293.5</v>
      </c>
      <c r="C12" s="15"/>
      <c r="D12" s="56"/>
      <c r="E12" s="16"/>
      <c r="F12" s="56"/>
      <c r="G12" s="56"/>
      <c r="H12" s="17"/>
      <c r="I12" s="83">
        <v>1293.5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662</v>
      </c>
      <c r="C13" s="15"/>
      <c r="D13" s="56"/>
      <c r="E13" s="16"/>
      <c r="F13" s="56"/>
      <c r="G13" s="56"/>
      <c r="H13" s="17"/>
      <c r="I13" s="83">
        <v>662</v>
      </c>
      <c r="J13" s="81">
        <f t="shared" ref="J13:J64" si="0">B13-I13</f>
        <v>0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3793.26</v>
      </c>
      <c r="C14" s="15"/>
      <c r="D14" s="56"/>
      <c r="E14" s="16"/>
      <c r="F14" s="56"/>
      <c r="G14" s="56"/>
      <c r="H14" s="17"/>
      <c r="I14" s="83">
        <v>3793.26</v>
      </c>
      <c r="J14" s="81">
        <f t="shared" si="0"/>
        <v>0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>T15-U15-X15</f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662</v>
      </c>
      <c r="C19" s="95"/>
      <c r="D19" s="94"/>
      <c r="E19" s="96"/>
      <c r="F19" s="94"/>
      <c r="G19" s="94"/>
      <c r="H19" s="98"/>
      <c r="I19" s="99">
        <v>662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3793.26</v>
      </c>
      <c r="C20" s="95"/>
      <c r="D20" s="94"/>
      <c r="E20" s="96"/>
      <c r="F20" s="94"/>
      <c r="G20" s="94"/>
      <c r="H20" s="98"/>
      <c r="I20" s="99">
        <v>3793.26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v>10.55</v>
      </c>
      <c r="C29" s="100"/>
      <c r="D29" s="66"/>
      <c r="E29" s="67"/>
      <c r="F29" s="66"/>
      <c r="G29" s="66"/>
      <c r="H29" s="102"/>
      <c r="I29" s="79">
        <v>10.55</v>
      </c>
      <c r="J29" s="81">
        <f t="shared" si="0"/>
        <v>0</v>
      </c>
      <c r="K29" s="80">
        <v>10.55</v>
      </c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60.45150000000001</v>
      </c>
      <c r="C30" s="100"/>
      <c r="D30" s="66"/>
      <c r="E30" s="67"/>
      <c r="F30" s="66"/>
      <c r="G30" s="66"/>
      <c r="H30" s="102"/>
      <c r="I30" s="79">
        <v>60.45</v>
      </c>
      <c r="J30" s="81">
        <f t="shared" si="0"/>
        <v>1.5000000000071623E-3</v>
      </c>
      <c r="K30" s="80">
        <v>60.45</v>
      </c>
      <c r="L30" s="186">
        <f>K30-B30</f>
        <v>-1.5000000000071623E-3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10.55</v>
      </c>
      <c r="C35" s="95"/>
      <c r="D35" s="94"/>
      <c r="E35" s="96"/>
      <c r="F35" s="94"/>
      <c r="G35" s="94"/>
      <c r="H35" s="98"/>
      <c r="I35" s="99">
        <v>10.55</v>
      </c>
      <c r="J35" s="185">
        <f t="shared" si="0"/>
        <v>0</v>
      </c>
      <c r="K35" s="99">
        <v>10.55</v>
      </c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60.45150000000001</v>
      </c>
      <c r="C36" s="95"/>
      <c r="D36" s="94"/>
      <c r="E36" s="96"/>
      <c r="F36" s="94"/>
      <c r="G36" s="94"/>
      <c r="H36" s="98"/>
      <c r="I36" s="99">
        <v>60.45</v>
      </c>
      <c r="J36" s="185">
        <f t="shared" si="0"/>
        <v>1.5000000000071623E-3</v>
      </c>
      <c r="K36" s="99">
        <v>60.45</v>
      </c>
      <c r="L36" s="187">
        <f>K36-B36</f>
        <v>-1.5000000000071623E-3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65.900000000000006</v>
      </c>
      <c r="C37" s="100"/>
      <c r="D37" s="66"/>
      <c r="E37" s="67"/>
      <c r="F37" s="66"/>
      <c r="G37" s="66"/>
      <c r="H37" s="102"/>
      <c r="I37" s="79">
        <v>65.900000000000006</v>
      </c>
      <c r="J37" s="81">
        <f t="shared" si="0"/>
        <v>0</v>
      </c>
      <c r="K37" s="80">
        <f>13.56+52.34</f>
        <v>65.900000000000006</v>
      </c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377.60700000000008</v>
      </c>
      <c r="C38" s="100"/>
      <c r="D38" s="66"/>
      <c r="E38" s="67"/>
      <c r="F38" s="66"/>
      <c r="G38" s="66"/>
      <c r="H38" s="102"/>
      <c r="I38" s="79">
        <v>377.61</v>
      </c>
      <c r="J38" s="81">
        <f t="shared" si="0"/>
        <v>-2.9999999999290594E-3</v>
      </c>
      <c r="K38" s="80">
        <v>377.61</v>
      </c>
      <c r="L38" s="186">
        <f>K38-B38</f>
        <v>2.9999999999290594E-3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65.900000000000006</v>
      </c>
      <c r="C43" s="95"/>
      <c r="D43" s="94"/>
      <c r="E43" s="96"/>
      <c r="F43" s="94"/>
      <c r="G43" s="94"/>
      <c r="H43" s="98"/>
      <c r="I43" s="99">
        <v>65.900000000000006</v>
      </c>
      <c r="J43" s="185">
        <f t="shared" si="0"/>
        <v>0</v>
      </c>
      <c r="K43" s="99">
        <v>65.900000000000006</v>
      </c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377.60700000000008</v>
      </c>
      <c r="C44" s="95"/>
      <c r="D44" s="94"/>
      <c r="E44" s="96"/>
      <c r="F44" s="94"/>
      <c r="G44" s="94"/>
      <c r="H44" s="98"/>
      <c r="I44" s="99">
        <v>377.61</v>
      </c>
      <c r="J44" s="185">
        <f t="shared" si="0"/>
        <v>-2.9999999999290594E-3</v>
      </c>
      <c r="K44" s="99">
        <v>377.61</v>
      </c>
      <c r="L44" s="187">
        <f>K44-B44</f>
        <v>2.9999999999290594E-3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44767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44767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44767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6749.75</v>
      </c>
      <c r="C49" s="116">
        <v>7.4999999999999997E-3</v>
      </c>
      <c r="D49" s="117">
        <f t="shared" si="18"/>
        <v>50.623124999999995</v>
      </c>
      <c r="E49" s="172">
        <v>0</v>
      </c>
      <c r="F49" s="117">
        <f t="shared" si="15"/>
        <v>0</v>
      </c>
      <c r="G49" s="117">
        <f t="shared" si="16"/>
        <v>6699.1268749999999</v>
      </c>
      <c r="H49" s="173">
        <f t="shared" si="19"/>
        <v>44767</v>
      </c>
      <c r="I49" s="176">
        <f>1326.18+5423.57</f>
        <v>6749.75</v>
      </c>
      <c r="J49" s="81">
        <f t="shared" si="0"/>
        <v>0</v>
      </c>
      <c r="K49" s="80"/>
      <c r="L49" s="186">
        <f t="shared" si="17"/>
        <v>6699.1268749999999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197.11999999999998</v>
      </c>
      <c r="C50" s="116">
        <v>7.4999999999999997E-3</v>
      </c>
      <c r="D50" s="117">
        <f t="shared" si="18"/>
        <v>1.4783999999999997</v>
      </c>
      <c r="E50" s="172">
        <v>0</v>
      </c>
      <c r="F50" s="117">
        <f t="shared" si="15"/>
        <v>0</v>
      </c>
      <c r="G50" s="117">
        <f t="shared" si="16"/>
        <v>195.64159999999998</v>
      </c>
      <c r="H50" s="173">
        <f t="shared" si="19"/>
        <v>44767</v>
      </c>
      <c r="I50" s="175"/>
      <c r="J50" s="81">
        <f t="shared" si="0"/>
        <v>197.11999999999998</v>
      </c>
      <c r="K50" s="80">
        <v>195.64</v>
      </c>
      <c r="L50" s="186">
        <f t="shared" si="17"/>
        <v>1.5999999999962711E-3</v>
      </c>
      <c r="M50" s="107"/>
      <c r="N50" s="104">
        <v>8</v>
      </c>
      <c r="O50" s="167" t="s">
        <v>70</v>
      </c>
      <c r="P50" s="158"/>
      <c r="Q50" s="158"/>
      <c r="R50" s="160"/>
      <c r="S50" s="160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92.65</v>
      </c>
      <c r="C51" s="116">
        <v>1.4999999999999999E-2</v>
      </c>
      <c r="D51" s="117">
        <f>+B51*C51</f>
        <v>1.38975</v>
      </c>
      <c r="E51" s="172">
        <v>0</v>
      </c>
      <c r="F51" s="117">
        <f>D51*E51</f>
        <v>0</v>
      </c>
      <c r="G51" s="117">
        <f t="shared" si="16"/>
        <v>91.260249999999999</v>
      </c>
      <c r="H51" s="173">
        <f t="shared" si="19"/>
        <v>44767</v>
      </c>
      <c r="I51" s="175">
        <v>289.77</v>
      </c>
      <c r="J51" s="81">
        <f t="shared" si="0"/>
        <v>-197.11999999999998</v>
      </c>
      <c r="K51" s="80">
        <v>91.26</v>
      </c>
      <c r="L51" s="186">
        <f t="shared" si="17"/>
        <v>2.4999999999408828E-4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44767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44767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44767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248.09</v>
      </c>
      <c r="C56" s="116">
        <v>2.5000000000000001E-2</v>
      </c>
      <c r="D56" s="117">
        <f t="shared" si="20"/>
        <v>6.2022500000000003</v>
      </c>
      <c r="E56" s="172">
        <v>0.05</v>
      </c>
      <c r="F56" s="117">
        <f t="shared" si="21"/>
        <v>10.693534482758622</v>
      </c>
      <c r="G56" s="117">
        <f t="shared" si="22"/>
        <v>231.19421551724139</v>
      </c>
      <c r="H56" s="173">
        <f t="shared" si="19"/>
        <v>44767</v>
      </c>
      <c r="I56" s="176">
        <v>32.72</v>
      </c>
      <c r="J56" s="81">
        <f t="shared" si="0"/>
        <v>215.37</v>
      </c>
      <c r="K56" s="80"/>
      <c r="L56" s="186">
        <f t="shared" si="17"/>
        <v>231.19421551724139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44769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44771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44796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59.693524999999994</v>
      </c>
      <c r="E61" s="177"/>
      <c r="F61" s="57">
        <f>SUM(F46:F58)</f>
        <v>10.693534482758622</v>
      </c>
      <c r="G61" s="57">
        <f>SUM(G46:G58)</f>
        <v>7217.2229405172411</v>
      </c>
      <c r="H61" s="173">
        <f t="shared" si="19"/>
        <v>44767</v>
      </c>
      <c r="I61" s="175"/>
      <c r="J61" s="81">
        <f t="shared" si="0"/>
        <v>0</v>
      </c>
      <c r="K61" s="80"/>
      <c r="L61" s="186">
        <f t="shared" si="17"/>
        <v>7217.2229405172411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44767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14434.445881034482</v>
      </c>
      <c r="H64" s="184"/>
      <c r="I64" s="175"/>
      <c r="J64" s="81">
        <f t="shared" si="0"/>
        <v>0</v>
      </c>
      <c r="K64" s="80"/>
      <c r="L64" s="186">
        <f t="shared" si="17"/>
        <v>14434.445881034482</v>
      </c>
      <c r="M64" s="130"/>
      <c r="N64" s="87">
        <v>1</v>
      </c>
      <c r="O64" s="122" t="s">
        <v>195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12812.428500000002</v>
      </c>
      <c r="G65" s="22"/>
      <c r="L65" s="132"/>
      <c r="M65" s="131"/>
      <c r="N65" s="87">
        <v>2</v>
      </c>
      <c r="O65" s="122" t="s">
        <v>195</v>
      </c>
      <c r="P65" s="87"/>
      <c r="Q65" s="87"/>
      <c r="R65" s="13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195</v>
      </c>
      <c r="P66" s="87"/>
      <c r="Q66" s="87"/>
      <c r="R66" s="13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12692.75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12800.9</v>
      </c>
      <c r="C69" s="59"/>
      <c r="F69" s="87" t="s">
        <v>129</v>
      </c>
      <c r="G69" s="22"/>
      <c r="H69" s="89"/>
      <c r="I69" s="136"/>
      <c r="J69" s="136">
        <f>K52</f>
        <v>0</v>
      </c>
      <c r="N69" s="313" t="s">
        <v>178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-108.14999999999964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 t="s">
        <v>244</v>
      </c>
      <c r="Q70" s="228">
        <v>1001</v>
      </c>
      <c r="R70" s="222">
        <f>1257.57+1563.99</f>
        <v>2821.56</v>
      </c>
      <c r="S70" s="228"/>
      <c r="T70" s="247">
        <f>24.64+190.73</f>
        <v>215.37</v>
      </c>
      <c r="U70" s="189">
        <f t="shared" ref="U70:U74" si="34">((T70/U$10)*U$9)</f>
        <v>9.2831896551724142</v>
      </c>
      <c r="V70" s="189">
        <f t="shared" ref="V70:V74" si="35">R70*V$10</f>
        <v>21.1617</v>
      </c>
      <c r="W70" s="189">
        <f t="shared" ref="W70:W74" si="36">+S70*V$10</f>
        <v>0</v>
      </c>
      <c r="X70" s="189">
        <f t="shared" ref="X70:X74" si="37">+T70*X$10</f>
        <v>5.3842500000000006</v>
      </c>
      <c r="Y70" s="189">
        <f t="shared" ref="Y70:Z74" si="38">R70-V70</f>
        <v>2800.3982999999998</v>
      </c>
      <c r="Z70" s="189">
        <f t="shared" si="38"/>
        <v>0</v>
      </c>
      <c r="AA70" s="189">
        <f t="shared" ref="AA70:AA74" si="39">T70-U70-X70</f>
        <v>200.70256034482759</v>
      </c>
      <c r="AB70" s="87"/>
    </row>
    <row r="71" spans="1:30" ht="28.5" customHeight="1" thickBot="1" x14ac:dyDescent="0.3">
      <c r="A71" s="25" t="s">
        <v>57</v>
      </c>
      <c r="B71" s="70">
        <f>(B65-B69)-B72</f>
        <v>11.528500000002168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216</v>
      </c>
      <c r="P71" s="228" t="s">
        <v>246</v>
      </c>
      <c r="Q71" s="228">
        <v>2001</v>
      </c>
      <c r="R71" s="222">
        <f>37.03+31.58</f>
        <v>68.61</v>
      </c>
      <c r="S71" s="228"/>
      <c r="T71" s="228"/>
      <c r="U71" s="189">
        <f t="shared" si="34"/>
        <v>0</v>
      </c>
      <c r="V71" s="189">
        <f t="shared" si="35"/>
        <v>0.514575</v>
      </c>
      <c r="W71" s="189">
        <f t="shared" si="36"/>
        <v>0</v>
      </c>
      <c r="X71" s="189">
        <f t="shared" si="37"/>
        <v>0</v>
      </c>
      <c r="Y71" s="189">
        <f t="shared" si="38"/>
        <v>68.095425000000006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176</v>
      </c>
      <c r="P72" s="228" t="s">
        <v>245</v>
      </c>
      <c r="Q72" s="228">
        <v>2003</v>
      </c>
      <c r="R72" s="238">
        <f>1058.36+1423.29</f>
        <v>2481.6499999999996</v>
      </c>
      <c r="S72" s="228"/>
      <c r="T72" s="247">
        <v>32.72</v>
      </c>
      <c r="U72" s="189">
        <f t="shared" si="34"/>
        <v>1.4103448275862069</v>
      </c>
      <c r="V72" s="189">
        <f t="shared" si="35"/>
        <v>18.612374999999997</v>
      </c>
      <c r="W72" s="189">
        <f t="shared" si="36"/>
        <v>0</v>
      </c>
      <c r="X72" s="189">
        <f t="shared" si="37"/>
        <v>0.81800000000000006</v>
      </c>
      <c r="Y72" s="189">
        <f t="shared" si="38"/>
        <v>2463.0376249999995</v>
      </c>
      <c r="Z72" s="189">
        <f t="shared" si="38"/>
        <v>0</v>
      </c>
      <c r="AA72" s="189">
        <f t="shared" si="39"/>
        <v>30.49165517241379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176</v>
      </c>
      <c r="P73" s="228">
        <v>373</v>
      </c>
      <c r="Q73" s="228">
        <v>2002</v>
      </c>
      <c r="R73" s="238">
        <v>9.9600000000000009</v>
      </c>
      <c r="S73" s="228"/>
      <c r="T73" s="228"/>
      <c r="U73" s="189">
        <f t="shared" si="34"/>
        <v>0</v>
      </c>
      <c r="V73" s="189">
        <f t="shared" si="35"/>
        <v>7.4700000000000003E-2</v>
      </c>
      <c r="W73" s="189">
        <f t="shared" si="36"/>
        <v>0</v>
      </c>
      <c r="X73" s="189">
        <f t="shared" si="37"/>
        <v>0</v>
      </c>
      <c r="Y73" s="189">
        <f t="shared" si="38"/>
        <v>9.8853000000000009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176</v>
      </c>
      <c r="P74" s="228">
        <v>744</v>
      </c>
      <c r="Q74" s="228">
        <v>2001</v>
      </c>
      <c r="R74" s="238">
        <v>1367.97</v>
      </c>
      <c r="S74" s="228"/>
      <c r="T74" s="228"/>
      <c r="U74" s="189">
        <f t="shared" si="34"/>
        <v>0</v>
      </c>
      <c r="V74" s="189">
        <f t="shared" si="35"/>
        <v>10.259774999999999</v>
      </c>
      <c r="W74" s="189">
        <f t="shared" si="36"/>
        <v>0</v>
      </c>
      <c r="X74" s="189">
        <f t="shared" si="37"/>
        <v>0</v>
      </c>
      <c r="Y74" s="189">
        <f t="shared" si="38"/>
        <v>1357.710225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179</v>
      </c>
      <c r="O75" s="313"/>
      <c r="P75" s="314"/>
      <c r="Q75" s="314"/>
      <c r="R75" s="192">
        <f>SUM(R70:R74)</f>
        <v>6749.75</v>
      </c>
      <c r="S75" s="192"/>
      <c r="T75" s="192">
        <f>SUM(T70:T74)</f>
        <v>248.09</v>
      </c>
      <c r="U75" s="192">
        <f>SUM(U70:U74)</f>
        <v>10.693534482758622</v>
      </c>
      <c r="V75" s="192">
        <f t="shared" ref="V75:AA75" si="41">SUM(V70:V74)</f>
        <v>50.623124999999995</v>
      </c>
      <c r="W75" s="192">
        <f t="shared" si="41"/>
        <v>0</v>
      </c>
      <c r="X75" s="192">
        <f t="shared" si="41"/>
        <v>6.2022500000000012</v>
      </c>
      <c r="Y75" s="192">
        <f t="shared" si="41"/>
        <v>6699.126874999999</v>
      </c>
      <c r="Z75" s="192">
        <f t="shared" si="41"/>
        <v>0</v>
      </c>
      <c r="AA75" s="193">
        <f t="shared" si="41"/>
        <v>231.19421551724139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4.75</v>
      </c>
      <c r="Q78" s="87">
        <v>43.36</v>
      </c>
      <c r="R78" s="82">
        <v>7.4999999999999997E-3</v>
      </c>
      <c r="S78" s="194">
        <f>+(P78+Q78)*R78</f>
        <v>0.36082500000000001</v>
      </c>
      <c r="T78" s="237">
        <f>+(P78+Q78)-S78</f>
        <v>47.749175000000001</v>
      </c>
      <c r="U78" s="211">
        <v>51.52</v>
      </c>
      <c r="V78" s="112"/>
      <c r="W78" s="113">
        <v>1.4999999999999999E-2</v>
      </c>
      <c r="X78" s="196">
        <f>+(U78+V78)*W78</f>
        <v>0.77280000000000004</v>
      </c>
      <c r="Y78" s="213">
        <f>+(U78+V78)-X78</f>
        <v>50.747200000000007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195.64</v>
      </c>
      <c r="N79" s="87">
        <v>2</v>
      </c>
      <c r="O79" s="87" t="s">
        <v>112</v>
      </c>
      <c r="P79" s="137">
        <v>14.45</v>
      </c>
      <c r="Q79" s="87">
        <v>67.25</v>
      </c>
      <c r="R79" s="82">
        <v>7.4999999999999997E-3</v>
      </c>
      <c r="S79" s="194">
        <f t="shared" ref="S79:S97" si="43">+(P79+Q79)*R79</f>
        <v>0.61275000000000002</v>
      </c>
      <c r="T79" s="246">
        <f t="shared" ref="T79:T97" si="44">+(P79+Q79)-S79</f>
        <v>81.087249999999997</v>
      </c>
      <c r="U79" s="211">
        <v>33.93</v>
      </c>
      <c r="V79" s="112"/>
      <c r="W79" s="113">
        <v>1.4999999999999999E-2</v>
      </c>
      <c r="X79" s="196">
        <f t="shared" ref="X79:X97" si="45">+(U79+V79)*W79</f>
        <v>0.50895000000000001</v>
      </c>
      <c r="Y79" s="213">
        <f t="shared" ref="Y79:Y97" si="46">+(U79+V79)-X79</f>
        <v>33.421050000000001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4.78</v>
      </c>
      <c r="Q80" s="87">
        <v>62.53</v>
      </c>
      <c r="R80" s="82">
        <v>7.4999999999999997E-3</v>
      </c>
      <c r="S80" s="194">
        <f t="shared" si="43"/>
        <v>0.50482499999999997</v>
      </c>
      <c r="T80" s="237">
        <f t="shared" si="44"/>
        <v>66.805175000000006</v>
      </c>
      <c r="U80" s="211">
        <v>7.2</v>
      </c>
      <c r="V80" s="112"/>
      <c r="W80" s="113">
        <v>1.4999999999999999E-2</v>
      </c>
      <c r="X80" s="196">
        <f t="shared" si="45"/>
        <v>0.108</v>
      </c>
      <c r="Y80" s="237">
        <f t="shared" si="46"/>
        <v>7.0920000000000005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195.64</v>
      </c>
      <c r="N81" s="87">
        <v>4</v>
      </c>
      <c r="O81" s="87" t="s">
        <v>112</v>
      </c>
      <c r="P81" s="8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3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 t="s">
        <v>166</v>
      </c>
      <c r="AB84" s="189">
        <f t="shared" si="47"/>
        <v>0</v>
      </c>
      <c r="AC84" s="189" t="e">
        <f t="shared" si="48"/>
        <v>#VALUE!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23.98</v>
      </c>
      <c r="Q98" s="195">
        <f>SUM(Q78:Q97)</f>
        <v>173.14</v>
      </c>
      <c r="R98" s="111"/>
      <c r="S98" s="195">
        <f>SUM(S78:S97)</f>
        <v>1.4784000000000002</v>
      </c>
      <c r="T98" s="195">
        <f>SUM(T78:T97)</f>
        <v>195.64159999999998</v>
      </c>
      <c r="U98" s="114">
        <f>SUM(U78:U97)</f>
        <v>92.65</v>
      </c>
      <c r="V98" s="114">
        <f>SUM(V78:V97)</f>
        <v>0</v>
      </c>
      <c r="W98" s="112"/>
      <c r="X98" s="197">
        <f>SUM(X78:X97)</f>
        <v>1.3897500000000003</v>
      </c>
      <c r="Y98" s="197">
        <f>SUM(Y78:Y97)</f>
        <v>91.260249999999999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 t="e">
        <f>SUM(AC78:AC97)</f>
        <v>#VALUE!</v>
      </c>
      <c r="AD98" s="87"/>
    </row>
    <row r="99" spans="14:30" x14ac:dyDescent="0.25">
      <c r="N99" s="85"/>
    </row>
    <row r="100" spans="14:30" x14ac:dyDescent="0.25">
      <c r="N100" s="85"/>
      <c r="Q100" s="218">
        <f>P78+U78+Q78</f>
        <v>99.63</v>
      </c>
    </row>
    <row r="101" spans="14:30" x14ac:dyDescent="0.25">
      <c r="N101" s="85"/>
      <c r="Q101" s="218">
        <f>P79+Q79+U79</f>
        <v>115.63</v>
      </c>
    </row>
    <row r="102" spans="14:30" x14ac:dyDescent="0.25">
      <c r="N102" s="85"/>
      <c r="Q102" s="215">
        <f>P80+Q80+U80</f>
        <v>74.510000000000005</v>
      </c>
    </row>
    <row r="103" spans="14:30" x14ac:dyDescent="0.25">
      <c r="N103" s="85"/>
      <c r="Q103" s="218">
        <f>P81+Q81+U81</f>
        <v>0</v>
      </c>
    </row>
    <row r="104" spans="14:30" x14ac:dyDescent="0.25">
      <c r="N104" s="85"/>
      <c r="Q104" s="218">
        <f>P82+Q82+U82</f>
        <v>0</v>
      </c>
    </row>
    <row r="105" spans="14:30" x14ac:dyDescent="0.25">
      <c r="N105" s="85"/>
      <c r="Q105" s="85">
        <f>P83+Q83+U83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5" priority="1" operator="greaterThan">
      <formula>0</formula>
    </cfRule>
    <cfRule type="cellIs" dxfId="1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6" zoomScale="90" zoomScaleNormal="90" workbookViewId="0">
      <selection activeCell="B7" sqref="B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8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9.8554687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7.71093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169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170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44767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1129</v>
      </c>
      <c r="C12" s="15"/>
      <c r="D12" s="56"/>
      <c r="E12" s="16"/>
      <c r="F12" s="56"/>
      <c r="G12" s="56"/>
      <c r="H12" s="17"/>
      <c r="I12" s="83">
        <v>1129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391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391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2240.4300000000003</v>
      </c>
      <c r="C14" s="15"/>
      <c r="D14" s="56"/>
      <c r="E14" s="16"/>
      <c r="F14" s="56"/>
      <c r="G14" s="56"/>
      <c r="H14" s="17"/>
      <c r="I14" s="83"/>
      <c r="J14" s="81">
        <f t="shared" si="0"/>
        <v>2240.4300000000003</v>
      </c>
      <c r="K14" s="80"/>
      <c r="L14" s="213" t="s">
        <v>166</v>
      </c>
      <c r="M14" s="107"/>
      <c r="N14" s="104">
        <v>3</v>
      </c>
      <c r="O14" s="152" t="s">
        <v>69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391</v>
      </c>
      <c r="C19" s="95"/>
      <c r="D19" s="94"/>
      <c r="E19" s="96"/>
      <c r="F19" s="94"/>
      <c r="G19" s="94"/>
      <c r="H19" s="98"/>
      <c r="I19" s="99"/>
      <c r="J19" s="185">
        <f>B19-I19</f>
        <v>391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2240.4300000000003</v>
      </c>
      <c r="C20" s="95"/>
      <c r="D20" s="94"/>
      <c r="E20" s="96"/>
      <c r="F20" s="94"/>
      <c r="G20" s="94"/>
      <c r="H20" s="98"/>
      <c r="I20" s="99">
        <v>2240.4299999999998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44768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44768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44768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30" x14ac:dyDescent="0.25">
      <c r="A49" s="115" t="s">
        <v>211</v>
      </c>
      <c r="B49" s="117">
        <f>R75</f>
        <v>5764.1399999999994</v>
      </c>
      <c r="C49" s="116">
        <v>7.4999999999999997E-3</v>
      </c>
      <c r="D49" s="117">
        <f t="shared" si="18"/>
        <v>43.231049999999996</v>
      </c>
      <c r="E49" s="172">
        <v>0</v>
      </c>
      <c r="F49" s="117">
        <f t="shared" si="15"/>
        <v>0</v>
      </c>
      <c r="G49" s="117">
        <f t="shared" si="16"/>
        <v>5720.9089499999991</v>
      </c>
      <c r="H49" s="173">
        <f t="shared" si="19"/>
        <v>44768</v>
      </c>
      <c r="I49" s="176">
        <v>5764.14</v>
      </c>
      <c r="J49" s="81">
        <f t="shared" si="0"/>
        <v>0</v>
      </c>
      <c r="K49" s="80"/>
      <c r="L49" s="186">
        <f t="shared" si="17"/>
        <v>5720.9089499999991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337.73</v>
      </c>
      <c r="C50" s="116">
        <v>7.4999999999999997E-3</v>
      </c>
      <c r="D50" s="117">
        <f t="shared" si="18"/>
        <v>2.532975</v>
      </c>
      <c r="E50" s="172">
        <v>0</v>
      </c>
      <c r="F50" s="117">
        <f t="shared" si="15"/>
        <v>0</v>
      </c>
      <c r="G50" s="117">
        <f t="shared" si="16"/>
        <v>335.197025</v>
      </c>
      <c r="H50" s="173">
        <f t="shared" si="19"/>
        <v>44768</v>
      </c>
      <c r="I50" s="175"/>
      <c r="J50" s="81">
        <f t="shared" si="0"/>
        <v>337.73</v>
      </c>
      <c r="K50" s="80"/>
      <c r="L50" s="186">
        <f t="shared" si="17"/>
        <v>335.197025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327.12</v>
      </c>
      <c r="C51" s="116">
        <v>1.4999999999999999E-2</v>
      </c>
      <c r="D51" s="117">
        <f>+B51*C51</f>
        <v>4.9067999999999996</v>
      </c>
      <c r="E51" s="172">
        <v>0</v>
      </c>
      <c r="F51" s="117">
        <f>D51*E51</f>
        <v>0</v>
      </c>
      <c r="G51" s="117">
        <f t="shared" si="16"/>
        <v>322.21320000000003</v>
      </c>
      <c r="H51" s="173">
        <f t="shared" si="19"/>
        <v>44768</v>
      </c>
      <c r="I51" s="175">
        <v>664.85</v>
      </c>
      <c r="J51" s="81">
        <f t="shared" si="0"/>
        <v>-337.73</v>
      </c>
      <c r="K51" s="80"/>
      <c r="L51" s="186">
        <f t="shared" si="17"/>
        <v>322.21320000000003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44768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44768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44768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44768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210</v>
      </c>
      <c r="B56" s="117">
        <f>T75</f>
        <v>105.98000000000002</v>
      </c>
      <c r="C56" s="116">
        <v>2.5000000000000001E-2</v>
      </c>
      <c r="D56" s="117">
        <f t="shared" si="20"/>
        <v>2.6495000000000006</v>
      </c>
      <c r="E56" s="172">
        <v>0.05</v>
      </c>
      <c r="F56" s="117">
        <f t="shared" si="21"/>
        <v>4.5681034482758633</v>
      </c>
      <c r="G56" s="117">
        <f t="shared" si="22"/>
        <v>98.762396551724152</v>
      </c>
      <c r="H56" s="173">
        <f t="shared" si="19"/>
        <v>44768</v>
      </c>
      <c r="I56" s="176">
        <v>105.98</v>
      </c>
      <c r="J56" s="81">
        <f t="shared" si="0"/>
        <v>0</v>
      </c>
      <c r="K56" s="80"/>
      <c r="L56" s="186">
        <f t="shared" si="17"/>
        <v>98.762396551724152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2.5000000000000001E-2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44770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2.5000000000000001E-2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44772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44797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53.320324999999997</v>
      </c>
      <c r="E61" s="177"/>
      <c r="F61" s="57">
        <f>SUM(F46:F58)</f>
        <v>4.5681034482758633</v>
      </c>
      <c r="G61" s="57">
        <f>SUM(G46:G58)</f>
        <v>6477.0815715517238</v>
      </c>
      <c r="H61" s="173">
        <f t="shared" si="19"/>
        <v>44768</v>
      </c>
      <c r="I61" s="175"/>
      <c r="J61" s="81">
        <f t="shared" si="0"/>
        <v>0</v>
      </c>
      <c r="K61" s="80"/>
      <c r="L61" s="186">
        <f t="shared" si="17"/>
        <v>6477.0815715517238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44768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12954.163143103448</v>
      </c>
      <c r="H64" s="184"/>
      <c r="I64" s="175"/>
      <c r="J64" s="81">
        <f t="shared" si="0"/>
        <v>0</v>
      </c>
      <c r="K64" s="80"/>
      <c r="L64" s="186">
        <f t="shared" si="17"/>
        <v>12954.163143103448</v>
      </c>
      <c r="M64" s="130"/>
      <c r="N64" s="87">
        <v>1</v>
      </c>
      <c r="O64" s="122" t="s">
        <v>195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9904.4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9838.86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9897.85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-58.989999999999782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209</v>
      </c>
      <c r="P70" s="228"/>
      <c r="Q70" s="228"/>
      <c r="R70" s="222"/>
      <c r="S70" s="228"/>
      <c r="T70" s="228"/>
      <c r="U70" s="189">
        <f t="shared" ref="U70:U74" si="34">((T70/U$10)*U$9)</f>
        <v>0</v>
      </c>
      <c r="V70" s="189">
        <f t="shared" ref="V70:V74" si="35">R70*V$10</f>
        <v>0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0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6.5499999999992724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209</v>
      </c>
      <c r="P71" s="228"/>
      <c r="Q71" s="228"/>
      <c r="R71" s="222"/>
      <c r="S71" s="228"/>
      <c r="T71" s="222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180</v>
      </c>
      <c r="P72" s="228" t="s">
        <v>247</v>
      </c>
      <c r="Q72" s="228">
        <v>2003</v>
      </c>
      <c r="R72" s="222">
        <f>102.47+2217.69</f>
        <v>2320.16</v>
      </c>
      <c r="S72" s="228"/>
      <c r="T72" s="222">
        <v>46.75</v>
      </c>
      <c r="U72" s="189">
        <f t="shared" si="34"/>
        <v>2.015086206896552</v>
      </c>
      <c r="V72" s="189">
        <f t="shared" si="35"/>
        <v>17.401199999999999</v>
      </c>
      <c r="W72" s="189">
        <f t="shared" si="36"/>
        <v>0</v>
      </c>
      <c r="X72" s="189">
        <f t="shared" si="37"/>
        <v>1.16875</v>
      </c>
      <c r="Y72" s="189">
        <f t="shared" si="38"/>
        <v>2302.7588000000001</v>
      </c>
      <c r="Z72" s="189">
        <f t="shared" si="38"/>
        <v>0</v>
      </c>
      <c r="AA72" s="189">
        <f t="shared" si="39"/>
        <v>43.566163793103442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180</v>
      </c>
      <c r="P73" s="228">
        <v>738</v>
      </c>
      <c r="Q73" s="228">
        <v>2002</v>
      </c>
      <c r="R73" s="222">
        <v>1737.11</v>
      </c>
      <c r="S73" s="228"/>
      <c r="T73" s="228">
        <v>45.02</v>
      </c>
      <c r="U73" s="189">
        <f t="shared" si="34"/>
        <v>1.9405172413793108</v>
      </c>
      <c r="V73" s="189">
        <f t="shared" si="35"/>
        <v>13.028324999999999</v>
      </c>
      <c r="W73" s="189">
        <f t="shared" si="36"/>
        <v>0</v>
      </c>
      <c r="X73" s="189">
        <f t="shared" si="37"/>
        <v>1.1255000000000002</v>
      </c>
      <c r="Y73" s="189">
        <f t="shared" si="38"/>
        <v>1724.0816749999999</v>
      </c>
      <c r="Z73" s="189">
        <f t="shared" si="38"/>
        <v>0</v>
      </c>
      <c r="AA73" s="189">
        <f t="shared" si="39"/>
        <v>41.95398275862069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180</v>
      </c>
      <c r="P74" s="228">
        <v>745</v>
      </c>
      <c r="Q74" s="228">
        <v>2001</v>
      </c>
      <c r="R74" s="222">
        <v>1706.87</v>
      </c>
      <c r="S74" s="228"/>
      <c r="T74" s="222">
        <v>14.21</v>
      </c>
      <c r="U74" s="189">
        <f t="shared" si="34"/>
        <v>0.61250000000000016</v>
      </c>
      <c r="V74" s="189">
        <f t="shared" si="35"/>
        <v>12.801524999999998</v>
      </c>
      <c r="W74" s="189">
        <f t="shared" si="36"/>
        <v>0</v>
      </c>
      <c r="X74" s="189">
        <f t="shared" si="37"/>
        <v>0.35525000000000007</v>
      </c>
      <c r="Y74" s="189">
        <f t="shared" si="38"/>
        <v>1694.0684749999998</v>
      </c>
      <c r="Z74" s="189">
        <f t="shared" si="38"/>
        <v>0</v>
      </c>
      <c r="AA74" s="189">
        <f t="shared" si="39"/>
        <v>13.24225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5764.1399999999994</v>
      </c>
      <c r="S75" s="192"/>
      <c r="T75" s="192">
        <f>SUM(T70:T74)</f>
        <v>105.98000000000002</v>
      </c>
      <c r="U75" s="192">
        <f>SUM(U70:U74)</f>
        <v>4.5681034482758625</v>
      </c>
      <c r="V75" s="192">
        <f t="shared" ref="V75:AA75" si="41">SUM(V70:V74)</f>
        <v>43.231049999999996</v>
      </c>
      <c r="W75" s="192">
        <f t="shared" si="41"/>
        <v>0</v>
      </c>
      <c r="X75" s="192">
        <f t="shared" si="41"/>
        <v>2.6494999999999997</v>
      </c>
      <c r="Y75" s="192">
        <f t="shared" si="41"/>
        <v>5720.90895</v>
      </c>
      <c r="Z75" s="192">
        <f t="shared" si="41"/>
        <v>0</v>
      </c>
      <c r="AA75" s="193">
        <f t="shared" si="41"/>
        <v>98.762396551724137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15.75" x14ac:dyDescent="0.25">
      <c r="E77" s="231" t="s">
        <v>73</v>
      </c>
      <c r="F77" s="333"/>
      <c r="G77" s="333"/>
      <c r="H77" s="227" t="s">
        <v>160</v>
      </c>
      <c r="I77" s="231" t="s">
        <v>167</v>
      </c>
      <c r="J77" s="231" t="s">
        <v>168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E78" s="231"/>
      <c r="F78" s="228"/>
      <c r="G78" s="228"/>
      <c r="H78" s="229"/>
      <c r="I78" s="87"/>
      <c r="J78" s="87"/>
      <c r="N78" s="87">
        <v>1</v>
      </c>
      <c r="O78" s="87" t="s">
        <v>112</v>
      </c>
      <c r="P78" s="137">
        <v>39.200000000000003</v>
      </c>
      <c r="Q78" s="137"/>
      <c r="R78" s="82">
        <v>7.4999999999999997E-3</v>
      </c>
      <c r="S78" s="194">
        <f>+(P78+Q78)*R78</f>
        <v>0.29399999999999998</v>
      </c>
      <c r="T78" s="219">
        <f>+(P78+Q78)-S78</f>
        <v>38.906000000000006</v>
      </c>
      <c r="U78" s="211">
        <v>74.2</v>
      </c>
      <c r="V78" s="112"/>
      <c r="W78" s="113">
        <v>1.4999999999999999E-2</v>
      </c>
      <c r="X78" s="196">
        <f>+(U78+V78)*W78</f>
        <v>1.113</v>
      </c>
      <c r="Y78" s="217">
        <f>+(U78+V78)-X78</f>
        <v>73.087000000000003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E79" s="231"/>
      <c r="F79" s="228"/>
      <c r="G79" s="63"/>
      <c r="H79" s="230"/>
      <c r="I79" s="87"/>
      <c r="J79" s="87"/>
      <c r="N79" s="87">
        <v>2</v>
      </c>
      <c r="O79" s="87" t="s">
        <v>112</v>
      </c>
      <c r="P79" s="137">
        <v>89.6</v>
      </c>
      <c r="Q79" s="137"/>
      <c r="R79" s="82">
        <v>7.4999999999999997E-3</v>
      </c>
      <c r="S79" s="194">
        <f t="shared" ref="S79:S97" si="43">+(P79+Q79)*R79</f>
        <v>0.67199999999999993</v>
      </c>
      <c r="T79" s="219">
        <f t="shared" ref="T79:T97" si="44">+(P79+Q79)-S79</f>
        <v>88.927999999999997</v>
      </c>
      <c r="U79" s="211">
        <v>117.05</v>
      </c>
      <c r="V79" s="112"/>
      <c r="W79" s="113">
        <v>1.4999999999999999E-2</v>
      </c>
      <c r="X79" s="196">
        <f t="shared" ref="X79:X97" si="45">+(U79+V79)*W79</f>
        <v>1.7557499999999999</v>
      </c>
      <c r="Y79" s="217">
        <f t="shared" ref="Y79:Y97" si="46">+(U79+V79)-X79</f>
        <v>115.29424999999999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15.75" x14ac:dyDescent="0.25">
      <c r="E80" s="231"/>
      <c r="F80" s="87"/>
      <c r="G80" s="137"/>
      <c r="H80" s="233"/>
      <c r="I80" s="87"/>
      <c r="J80" s="87"/>
      <c r="N80" s="87">
        <v>3</v>
      </c>
      <c r="O80" s="87" t="s">
        <v>112</v>
      </c>
      <c r="P80" s="137">
        <v>158.75</v>
      </c>
      <c r="Q80" s="137">
        <v>50.18</v>
      </c>
      <c r="R80" s="82">
        <v>7.4999999999999997E-3</v>
      </c>
      <c r="S80" s="194">
        <f t="shared" si="43"/>
        <v>1.566975</v>
      </c>
      <c r="T80" s="219">
        <f t="shared" si="44"/>
        <v>207.36302499999999</v>
      </c>
      <c r="U80" s="211">
        <v>135.87</v>
      </c>
      <c r="V80" s="112"/>
      <c r="W80" s="113">
        <v>1.4999999999999999E-2</v>
      </c>
      <c r="X80" s="196">
        <f t="shared" si="45"/>
        <v>2.0380500000000001</v>
      </c>
      <c r="Y80" s="217">
        <f t="shared" si="46"/>
        <v>133.83195000000001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5:30" ht="15.75" x14ac:dyDescent="0.25">
      <c r="E81" s="231"/>
      <c r="F81" s="87"/>
      <c r="G81" s="137"/>
      <c r="H81" s="226"/>
      <c r="I81" s="87"/>
      <c r="J81" s="87"/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5:30" ht="15.75" x14ac:dyDescent="0.25">
      <c r="E82" s="231"/>
      <c r="F82" s="87"/>
      <c r="G82" s="137"/>
      <c r="H82" s="87"/>
      <c r="I82" s="87"/>
      <c r="J82" s="87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5:30" ht="15.75" x14ac:dyDescent="0.25">
      <c r="E83" s="232"/>
      <c r="F83" s="87"/>
      <c r="G83" s="137"/>
      <c r="H83" s="87"/>
      <c r="I83" s="87"/>
      <c r="J83" s="87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5:30" ht="15.75" x14ac:dyDescent="0.25">
      <c r="E84" s="231"/>
      <c r="F84" s="87"/>
      <c r="G84" s="87"/>
      <c r="H84" s="89"/>
      <c r="I84" s="87"/>
      <c r="J84" s="87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5:30" ht="15.75" x14ac:dyDescent="0.25">
      <c r="E85" s="231"/>
      <c r="F85" s="87"/>
      <c r="G85" s="87"/>
      <c r="H85" s="87"/>
      <c r="I85" s="87"/>
      <c r="J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5:30" ht="15.75" x14ac:dyDescent="0.25">
      <c r="E86" s="231"/>
      <c r="F86" s="87"/>
      <c r="G86" s="81"/>
      <c r="H86" s="87"/>
      <c r="I86" s="87"/>
      <c r="J86" s="87"/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5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5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5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5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5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5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5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5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5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5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287.55</v>
      </c>
      <c r="Q98" s="195">
        <f>SUM(Q78:Q97)</f>
        <v>50.18</v>
      </c>
      <c r="R98" s="111"/>
      <c r="S98" s="195">
        <f>SUM(S78:S97)</f>
        <v>2.532975</v>
      </c>
      <c r="T98" s="195">
        <f>SUM(T78:T97)</f>
        <v>335.197025</v>
      </c>
      <c r="U98" s="114">
        <f>SUM(U78:U97)</f>
        <v>327.12</v>
      </c>
      <c r="V98" s="114">
        <f>SUM(V78:V97)</f>
        <v>0</v>
      </c>
      <c r="W98" s="112"/>
      <c r="X98" s="197">
        <f>SUM(X78:X97)</f>
        <v>4.9068000000000005</v>
      </c>
      <c r="Y98" s="197">
        <f>SUM(Y78:Y97)</f>
        <v>322.21320000000003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5">
        <f>P78+Q78+U78</f>
        <v>113.4</v>
      </c>
    </row>
    <row r="101" spans="14:30" x14ac:dyDescent="0.25">
      <c r="N101" s="85"/>
      <c r="P101" s="215">
        <f>P79+Q79+U79</f>
        <v>206.64999999999998</v>
      </c>
    </row>
    <row r="102" spans="14:30" x14ac:dyDescent="0.25">
      <c r="N102" s="85"/>
      <c r="P102" s="215">
        <f>P80+U80+Q80</f>
        <v>344.8</v>
      </c>
    </row>
    <row r="103" spans="14:30" x14ac:dyDescent="0.25">
      <c r="N103" s="85"/>
      <c r="P103" s="215">
        <f>P81+Q81+U81</f>
        <v>0</v>
      </c>
    </row>
    <row r="104" spans="14:30" x14ac:dyDescent="0.25">
      <c r="N104" s="85"/>
      <c r="P104" s="215">
        <f>P82+U82+Q82</f>
        <v>0</v>
      </c>
    </row>
    <row r="105" spans="14:30" x14ac:dyDescent="0.25">
      <c r="N105" s="85"/>
      <c r="P105" s="212">
        <f>P83+Q83+U83</f>
        <v>0</v>
      </c>
    </row>
    <row r="106" spans="14:30" x14ac:dyDescent="0.25">
      <c r="N106" s="85"/>
      <c r="P106" s="224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3" priority="1" operator="greaterThan">
      <formula>0</formula>
    </cfRule>
    <cfRule type="cellIs" dxfId="1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8" zoomScale="90" zoomScaleNormal="90" workbookViewId="0">
      <selection activeCell="B76" sqref="B7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19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169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170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44768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5.73</v>
      </c>
      <c r="C8" s="85" t="s">
        <v>94</v>
      </c>
      <c r="D8" s="108"/>
    </row>
    <row r="9" spans="1:28" x14ac:dyDescent="0.25">
      <c r="A9" s="7" t="s">
        <v>78</v>
      </c>
      <c r="B9" s="108">
        <v>5.75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699.5</v>
      </c>
      <c r="C12" s="15"/>
      <c r="D12" s="56"/>
      <c r="E12" s="16"/>
      <c r="F12" s="56"/>
      <c r="G12" s="56"/>
      <c r="H12" s="17"/>
      <c r="I12" s="83">
        <v>699.5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8"/>
      <c r="Q12" s="158"/>
      <c r="R12" s="159"/>
      <c r="S12" s="160"/>
      <c r="T12" s="160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172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172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985.56000000000006</v>
      </c>
      <c r="C14" s="15"/>
      <c r="D14" s="56"/>
      <c r="E14" s="16"/>
      <c r="F14" s="56"/>
      <c r="G14" s="56"/>
      <c r="H14" s="17"/>
      <c r="I14" s="83"/>
      <c r="J14" s="81">
        <f t="shared" si="0"/>
        <v>985.56000000000006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174</v>
      </c>
      <c r="C15" s="15"/>
      <c r="D15" s="56"/>
      <c r="E15" s="16"/>
      <c r="F15" s="56"/>
      <c r="G15" s="56"/>
      <c r="H15" s="17"/>
      <c r="I15" s="83"/>
      <c r="J15" s="81">
        <f t="shared" si="0"/>
        <v>174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1000.5</v>
      </c>
      <c r="C16" s="15"/>
      <c r="D16" s="56"/>
      <c r="E16" s="16"/>
      <c r="F16" s="56"/>
      <c r="G16" s="56"/>
      <c r="H16" s="17"/>
      <c r="I16" s="83"/>
      <c r="J16" s="81">
        <f t="shared" si="0"/>
        <v>1000.5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346</v>
      </c>
      <c r="C19" s="95"/>
      <c r="D19" s="94"/>
      <c r="E19" s="96"/>
      <c r="F19" s="94"/>
      <c r="G19" s="94"/>
      <c r="H19" s="98"/>
      <c r="I19" s="99">
        <v>346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1986.06</v>
      </c>
      <c r="C20" s="95"/>
      <c r="D20" s="94"/>
      <c r="E20" s="96"/>
      <c r="F20" s="94"/>
      <c r="G20" s="94"/>
      <c r="H20" s="98"/>
      <c r="I20" s="99">
        <v>1999.88</v>
      </c>
      <c r="J20" s="185">
        <f t="shared" si="0"/>
        <v>-13.820000000000164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35.159999999999997</v>
      </c>
      <c r="C37" s="100"/>
      <c r="D37" s="66"/>
      <c r="E37" s="67"/>
      <c r="F37" s="66"/>
      <c r="G37" s="66"/>
      <c r="H37" s="102"/>
      <c r="I37" s="79">
        <v>35.159999999999997</v>
      </c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201.46680000000001</v>
      </c>
      <c r="C38" s="100"/>
      <c r="D38" s="66"/>
      <c r="E38" s="67"/>
      <c r="F38" s="66"/>
      <c r="G38" s="66"/>
      <c r="H38" s="102"/>
      <c r="I38" s="79">
        <v>201.47</v>
      </c>
      <c r="J38" s="81">
        <f t="shared" si="0"/>
        <v>-3.1999999999925421E-3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35.159999999999997</v>
      </c>
      <c r="C43" s="95"/>
      <c r="D43" s="94"/>
      <c r="E43" s="96"/>
      <c r="F43" s="94"/>
      <c r="G43" s="94"/>
      <c r="H43" s="98"/>
      <c r="I43" s="99">
        <v>35.159999999999997</v>
      </c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201.46680000000001</v>
      </c>
      <c r="C44" s="95"/>
      <c r="D44" s="94"/>
      <c r="E44" s="96"/>
      <c r="F44" s="94"/>
      <c r="G44" s="94"/>
      <c r="H44" s="98"/>
      <c r="I44" s="99">
        <v>201.47</v>
      </c>
      <c r="J44" s="185">
        <f t="shared" si="0"/>
        <v>-3.1999999999925421E-3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44769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44769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44769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30" x14ac:dyDescent="0.25">
      <c r="A49" s="115" t="s">
        <v>213</v>
      </c>
      <c r="B49" s="117">
        <f>R75</f>
        <v>6396.34</v>
      </c>
      <c r="C49" s="116">
        <v>7.4999999999999997E-3</v>
      </c>
      <c r="D49" s="117">
        <f t="shared" si="18"/>
        <v>47.972549999999998</v>
      </c>
      <c r="E49" s="172">
        <v>0</v>
      </c>
      <c r="F49" s="117">
        <f t="shared" si="15"/>
        <v>0</v>
      </c>
      <c r="G49" s="117">
        <f t="shared" si="16"/>
        <v>6348.3674499999997</v>
      </c>
      <c r="H49" s="173">
        <f t="shared" si="19"/>
        <v>44769</v>
      </c>
      <c r="I49" s="176">
        <f>488.32+5908.02</f>
        <v>6396.34</v>
      </c>
      <c r="J49" s="81">
        <f t="shared" si="0"/>
        <v>0</v>
      </c>
      <c r="K49" s="80"/>
      <c r="L49" s="186">
        <f t="shared" si="17"/>
        <v>6348.3674499999997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148.94999999999999</v>
      </c>
      <c r="C50" s="116">
        <v>7.4999999999999997E-3</v>
      </c>
      <c r="D50" s="117">
        <f t="shared" si="18"/>
        <v>1.1171249999999999</v>
      </c>
      <c r="E50" s="172">
        <v>0</v>
      </c>
      <c r="F50" s="117">
        <f t="shared" si="15"/>
        <v>0</v>
      </c>
      <c r="G50" s="117">
        <f t="shared" si="16"/>
        <v>147.832875</v>
      </c>
      <c r="H50" s="173">
        <f t="shared" si="19"/>
        <v>44769</v>
      </c>
      <c r="I50" s="175"/>
      <c r="J50" s="81">
        <f t="shared" si="0"/>
        <v>148.94999999999999</v>
      </c>
      <c r="K50" s="80"/>
      <c r="L50" s="186">
        <f t="shared" si="17"/>
        <v>147.832875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545.87</v>
      </c>
      <c r="C51" s="116">
        <v>1.4999999999999999E-2</v>
      </c>
      <c r="D51" s="117">
        <f>+B51*C51</f>
        <v>8.1880500000000005</v>
      </c>
      <c r="E51" s="172">
        <v>0</v>
      </c>
      <c r="F51" s="117">
        <f>D51*E51</f>
        <v>0</v>
      </c>
      <c r="G51" s="117">
        <f t="shared" si="16"/>
        <v>537.68195000000003</v>
      </c>
      <c r="H51" s="173">
        <f t="shared" si="19"/>
        <v>44769</v>
      </c>
      <c r="I51" s="175">
        <v>694.82</v>
      </c>
      <c r="J51" s="81">
        <f t="shared" si="0"/>
        <v>-148.95000000000005</v>
      </c>
      <c r="K51" s="80"/>
      <c r="L51" s="186">
        <f t="shared" si="17"/>
        <v>537.68195000000003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44769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44769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44769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44769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183</v>
      </c>
      <c r="B56" s="117">
        <f>T75</f>
        <v>8.5399999999999991</v>
      </c>
      <c r="C56" s="116">
        <v>2.5000000000000001E-2</v>
      </c>
      <c r="D56" s="117">
        <f t="shared" si="20"/>
        <v>0.2135</v>
      </c>
      <c r="E56" s="172">
        <v>0.05</v>
      </c>
      <c r="F56" s="117">
        <f t="shared" si="21"/>
        <v>0.36810344827586206</v>
      </c>
      <c r="G56" s="117">
        <f t="shared" si="22"/>
        <v>7.9583965517241371</v>
      </c>
      <c r="H56" s="173">
        <f t="shared" si="19"/>
        <v>44769</v>
      </c>
      <c r="I56" s="176">
        <v>8.5399999999999991</v>
      </c>
      <c r="J56" s="81">
        <f t="shared" si="0"/>
        <v>0</v>
      </c>
      <c r="K56" s="80"/>
      <c r="L56" s="186">
        <f t="shared" si="17"/>
        <v>7.9583965517241371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44771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44773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44798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57.491225000000007</v>
      </c>
      <c r="E61" s="177"/>
      <c r="F61" s="57">
        <f>SUM(F46:F58)</f>
        <v>0.36810344827586206</v>
      </c>
      <c r="G61" s="57">
        <f>SUM(G46:G58)</f>
        <v>7041.840671551724</v>
      </c>
      <c r="H61" s="173">
        <f t="shared" si="19"/>
        <v>44769</v>
      </c>
      <c r="I61" s="175"/>
      <c r="J61" s="81">
        <f t="shared" si="0"/>
        <v>0</v>
      </c>
      <c r="K61" s="80"/>
      <c r="L61" s="186">
        <f t="shared" si="17"/>
        <v>7041.840671551724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44769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14083.681343103448</v>
      </c>
      <c r="H64" s="184"/>
      <c r="I64" s="175"/>
      <c r="J64" s="81">
        <f t="shared" si="0"/>
        <v>0</v>
      </c>
      <c r="K64" s="80"/>
      <c r="L64" s="186">
        <f t="shared" si="17"/>
        <v>14083.681343103448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9986.7268000000022</v>
      </c>
      <c r="G65" s="22"/>
      <c r="L65" s="132"/>
      <c r="M65" s="131"/>
      <c r="N65" s="87">
        <v>2</v>
      </c>
      <c r="O65" s="122" t="s">
        <v>181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181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249">
        <v>9919.7999999999993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181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9919.7999999999993</v>
      </c>
      <c r="C69" s="59"/>
      <c r="F69" s="87" t="s">
        <v>129</v>
      </c>
      <c r="G69" s="22"/>
      <c r="H69" s="89"/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0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212</v>
      </c>
      <c r="P70" s="228">
        <v>258</v>
      </c>
      <c r="Q70" s="228">
        <v>2001</v>
      </c>
      <c r="R70" s="222">
        <v>488.32</v>
      </c>
      <c r="S70" s="228"/>
      <c r="T70" s="228">
        <v>8.5399999999999991</v>
      </c>
      <c r="U70" s="189">
        <f t="shared" ref="U70:U74" si="34">((T70/U$10)*U$9)</f>
        <v>0.36810344827586206</v>
      </c>
      <c r="V70" s="189">
        <f t="shared" ref="V70:V74" si="35">R70*V$10</f>
        <v>3.6623999999999999</v>
      </c>
      <c r="W70" s="189">
        <f t="shared" ref="W70:W74" si="36">+S70*V$10</f>
        <v>0</v>
      </c>
      <c r="X70" s="189">
        <f t="shared" ref="X70:X74" si="37">+T70*X$10</f>
        <v>0.2135</v>
      </c>
      <c r="Y70" s="189">
        <f t="shared" ref="Y70:Z74" si="38">R70-V70</f>
        <v>484.6576</v>
      </c>
      <c r="Z70" s="189">
        <f t="shared" si="38"/>
        <v>0</v>
      </c>
      <c r="AA70" s="189">
        <f t="shared" ref="AA70:AA74" si="39">T70-U70-X70</f>
        <v>7.9583965517241371</v>
      </c>
      <c r="AB70" s="87"/>
    </row>
    <row r="71" spans="1:30" ht="28.5" customHeight="1" thickBot="1" x14ac:dyDescent="0.3">
      <c r="A71" s="25" t="s">
        <v>57</v>
      </c>
      <c r="B71" s="70">
        <f>(B65-B69)-B72</f>
        <v>66.926800000002913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212</v>
      </c>
      <c r="P71" s="228"/>
      <c r="Q71" s="228"/>
      <c r="R71" s="222"/>
      <c r="S71" s="228"/>
      <c r="T71" s="228"/>
      <c r="U71" s="189">
        <f t="shared" si="34"/>
        <v>0</v>
      </c>
      <c r="V71" s="189">
        <f t="shared" si="35"/>
        <v>0</v>
      </c>
      <c r="W71" s="189">
        <f t="shared" si="36"/>
        <v>0</v>
      </c>
      <c r="X71" s="189">
        <f t="shared" si="37"/>
        <v>0</v>
      </c>
      <c r="Y71" s="189">
        <f t="shared" si="38"/>
        <v>0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180</v>
      </c>
      <c r="P72" s="228">
        <v>54</v>
      </c>
      <c r="Q72" s="228">
        <v>2003</v>
      </c>
      <c r="R72" s="222">
        <v>98.48</v>
      </c>
      <c r="S72" s="228"/>
      <c r="T72" s="228"/>
      <c r="U72" s="189">
        <f t="shared" si="34"/>
        <v>0</v>
      </c>
      <c r="V72" s="189">
        <f t="shared" si="35"/>
        <v>0.73860000000000003</v>
      </c>
      <c r="W72" s="189">
        <f t="shared" si="36"/>
        <v>0</v>
      </c>
      <c r="X72" s="189">
        <f t="shared" si="37"/>
        <v>0</v>
      </c>
      <c r="Y72" s="189">
        <f t="shared" si="38"/>
        <v>97.741399999999999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180</v>
      </c>
      <c r="P73" s="228" t="s">
        <v>248</v>
      </c>
      <c r="Q73" s="228">
        <v>2002</v>
      </c>
      <c r="R73" s="222">
        <f>1322.46+921.24</f>
        <v>2243.6999999999998</v>
      </c>
      <c r="S73" s="228"/>
      <c r="T73" s="222"/>
      <c r="U73" s="189">
        <f t="shared" si="34"/>
        <v>0</v>
      </c>
      <c r="V73" s="189">
        <f t="shared" si="35"/>
        <v>16.827749999999998</v>
      </c>
      <c r="W73" s="189">
        <f t="shared" si="36"/>
        <v>0</v>
      </c>
      <c r="X73" s="189">
        <f t="shared" si="37"/>
        <v>0</v>
      </c>
      <c r="Y73" s="189">
        <f t="shared" si="38"/>
        <v>2226.8722499999999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180</v>
      </c>
      <c r="P74" s="228">
        <v>747</v>
      </c>
      <c r="Q74" s="228">
        <v>2001</v>
      </c>
      <c r="R74" s="222">
        <f>1951.28+1614.56</f>
        <v>3565.84</v>
      </c>
      <c r="S74" s="228"/>
      <c r="T74" s="228"/>
      <c r="U74" s="189">
        <f t="shared" si="34"/>
        <v>0</v>
      </c>
      <c r="V74" s="189">
        <f t="shared" si="35"/>
        <v>26.7438</v>
      </c>
      <c r="W74" s="189">
        <f t="shared" si="36"/>
        <v>0</v>
      </c>
      <c r="X74" s="189">
        <f t="shared" si="37"/>
        <v>0</v>
      </c>
      <c r="Y74" s="189">
        <f t="shared" si="38"/>
        <v>3539.0962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6396.34</v>
      </c>
      <c r="S75" s="192"/>
      <c r="T75" s="192">
        <f>SUM(T70:T74)</f>
        <v>8.5399999999999991</v>
      </c>
      <c r="U75" s="192">
        <f>SUM(U70:U74)</f>
        <v>0.36810344827586206</v>
      </c>
      <c r="V75" s="192">
        <f t="shared" ref="V75:AA75" si="41">SUM(V70:V74)</f>
        <v>47.972549999999998</v>
      </c>
      <c r="W75" s="192">
        <f t="shared" si="41"/>
        <v>0</v>
      </c>
      <c r="X75" s="192">
        <f t="shared" si="41"/>
        <v>0.2135</v>
      </c>
      <c r="Y75" s="192">
        <f t="shared" si="41"/>
        <v>6348.3674499999997</v>
      </c>
      <c r="Z75" s="192">
        <f t="shared" si="41"/>
        <v>0</v>
      </c>
      <c r="AA75" s="193">
        <f t="shared" si="41"/>
        <v>7.9583965517241371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33.700000000000003</v>
      </c>
      <c r="Q78" s="87"/>
      <c r="R78" s="82">
        <v>7.4999999999999997E-3</v>
      </c>
      <c r="S78" s="216">
        <f>+(P78+Q78)*R78</f>
        <v>0.25275000000000003</v>
      </c>
      <c r="T78" s="219">
        <f>+(P78+Q78)-S78</f>
        <v>33.447250000000004</v>
      </c>
      <c r="U78" s="211">
        <v>88.62</v>
      </c>
      <c r="V78" s="112"/>
      <c r="W78" s="113">
        <v>1.4999999999999999E-2</v>
      </c>
      <c r="X78" s="196">
        <f>+(U78+V78)*W78</f>
        <v>1.3292999999999999</v>
      </c>
      <c r="Y78" s="217">
        <f>+(U78+V78)-X78</f>
        <v>87.290700000000001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94.93</v>
      </c>
      <c r="Q79" s="87"/>
      <c r="R79" s="82">
        <v>7.4999999999999997E-3</v>
      </c>
      <c r="S79" s="216">
        <f>+(P79+Q79)*R79</f>
        <v>0.71197500000000002</v>
      </c>
      <c r="T79" s="219">
        <f>+(P79+Q79)-S79</f>
        <v>94.218025000000011</v>
      </c>
      <c r="U79" s="211">
        <v>241.37</v>
      </c>
      <c r="V79" s="112"/>
      <c r="W79" s="113">
        <v>1.4999999999999999E-2</v>
      </c>
      <c r="X79" s="196">
        <f t="shared" ref="X79:X97" si="43">+(U79+V79)*W79</f>
        <v>3.6205499999999997</v>
      </c>
      <c r="Y79" s="217">
        <f t="shared" ref="Y79:Y97" si="44">+(U79+V79)-X79</f>
        <v>237.74945</v>
      </c>
      <c r="Z79" s="87"/>
      <c r="AA79" s="189">
        <f t="shared" si="42"/>
        <v>0</v>
      </c>
      <c r="AB79" s="189">
        <f t="shared" ref="AB79:AB97" si="45">+Z79*X$10</f>
        <v>0</v>
      </c>
      <c r="AC79" s="189">
        <f t="shared" ref="AC79:AC97" si="46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5.73</v>
      </c>
      <c r="Q80" s="137"/>
      <c r="R80" s="82">
        <v>7.4999999999999997E-3</v>
      </c>
      <c r="S80" s="194">
        <f t="shared" ref="S80:S97" si="47">+(P80+Q80)*R80</f>
        <v>4.2974999999999999E-2</v>
      </c>
      <c r="T80" s="219">
        <f t="shared" ref="T80:T97" si="48">+(P80+Q80)-S80</f>
        <v>5.6870250000000002</v>
      </c>
      <c r="U80" s="211">
        <v>127.85</v>
      </c>
      <c r="V80" s="112"/>
      <c r="W80" s="113">
        <v>1.4999999999999999E-2</v>
      </c>
      <c r="X80" s="196">
        <f t="shared" si="43"/>
        <v>1.9177499999999998</v>
      </c>
      <c r="Y80" s="217">
        <f t="shared" si="44"/>
        <v>125.93225</v>
      </c>
      <c r="Z80" s="87"/>
      <c r="AA80" s="189">
        <f t="shared" si="42"/>
        <v>0</v>
      </c>
      <c r="AB80" s="189">
        <f t="shared" si="45"/>
        <v>0</v>
      </c>
      <c r="AC80" s="189">
        <f t="shared" si="46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14.59</v>
      </c>
      <c r="Q81" s="137"/>
      <c r="R81" s="82">
        <v>7.4999999999999997E-3</v>
      </c>
      <c r="S81" s="194">
        <f t="shared" si="47"/>
        <v>0.10942499999999999</v>
      </c>
      <c r="T81" s="219">
        <f t="shared" si="48"/>
        <v>14.480575</v>
      </c>
      <c r="U81" s="211">
        <v>88.03</v>
      </c>
      <c r="V81" s="112"/>
      <c r="W81" s="113">
        <v>1.4999999999999999E-2</v>
      </c>
      <c r="X81" s="196">
        <f t="shared" si="43"/>
        <v>1.3204499999999999</v>
      </c>
      <c r="Y81" s="217">
        <f t="shared" si="44"/>
        <v>86.709550000000007</v>
      </c>
      <c r="Z81" s="87"/>
      <c r="AA81" s="189">
        <f t="shared" si="42"/>
        <v>0</v>
      </c>
      <c r="AB81" s="189">
        <f t="shared" si="45"/>
        <v>0</v>
      </c>
      <c r="AC81" s="189">
        <f t="shared" si="46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7"/>
        <v>0</v>
      </c>
      <c r="T82" s="219">
        <f t="shared" si="48"/>
        <v>0</v>
      </c>
      <c r="U82" s="211"/>
      <c r="V82" s="112"/>
      <c r="W82" s="113">
        <v>1.4999999999999999E-2</v>
      </c>
      <c r="X82" s="196">
        <f t="shared" si="43"/>
        <v>0</v>
      </c>
      <c r="Y82" s="217">
        <f t="shared" si="44"/>
        <v>0</v>
      </c>
      <c r="Z82" s="87"/>
      <c r="AA82" s="189">
        <f t="shared" si="42"/>
        <v>0</v>
      </c>
      <c r="AB82" s="189">
        <f t="shared" si="45"/>
        <v>0</v>
      </c>
      <c r="AC82" s="189">
        <f t="shared" si="46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7"/>
        <v>0</v>
      </c>
      <c r="T83" s="219">
        <f t="shared" si="48"/>
        <v>0</v>
      </c>
      <c r="U83" s="112"/>
      <c r="V83" s="112"/>
      <c r="W83" s="113">
        <v>1.4999999999999999E-2</v>
      </c>
      <c r="X83" s="196">
        <f t="shared" si="43"/>
        <v>0</v>
      </c>
      <c r="Y83" s="217">
        <f t="shared" si="44"/>
        <v>0</v>
      </c>
      <c r="Z83" s="87"/>
      <c r="AA83" s="189">
        <f t="shared" si="42"/>
        <v>0</v>
      </c>
      <c r="AB83" s="189">
        <f t="shared" si="45"/>
        <v>0</v>
      </c>
      <c r="AC83" s="189">
        <f t="shared" si="46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7"/>
        <v>0</v>
      </c>
      <c r="T84" s="220">
        <f t="shared" si="48"/>
        <v>0</v>
      </c>
      <c r="U84" s="112"/>
      <c r="V84" s="112"/>
      <c r="W84" s="113">
        <v>1.4999999999999999E-2</v>
      </c>
      <c r="X84" s="196">
        <f t="shared" si="43"/>
        <v>0</v>
      </c>
      <c r="Y84" s="196">
        <f t="shared" si="44"/>
        <v>0</v>
      </c>
      <c r="Z84" s="87"/>
      <c r="AA84" s="189">
        <f t="shared" si="42"/>
        <v>0</v>
      </c>
      <c r="AB84" s="189">
        <f t="shared" si="45"/>
        <v>0</v>
      </c>
      <c r="AC84" s="189">
        <f t="shared" si="46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7"/>
        <v>0</v>
      </c>
      <c r="T85" s="220">
        <f t="shared" si="48"/>
        <v>0</v>
      </c>
      <c r="U85" s="112"/>
      <c r="V85" s="112"/>
      <c r="W85" s="113">
        <v>1.4999999999999999E-2</v>
      </c>
      <c r="X85" s="196">
        <f t="shared" si="43"/>
        <v>0</v>
      </c>
      <c r="Y85" s="196">
        <f t="shared" si="44"/>
        <v>0</v>
      </c>
      <c r="Z85" s="87"/>
      <c r="AA85" s="189">
        <f t="shared" si="42"/>
        <v>0</v>
      </c>
      <c r="AB85" s="189">
        <f t="shared" si="45"/>
        <v>0</v>
      </c>
      <c r="AC85" s="189">
        <f t="shared" si="46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7"/>
        <v>0</v>
      </c>
      <c r="T86" s="220">
        <f t="shared" si="48"/>
        <v>0</v>
      </c>
      <c r="U86" s="112"/>
      <c r="V86" s="112"/>
      <c r="W86" s="113">
        <v>1.4999999999999999E-2</v>
      </c>
      <c r="X86" s="196">
        <f t="shared" si="43"/>
        <v>0</v>
      </c>
      <c r="Y86" s="196">
        <f t="shared" si="44"/>
        <v>0</v>
      </c>
      <c r="Z86" s="87"/>
      <c r="AA86" s="189">
        <f t="shared" si="42"/>
        <v>0</v>
      </c>
      <c r="AB86" s="189">
        <f t="shared" si="45"/>
        <v>0</v>
      </c>
      <c r="AC86" s="189">
        <f t="shared" si="46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7"/>
        <v>0</v>
      </c>
      <c r="T87" s="220">
        <f t="shared" si="48"/>
        <v>0</v>
      </c>
      <c r="U87" s="112"/>
      <c r="V87" s="112"/>
      <c r="W87" s="113">
        <v>1.4999999999999999E-2</v>
      </c>
      <c r="X87" s="196">
        <f t="shared" si="43"/>
        <v>0</v>
      </c>
      <c r="Y87" s="196">
        <f t="shared" si="44"/>
        <v>0</v>
      </c>
      <c r="Z87" s="87"/>
      <c r="AA87" s="189">
        <f t="shared" si="42"/>
        <v>0</v>
      </c>
      <c r="AB87" s="189">
        <f t="shared" si="45"/>
        <v>0</v>
      </c>
      <c r="AC87" s="189">
        <f t="shared" si="46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7"/>
        <v>0</v>
      </c>
      <c r="T88" s="194">
        <f t="shared" si="48"/>
        <v>0</v>
      </c>
      <c r="U88" s="112"/>
      <c r="V88" s="112"/>
      <c r="W88" s="113">
        <v>1.4999999999999999E-2</v>
      </c>
      <c r="X88" s="196">
        <f t="shared" si="43"/>
        <v>0</v>
      </c>
      <c r="Y88" s="196">
        <f t="shared" si="44"/>
        <v>0</v>
      </c>
      <c r="Z88" s="87"/>
      <c r="AA88" s="189">
        <f t="shared" si="42"/>
        <v>0</v>
      </c>
      <c r="AB88" s="189">
        <f t="shared" si="45"/>
        <v>0</v>
      </c>
      <c r="AC88" s="189">
        <f t="shared" si="46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7"/>
        <v>0</v>
      </c>
      <c r="T89" s="194">
        <f t="shared" si="48"/>
        <v>0</v>
      </c>
      <c r="U89" s="112"/>
      <c r="V89" s="112"/>
      <c r="W89" s="113">
        <v>1.4999999999999999E-2</v>
      </c>
      <c r="X89" s="196">
        <f t="shared" si="43"/>
        <v>0</v>
      </c>
      <c r="Y89" s="196">
        <f t="shared" si="44"/>
        <v>0</v>
      </c>
      <c r="Z89" s="87"/>
      <c r="AA89" s="189">
        <f t="shared" si="42"/>
        <v>0</v>
      </c>
      <c r="AB89" s="189">
        <f t="shared" si="45"/>
        <v>0</v>
      </c>
      <c r="AC89" s="189">
        <f t="shared" si="46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7"/>
        <v>0</v>
      </c>
      <c r="T90" s="194">
        <f t="shared" si="48"/>
        <v>0</v>
      </c>
      <c r="U90" s="112"/>
      <c r="V90" s="112"/>
      <c r="W90" s="113">
        <v>1.4999999999999999E-2</v>
      </c>
      <c r="X90" s="196">
        <f t="shared" si="43"/>
        <v>0</v>
      </c>
      <c r="Y90" s="196">
        <f t="shared" si="44"/>
        <v>0</v>
      </c>
      <c r="Z90" s="87"/>
      <c r="AA90" s="189">
        <f t="shared" si="42"/>
        <v>0</v>
      </c>
      <c r="AB90" s="189">
        <f t="shared" si="45"/>
        <v>0</v>
      </c>
      <c r="AC90" s="189">
        <f t="shared" si="46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7"/>
        <v>0</v>
      </c>
      <c r="T91" s="194">
        <f t="shared" si="48"/>
        <v>0</v>
      </c>
      <c r="U91" s="112"/>
      <c r="V91" s="112"/>
      <c r="W91" s="113">
        <v>1.4999999999999999E-2</v>
      </c>
      <c r="X91" s="196">
        <f t="shared" si="43"/>
        <v>0</v>
      </c>
      <c r="Y91" s="196">
        <f t="shared" si="44"/>
        <v>0</v>
      </c>
      <c r="Z91" s="87"/>
      <c r="AA91" s="189">
        <f t="shared" si="42"/>
        <v>0</v>
      </c>
      <c r="AB91" s="189">
        <f t="shared" si="45"/>
        <v>0</v>
      </c>
      <c r="AC91" s="189">
        <f t="shared" si="46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7"/>
        <v>0</v>
      </c>
      <c r="T92" s="194">
        <f t="shared" si="48"/>
        <v>0</v>
      </c>
      <c r="U92" s="112"/>
      <c r="V92" s="112"/>
      <c r="W92" s="113">
        <v>1.4999999999999999E-2</v>
      </c>
      <c r="X92" s="196">
        <f t="shared" si="43"/>
        <v>0</v>
      </c>
      <c r="Y92" s="196">
        <f t="shared" si="44"/>
        <v>0</v>
      </c>
      <c r="Z92" s="87"/>
      <c r="AA92" s="189">
        <f t="shared" si="42"/>
        <v>0</v>
      </c>
      <c r="AB92" s="189">
        <f t="shared" si="45"/>
        <v>0</v>
      </c>
      <c r="AC92" s="189">
        <f t="shared" si="46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7"/>
        <v>0</v>
      </c>
      <c r="T93" s="194">
        <f t="shared" si="48"/>
        <v>0</v>
      </c>
      <c r="U93" s="112"/>
      <c r="V93" s="112"/>
      <c r="W93" s="113">
        <v>1.4999999999999999E-2</v>
      </c>
      <c r="X93" s="196">
        <f t="shared" si="43"/>
        <v>0</v>
      </c>
      <c r="Y93" s="196">
        <f t="shared" si="44"/>
        <v>0</v>
      </c>
      <c r="Z93" s="87"/>
      <c r="AA93" s="189">
        <f t="shared" si="42"/>
        <v>0</v>
      </c>
      <c r="AB93" s="189">
        <f t="shared" si="45"/>
        <v>0</v>
      </c>
      <c r="AC93" s="189">
        <f t="shared" si="46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7"/>
        <v>0</v>
      </c>
      <c r="T94" s="194">
        <f t="shared" si="48"/>
        <v>0</v>
      </c>
      <c r="U94" s="112"/>
      <c r="V94" s="112"/>
      <c r="W94" s="113">
        <v>1.4999999999999999E-2</v>
      </c>
      <c r="X94" s="196">
        <f t="shared" si="43"/>
        <v>0</v>
      </c>
      <c r="Y94" s="196">
        <f t="shared" si="44"/>
        <v>0</v>
      </c>
      <c r="Z94" s="87"/>
      <c r="AA94" s="189">
        <f t="shared" si="42"/>
        <v>0</v>
      </c>
      <c r="AB94" s="189">
        <f t="shared" si="45"/>
        <v>0</v>
      </c>
      <c r="AC94" s="189">
        <f t="shared" si="46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7"/>
        <v>0</v>
      </c>
      <c r="T95" s="194">
        <f t="shared" si="48"/>
        <v>0</v>
      </c>
      <c r="U95" s="112"/>
      <c r="V95" s="112"/>
      <c r="W95" s="113">
        <v>1.4999999999999999E-2</v>
      </c>
      <c r="X95" s="196">
        <f t="shared" si="43"/>
        <v>0</v>
      </c>
      <c r="Y95" s="196">
        <f t="shared" si="44"/>
        <v>0</v>
      </c>
      <c r="Z95" s="87"/>
      <c r="AA95" s="189">
        <f t="shared" si="42"/>
        <v>0</v>
      </c>
      <c r="AB95" s="189">
        <f t="shared" si="45"/>
        <v>0</v>
      </c>
      <c r="AC95" s="189">
        <f t="shared" si="46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7"/>
        <v>0</v>
      </c>
      <c r="T96" s="194">
        <f t="shared" si="48"/>
        <v>0</v>
      </c>
      <c r="U96" s="112"/>
      <c r="V96" s="112"/>
      <c r="W96" s="113">
        <v>1.4999999999999999E-2</v>
      </c>
      <c r="X96" s="196">
        <f t="shared" si="43"/>
        <v>0</v>
      </c>
      <c r="Y96" s="196">
        <f t="shared" si="44"/>
        <v>0</v>
      </c>
      <c r="Z96" s="87"/>
      <c r="AA96" s="189">
        <f t="shared" si="42"/>
        <v>0</v>
      </c>
      <c r="AB96" s="189">
        <f t="shared" si="45"/>
        <v>0</v>
      </c>
      <c r="AC96" s="189">
        <f t="shared" si="46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7"/>
        <v>0</v>
      </c>
      <c r="T97" s="194">
        <f t="shared" si="48"/>
        <v>0</v>
      </c>
      <c r="U97" s="112"/>
      <c r="V97" s="112"/>
      <c r="W97" s="113">
        <v>1.4999999999999999E-2</v>
      </c>
      <c r="X97" s="196">
        <f t="shared" si="43"/>
        <v>0</v>
      </c>
      <c r="Y97" s="196">
        <f t="shared" si="44"/>
        <v>0</v>
      </c>
      <c r="Z97" s="87"/>
      <c r="AA97" s="189">
        <f t="shared" si="42"/>
        <v>0</v>
      </c>
      <c r="AB97" s="189">
        <f t="shared" si="45"/>
        <v>0</v>
      </c>
      <c r="AC97" s="189">
        <f t="shared" si="46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148.94999999999999</v>
      </c>
      <c r="Q98" s="195">
        <f>SUM(Q78:Q97)</f>
        <v>0</v>
      </c>
      <c r="R98" s="111"/>
      <c r="S98" s="195">
        <f>SUM(S78:S97)</f>
        <v>1.1171250000000001</v>
      </c>
      <c r="T98" s="195">
        <f>SUM(T78:T97)</f>
        <v>147.832875</v>
      </c>
      <c r="U98" s="114">
        <f>SUM(U78:U97)</f>
        <v>545.87</v>
      </c>
      <c r="V98" s="114">
        <f>SUM(V78:V97)</f>
        <v>0</v>
      </c>
      <c r="W98" s="112"/>
      <c r="X98" s="197">
        <f>SUM(X78:X97)</f>
        <v>8.1880499999999987</v>
      </c>
      <c r="Y98" s="197">
        <f>SUM(Y78:Y97)</f>
        <v>537.68195000000003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5">
        <f>P78+Q78+U78</f>
        <v>122.32000000000001</v>
      </c>
    </row>
    <row r="101" spans="14:30" x14ac:dyDescent="0.25">
      <c r="N101" s="85"/>
      <c r="Q101" s="215">
        <f>P79+Q79+U79</f>
        <v>336.3</v>
      </c>
    </row>
    <row r="102" spans="14:30" x14ac:dyDescent="0.25">
      <c r="N102" s="85"/>
      <c r="Q102" s="215">
        <f>P80+Q80+U80</f>
        <v>133.57999999999998</v>
      </c>
    </row>
    <row r="103" spans="14:30" x14ac:dyDescent="0.25">
      <c r="N103" s="85"/>
      <c r="Q103" s="215">
        <f t="shared" ref="Q103:Q105" si="50">P81+Q81+U81</f>
        <v>102.62</v>
      </c>
    </row>
    <row r="104" spans="14:30" x14ac:dyDescent="0.25">
      <c r="N104" s="85"/>
      <c r="Q104" s="236">
        <f t="shared" si="50"/>
        <v>0</v>
      </c>
    </row>
    <row r="105" spans="14:30" x14ac:dyDescent="0.25">
      <c r="N105" s="85"/>
      <c r="Q105" s="224">
        <f t="shared" si="50"/>
        <v>0</v>
      </c>
    </row>
    <row r="106" spans="14:30" x14ac:dyDescent="0.25">
      <c r="N106" s="85"/>
      <c r="Q106" s="224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1" priority="1" operator="greaterThan">
      <formula>0</formula>
    </cfRule>
    <cfRule type="cellIs" dxfId="1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8" zoomScale="90" zoomScaleNormal="90" workbookViewId="0">
      <selection activeCell="F60" sqref="F6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169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170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44769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5.75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329+197+71.5+115.5+7+111.5</f>
        <v>831.5</v>
      </c>
      <c r="C12" s="15"/>
      <c r="D12" s="56"/>
      <c r="E12" s="16"/>
      <c r="F12" s="56"/>
      <c r="G12" s="56"/>
      <c r="H12" s="17"/>
      <c r="I12" s="83">
        <v>831.5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328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328</v>
      </c>
      <c r="K13" s="75"/>
      <c r="L13" s="186">
        <f t="shared" ref="L13:L42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1886</v>
      </c>
      <c r="C14" s="15"/>
      <c r="D14" s="56"/>
      <c r="E14" s="16"/>
      <c r="F14" s="56"/>
      <c r="G14" s="56"/>
      <c r="H14" s="17"/>
      <c r="I14" s="83"/>
      <c r="J14" s="81">
        <f t="shared" si="0"/>
        <v>1886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328</v>
      </c>
      <c r="C19" s="95"/>
      <c r="D19" s="94"/>
      <c r="E19" s="96"/>
      <c r="F19" s="94"/>
      <c r="G19" s="94"/>
      <c r="H19" s="98"/>
      <c r="I19" s="99">
        <v>328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1886</v>
      </c>
      <c r="C20" s="95"/>
      <c r="D20" s="94"/>
      <c r="E20" s="96"/>
      <c r="F20" s="94"/>
      <c r="G20" s="94"/>
      <c r="H20" s="98"/>
      <c r="I20" s="99">
        <v>1895.84</v>
      </c>
      <c r="J20" s="185">
        <f t="shared" si="0"/>
        <v>-9.8399999999999181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44770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44770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44770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177</v>
      </c>
      <c r="B49" s="117">
        <f>R75</f>
        <v>4124.57</v>
      </c>
      <c r="C49" s="116">
        <v>7.4999999999999997E-3</v>
      </c>
      <c r="D49" s="117">
        <f t="shared" si="18"/>
        <v>30.934274999999996</v>
      </c>
      <c r="E49" s="172">
        <v>0</v>
      </c>
      <c r="F49" s="117">
        <f t="shared" si="15"/>
        <v>0</v>
      </c>
      <c r="G49" s="117">
        <f t="shared" si="16"/>
        <v>4093.6357249999996</v>
      </c>
      <c r="H49" s="173">
        <f t="shared" si="19"/>
        <v>44770</v>
      </c>
      <c r="I49" s="176">
        <f>791.89+3332.68</f>
        <v>4124.57</v>
      </c>
      <c r="J49" s="81">
        <f t="shared" si="0"/>
        <v>0</v>
      </c>
      <c r="K49" s="80"/>
      <c r="L49" s="186">
        <f t="shared" si="17"/>
        <v>4093.6357249999996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410.75000000000006</v>
      </c>
      <c r="C50" s="116">
        <v>7.4999999999999997E-3</v>
      </c>
      <c r="D50" s="117">
        <f t="shared" si="18"/>
        <v>3.0806250000000004</v>
      </c>
      <c r="E50" s="172">
        <v>0</v>
      </c>
      <c r="F50" s="117">
        <f t="shared" si="15"/>
        <v>0</v>
      </c>
      <c r="G50" s="117">
        <f t="shared" si="16"/>
        <v>407.66937500000006</v>
      </c>
      <c r="H50" s="173">
        <f t="shared" si="19"/>
        <v>44770</v>
      </c>
      <c r="I50" s="175">
        <v>1160.27</v>
      </c>
      <c r="J50" s="81">
        <f t="shared" si="0"/>
        <v>-749.52</v>
      </c>
      <c r="K50" s="80"/>
      <c r="L50" s="186">
        <f t="shared" si="17"/>
        <v>407.66937500000006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749.52</v>
      </c>
      <c r="C51" s="116">
        <v>1.4999999999999999E-2</v>
      </c>
      <c r="D51" s="117">
        <f>+B51*C51</f>
        <v>11.242799999999999</v>
      </c>
      <c r="E51" s="172">
        <v>0</v>
      </c>
      <c r="F51" s="117">
        <f>D51*E51</f>
        <v>0</v>
      </c>
      <c r="G51" s="117">
        <f t="shared" si="16"/>
        <v>738.27719999999999</v>
      </c>
      <c r="H51" s="173">
        <f t="shared" si="19"/>
        <v>44770</v>
      </c>
      <c r="I51" s="175"/>
      <c r="J51" s="81">
        <f t="shared" si="0"/>
        <v>749.52</v>
      </c>
      <c r="K51" s="80"/>
      <c r="L51" s="186">
        <f t="shared" si="17"/>
        <v>738.27719999999999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44770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44770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187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44770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44770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64.14</v>
      </c>
      <c r="C56" s="116">
        <v>2.5000000000000001E-2</v>
      </c>
      <c r="D56" s="117">
        <f t="shared" si="20"/>
        <v>1.6035000000000001</v>
      </c>
      <c r="E56" s="172">
        <v>0.05</v>
      </c>
      <c r="F56" s="117">
        <f t="shared" si="21"/>
        <v>2.7646551724137933</v>
      </c>
      <c r="G56" s="117">
        <f t="shared" si="22"/>
        <v>59.771844827586207</v>
      </c>
      <c r="H56" s="173">
        <f t="shared" si="19"/>
        <v>44770</v>
      </c>
      <c r="I56" s="176">
        <v>64.14</v>
      </c>
      <c r="J56" s="81">
        <f t="shared" si="0"/>
        <v>0</v>
      </c>
      <c r="K56" s="80"/>
      <c r="L56" s="186">
        <f t="shared" si="17"/>
        <v>59.771844827586207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44772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44774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44799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46.861199999999997</v>
      </c>
      <c r="E61" s="177"/>
      <c r="F61" s="57">
        <f>SUM(F46:F58)</f>
        <v>2.7646551724137933</v>
      </c>
      <c r="G61" s="57">
        <f>SUM(G46:G58)</f>
        <v>5299.3541448275864</v>
      </c>
      <c r="H61" s="173">
        <f t="shared" si="19"/>
        <v>44770</v>
      </c>
      <c r="I61" s="175"/>
      <c r="J61" s="81">
        <f t="shared" si="0"/>
        <v>0</v>
      </c>
      <c r="K61" s="80"/>
      <c r="L61" s="186">
        <f t="shared" si="17"/>
        <v>5299.3541448275864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44770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10598.708289655173</v>
      </c>
      <c r="H64" s="184"/>
      <c r="I64" s="175"/>
      <c r="J64" s="81">
        <f t="shared" si="0"/>
        <v>0</v>
      </c>
      <c r="K64" s="80"/>
      <c r="L64" s="186">
        <f t="shared" si="17"/>
        <v>10598.708289655173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8066.4800000000005</v>
      </c>
      <c r="G65" s="22"/>
      <c r="L65" s="132"/>
      <c r="M65" s="131"/>
      <c r="N65" s="87">
        <v>2</v>
      </c>
      <c r="O65" s="122" t="s">
        <v>181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181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8015.63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181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7966.06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49.569999999999709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214</v>
      </c>
      <c r="P70" s="228"/>
      <c r="Q70" s="228">
        <v>226</v>
      </c>
      <c r="R70" s="222">
        <v>241.47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1.8110249999999999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239.658975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50.850000000000364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214</v>
      </c>
      <c r="P71" s="228"/>
      <c r="Q71" s="228">
        <v>227</v>
      </c>
      <c r="R71" s="222">
        <f>65.62+484.8</f>
        <v>550.42000000000007</v>
      </c>
      <c r="S71" s="87"/>
      <c r="T71" s="87"/>
      <c r="U71" s="189">
        <f t="shared" si="34"/>
        <v>0</v>
      </c>
      <c r="V71" s="189">
        <f t="shared" si="35"/>
        <v>4.1281500000000007</v>
      </c>
      <c r="W71" s="189">
        <f t="shared" si="36"/>
        <v>0</v>
      </c>
      <c r="X71" s="189">
        <f t="shared" si="37"/>
        <v>0</v>
      </c>
      <c r="Y71" s="189">
        <f t="shared" si="38"/>
        <v>546.29185000000007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184</v>
      </c>
      <c r="P72" s="228"/>
      <c r="Q72" s="228">
        <v>55</v>
      </c>
      <c r="R72" s="255">
        <v>58.8</v>
      </c>
      <c r="S72" s="87"/>
      <c r="T72" s="256"/>
      <c r="U72" s="189">
        <f t="shared" si="34"/>
        <v>0</v>
      </c>
      <c r="V72" s="189">
        <f t="shared" si="35"/>
        <v>0.44099999999999995</v>
      </c>
      <c r="W72" s="189">
        <f t="shared" si="36"/>
        <v>0</v>
      </c>
      <c r="X72" s="189">
        <f t="shared" si="37"/>
        <v>0</v>
      </c>
      <c r="Y72" s="189">
        <f t="shared" si="38"/>
        <v>58.358999999999995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184</v>
      </c>
      <c r="P73" s="87"/>
      <c r="Q73" s="87">
        <v>56</v>
      </c>
      <c r="R73" s="255">
        <f>412.49+744.63+904.18</f>
        <v>2061.2999999999997</v>
      </c>
      <c r="S73" s="87"/>
      <c r="T73" s="87">
        <v>64.14</v>
      </c>
      <c r="U73" s="189">
        <f t="shared" si="34"/>
        <v>2.7646551724137933</v>
      </c>
      <c r="V73" s="189">
        <f t="shared" si="35"/>
        <v>15.459749999999998</v>
      </c>
      <c r="W73" s="189">
        <f t="shared" si="36"/>
        <v>0</v>
      </c>
      <c r="X73" s="189">
        <f t="shared" si="37"/>
        <v>1.6035000000000001</v>
      </c>
      <c r="Y73" s="189">
        <f t="shared" si="38"/>
        <v>2045.8402499999997</v>
      </c>
      <c r="Z73" s="189">
        <f t="shared" si="38"/>
        <v>0</v>
      </c>
      <c r="AA73" s="189">
        <f t="shared" si="39"/>
        <v>59.771844827586207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184</v>
      </c>
      <c r="P74" s="87"/>
      <c r="Q74" s="87" t="s">
        <v>249</v>
      </c>
      <c r="R74" s="255">
        <f>832.98+379.6</f>
        <v>1212.58</v>
      </c>
      <c r="S74" s="87"/>
      <c r="T74" s="87"/>
      <c r="U74" s="189">
        <f t="shared" si="34"/>
        <v>0</v>
      </c>
      <c r="V74" s="189">
        <f t="shared" si="35"/>
        <v>9.0943499999999986</v>
      </c>
      <c r="W74" s="189">
        <f t="shared" si="36"/>
        <v>0</v>
      </c>
      <c r="X74" s="189">
        <f t="shared" si="37"/>
        <v>0</v>
      </c>
      <c r="Y74" s="189">
        <f t="shared" si="38"/>
        <v>1203.4856499999999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4124.57</v>
      </c>
      <c r="S75" s="192"/>
      <c r="T75" s="192">
        <f>SUM(T70:T74)</f>
        <v>64.14</v>
      </c>
      <c r="U75" s="192">
        <f>SUM(U70:U74)</f>
        <v>2.7646551724137933</v>
      </c>
      <c r="V75" s="192">
        <f t="shared" ref="V75:AA75" si="41">SUM(V70:V74)</f>
        <v>30.934274999999996</v>
      </c>
      <c r="W75" s="192">
        <f t="shared" si="41"/>
        <v>0</v>
      </c>
      <c r="X75" s="192">
        <f t="shared" si="41"/>
        <v>1.6035000000000001</v>
      </c>
      <c r="Y75" s="192">
        <f t="shared" si="41"/>
        <v>4093.6357250000001</v>
      </c>
      <c r="Z75" s="192">
        <f t="shared" si="41"/>
        <v>0</v>
      </c>
      <c r="AA75" s="193">
        <f t="shared" si="41"/>
        <v>59.771844827586207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2</v>
      </c>
      <c r="O78" s="87" t="s">
        <v>112</v>
      </c>
      <c r="P78" s="137"/>
      <c r="Q78" s="137">
        <f>55.9+15.08</f>
        <v>70.98</v>
      </c>
      <c r="R78" s="82">
        <v>7.4999999999999997E-3</v>
      </c>
      <c r="S78" s="216">
        <f>+(P78+Q78)*R78</f>
        <v>0.53234999999999999</v>
      </c>
      <c r="T78" s="213">
        <f>+(P78+Q78)-S78</f>
        <v>70.44765000000001</v>
      </c>
      <c r="U78" s="211">
        <f>130.66+191.76</f>
        <v>322.41999999999996</v>
      </c>
      <c r="V78" s="112"/>
      <c r="W78" s="113">
        <v>1.4999999999999999E-2</v>
      </c>
      <c r="X78" s="217">
        <f>+(U78+V78)*W78</f>
        <v>4.8362999999999996</v>
      </c>
      <c r="Y78" s="246">
        <f>+(U78+V78)-X78</f>
        <v>317.58369999999996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3</v>
      </c>
      <c r="O79" s="87" t="s">
        <v>112</v>
      </c>
      <c r="P79" s="137"/>
      <c r="Q79" s="137">
        <f>234.53+43.14+62.1</f>
        <v>339.77000000000004</v>
      </c>
      <c r="R79" s="82">
        <v>7.4999999999999997E-3</v>
      </c>
      <c r="S79" s="216">
        <f t="shared" ref="S79:S97" si="43">+(P79+Q79)*R79</f>
        <v>2.5482750000000003</v>
      </c>
      <c r="T79" s="219">
        <f t="shared" ref="T79:T97" si="44">+(P79+Q79)-S79</f>
        <v>337.22172500000005</v>
      </c>
      <c r="U79" s="211">
        <f>291.1+136</f>
        <v>427.1</v>
      </c>
      <c r="V79" s="112"/>
      <c r="W79" s="113">
        <v>1.4999999999999999E-2</v>
      </c>
      <c r="X79" s="217">
        <f t="shared" ref="X79:X97" si="45">+(U79+V79)*W79</f>
        <v>6.4065000000000003</v>
      </c>
      <c r="Y79" s="246">
        <f t="shared" ref="Y79:Y97" si="46">+(U79+V79)-X79</f>
        <v>420.69350000000003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46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13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87"/>
      <c r="R81" s="82">
        <v>7.4999999999999997E-3</v>
      </c>
      <c r="S81" s="216">
        <f t="shared" si="43"/>
        <v>0</v>
      </c>
      <c r="T81" s="246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45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45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410.75000000000006</v>
      </c>
      <c r="R98" s="111"/>
      <c r="S98" s="195">
        <f>SUM(S78:S97)</f>
        <v>3.0806250000000004</v>
      </c>
      <c r="T98" s="195">
        <f>SUM(T78:T97)</f>
        <v>407.66937500000006</v>
      </c>
      <c r="U98" s="114">
        <f>SUM(U78:U97)</f>
        <v>749.52</v>
      </c>
      <c r="V98" s="114">
        <f>SUM(V78:V97)</f>
        <v>0</v>
      </c>
      <c r="W98" s="112"/>
      <c r="X98" s="197">
        <f>SUM(X78:X97)</f>
        <v>11.242799999999999</v>
      </c>
      <c r="Y98" s="197">
        <f>SUM(Y78:Y97)</f>
        <v>738.27719999999999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41">
        <f>P78+U78+Q78</f>
        <v>393.4</v>
      </c>
    </row>
    <row r="102" spans="14:30" x14ac:dyDescent="0.25">
      <c r="N102" s="85"/>
      <c r="P102" s="218">
        <f>P79+U79+Q79</f>
        <v>766.87000000000012</v>
      </c>
    </row>
    <row r="103" spans="14:30" x14ac:dyDescent="0.25">
      <c r="N103" s="85"/>
      <c r="P103" s="218">
        <f>P80+Q80+U80</f>
        <v>0</v>
      </c>
    </row>
    <row r="104" spans="14:30" x14ac:dyDescent="0.25">
      <c r="N104" s="85"/>
      <c r="P104" s="218">
        <f>P81+U81+Q81</f>
        <v>0</v>
      </c>
    </row>
    <row r="105" spans="14:30" x14ac:dyDescent="0.25">
      <c r="N105" s="85"/>
      <c r="P105" s="218">
        <f>P82+Q82+U82</f>
        <v>0</v>
      </c>
    </row>
    <row r="106" spans="14:30" x14ac:dyDescent="0.25">
      <c r="N106" s="85"/>
      <c r="P106" s="85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9" priority="1" operator="greaterThan">
      <formula>0</formula>
    </cfRule>
    <cfRule type="cellIs" dxfId="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9" zoomScale="90" zoomScaleNormal="90" workbookViewId="0">
      <selection activeCell="H52" sqref="H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169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170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44770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f>5.77</f>
        <v>5.77</v>
      </c>
      <c r="C8" s="85" t="s">
        <v>94</v>
      </c>
      <c r="D8" s="108"/>
    </row>
    <row r="9" spans="1:28" x14ac:dyDescent="0.25">
      <c r="A9" s="7" t="s">
        <v>78</v>
      </c>
      <c r="B9" s="108">
        <v>5.78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155+45.5+38.5+251.5+59.5</f>
        <v>550</v>
      </c>
      <c r="C12" s="15"/>
      <c r="D12" s="56"/>
      <c r="E12" s="16"/>
      <c r="F12" s="56"/>
      <c r="G12" s="56"/>
      <c r="H12" s="17"/>
      <c r="I12" s="83">
        <v>550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f>52+12+60+1</f>
        <v>125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125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721.25</v>
      </c>
      <c r="C14" s="15"/>
      <c r="D14" s="56"/>
      <c r="E14" s="16"/>
      <c r="F14" s="56"/>
      <c r="G14" s="56"/>
      <c r="H14" s="17"/>
      <c r="I14" s="83"/>
      <c r="J14" s="81">
        <f t="shared" si="0"/>
        <v>721.25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f>70+178</f>
        <v>248</v>
      </c>
      <c r="C15" s="15"/>
      <c r="D15" s="56"/>
      <c r="E15" s="16"/>
      <c r="F15" s="56"/>
      <c r="G15" s="56"/>
      <c r="H15" s="17"/>
      <c r="I15" s="83"/>
      <c r="J15" s="81">
        <f t="shared" si="0"/>
        <v>248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1433.44</v>
      </c>
      <c r="C16" s="15"/>
      <c r="D16" s="56"/>
      <c r="E16" s="16"/>
      <c r="F16" s="56"/>
      <c r="G16" s="56"/>
      <c r="H16" s="17"/>
      <c r="I16" s="83"/>
      <c r="J16" s="81">
        <f t="shared" si="0"/>
        <v>1433.44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373</v>
      </c>
      <c r="C19" s="95"/>
      <c r="D19" s="94"/>
      <c r="E19" s="96"/>
      <c r="F19" s="94"/>
      <c r="G19" s="94"/>
      <c r="H19" s="98"/>
      <c r="I19" s="99"/>
      <c r="J19" s="185">
        <f>B19-I19</f>
        <v>373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2154.69</v>
      </c>
      <c r="C20" s="95"/>
      <c r="D20" s="94"/>
      <c r="E20" s="96"/>
      <c r="F20" s="94"/>
      <c r="G20" s="94"/>
      <c r="H20" s="98"/>
      <c r="I20" s="99">
        <v>2155.94</v>
      </c>
      <c r="J20" s="185">
        <f t="shared" si="0"/>
        <v>-1.25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44771</v>
      </c>
      <c r="I46" s="174"/>
      <c r="J46" s="81">
        <f t="shared" si="0"/>
        <v>0</v>
      </c>
      <c r="K46" s="80"/>
      <c r="L46" s="186">
        <f t="shared" ref="L46:L64" si="17">+G46-K46</f>
        <v>0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44771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44771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215</v>
      </c>
      <c r="B49" s="117">
        <f>R75</f>
        <v>3921.8</v>
      </c>
      <c r="C49" s="116">
        <v>7.4999999999999997E-3</v>
      </c>
      <c r="D49" s="117">
        <f t="shared" si="18"/>
        <v>29.413499999999999</v>
      </c>
      <c r="E49" s="172">
        <v>0</v>
      </c>
      <c r="F49" s="117">
        <f t="shared" si="15"/>
        <v>0</v>
      </c>
      <c r="G49" s="117">
        <f t="shared" si="16"/>
        <v>3892.3865000000001</v>
      </c>
      <c r="H49" s="173">
        <f t="shared" si="19"/>
        <v>44771</v>
      </c>
      <c r="I49" s="176">
        <f>115.22+3806.58</f>
        <v>3921.7999999999997</v>
      </c>
      <c r="J49" s="81">
        <f t="shared" si="0"/>
        <v>0</v>
      </c>
      <c r="K49" s="80"/>
      <c r="L49" s="186">
        <f t="shared" si="17"/>
        <v>3892.3865000000001</v>
      </c>
      <c r="M49" s="107"/>
      <c r="N49" s="104">
        <v>7</v>
      </c>
      <c r="O49" s="167" t="s">
        <v>70</v>
      </c>
      <c r="P49" s="158"/>
      <c r="Q49" s="158"/>
      <c r="R49" s="160"/>
      <c r="S49" s="160"/>
      <c r="T49" s="160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422.77</v>
      </c>
      <c r="C50" s="116">
        <v>7.4999999999999997E-3</v>
      </c>
      <c r="D50" s="117">
        <f t="shared" si="18"/>
        <v>3.1707749999999999</v>
      </c>
      <c r="E50" s="172">
        <v>0</v>
      </c>
      <c r="F50" s="117">
        <f t="shared" si="15"/>
        <v>0</v>
      </c>
      <c r="G50" s="117">
        <f t="shared" si="16"/>
        <v>419.59922499999999</v>
      </c>
      <c r="H50" s="173">
        <f t="shared" si="19"/>
        <v>44771</v>
      </c>
      <c r="I50" s="175">
        <v>968.26</v>
      </c>
      <c r="J50" s="81">
        <f t="shared" si="0"/>
        <v>-545.49</v>
      </c>
      <c r="K50" s="80"/>
      <c r="L50" s="186">
        <f>K50-G50</f>
        <v>-419.59922499999999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545.49</v>
      </c>
      <c r="C51" s="116">
        <v>1.4999999999999999E-2</v>
      </c>
      <c r="D51" s="117">
        <f>+B51*C51</f>
        <v>8.1823499999999996</v>
      </c>
      <c r="E51" s="172">
        <v>0</v>
      </c>
      <c r="F51" s="117">
        <f>D51*E51</f>
        <v>0</v>
      </c>
      <c r="G51" s="117">
        <f t="shared" si="16"/>
        <v>537.30764999999997</v>
      </c>
      <c r="H51" s="173">
        <f t="shared" si="19"/>
        <v>44771</v>
      </c>
      <c r="I51" s="175"/>
      <c r="J51" s="81">
        <f t="shared" si="0"/>
        <v>545.49</v>
      </c>
      <c r="K51" s="80"/>
      <c r="L51" s="186">
        <f t="shared" si="17"/>
        <v>537.30764999999997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44771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44771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44771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44771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183</v>
      </c>
      <c r="B56" s="117">
        <f>T75</f>
        <v>106.54</v>
      </c>
      <c r="C56" s="116">
        <v>2.5000000000000001E-2</v>
      </c>
      <c r="D56" s="117">
        <f t="shared" si="20"/>
        <v>2.6635000000000004</v>
      </c>
      <c r="E56" s="172">
        <v>0.05</v>
      </c>
      <c r="F56" s="117">
        <f t="shared" si="21"/>
        <v>4.5922413793103454</v>
      </c>
      <c r="G56" s="117">
        <f t="shared" si="22"/>
        <v>99.284258620689656</v>
      </c>
      <c r="H56" s="173">
        <f t="shared" si="19"/>
        <v>44771</v>
      </c>
      <c r="I56" s="176">
        <v>106.54</v>
      </c>
      <c r="J56" s="81">
        <f t="shared" si="0"/>
        <v>0</v>
      </c>
      <c r="K56" s="80"/>
      <c r="L56" s="186">
        <f t="shared" si="17"/>
        <v>99.284258620689656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44773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44775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44800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43.430124999999997</v>
      </c>
      <c r="E61" s="177"/>
      <c r="F61" s="57">
        <f>SUM(F46:F58)</f>
        <v>4.5922413793103454</v>
      </c>
      <c r="G61" s="57">
        <f>SUM(G46:G58)</f>
        <v>4948.57763362069</v>
      </c>
      <c r="H61" s="173">
        <f t="shared" si="19"/>
        <v>44771</v>
      </c>
      <c r="I61" s="175"/>
      <c r="J61" s="81">
        <f t="shared" si="0"/>
        <v>0</v>
      </c>
      <c r="K61" s="80"/>
      <c r="L61" s="186">
        <f t="shared" si="17"/>
        <v>4948.57763362069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44771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9897.15526724138</v>
      </c>
      <c r="H64" s="184"/>
      <c r="I64" s="175"/>
      <c r="J64" s="81">
        <f t="shared" si="0"/>
        <v>0</v>
      </c>
      <c r="K64" s="80"/>
      <c r="L64" s="186">
        <f t="shared" si="17"/>
        <v>9897.15526724138</v>
      </c>
      <c r="M64" s="130"/>
      <c r="N64" s="87">
        <v>1</v>
      </c>
      <c r="O64" s="122" t="s">
        <v>181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7701.29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7695.65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7640.94</v>
      </c>
      <c r="C69" s="59"/>
      <c r="F69" s="87" t="s">
        <v>129</v>
      </c>
      <c r="G69" s="22">
        <f>+G46</f>
        <v>0</v>
      </c>
      <c r="H69" s="89">
        <f>+G52</f>
        <v>0</v>
      </c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54.710000000000036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/>
      <c r="Q70" s="261"/>
      <c r="R70" s="262">
        <f>84.81+30.41</f>
        <v>115.22</v>
      </c>
      <c r="S70" s="228"/>
      <c r="T70" s="228">
        <v>106.54</v>
      </c>
      <c r="U70" s="189"/>
      <c r="V70" s="189">
        <f t="shared" ref="V70:V74" si="34">R70*V$10</f>
        <v>0.86414999999999997</v>
      </c>
      <c r="W70" s="189">
        <f t="shared" ref="W70:W74" si="35">+S70*V$10</f>
        <v>0</v>
      </c>
      <c r="X70" s="189">
        <f t="shared" ref="X70:X74" si="36">+T70*X$10</f>
        <v>2.6635000000000004</v>
      </c>
      <c r="Y70" s="189">
        <f t="shared" ref="Y70:Z74" si="37">R70-V70</f>
        <v>114.35585</v>
      </c>
      <c r="Z70" s="189">
        <f t="shared" si="37"/>
        <v>0</v>
      </c>
      <c r="AA70" s="189">
        <f t="shared" ref="AA70:AA74" si="38">T70-U70-X70</f>
        <v>103.87650000000001</v>
      </c>
      <c r="AB70" s="87"/>
    </row>
    <row r="71" spans="1:30" ht="28.5" customHeight="1" thickBot="1" x14ac:dyDescent="0.3">
      <c r="A71" s="25" t="s">
        <v>57</v>
      </c>
      <c r="B71" s="70">
        <f>B65-B68</f>
        <v>5.6400000000003274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185</v>
      </c>
      <c r="P71" s="228"/>
      <c r="Q71" s="228">
        <v>743</v>
      </c>
      <c r="R71" s="238">
        <f>376.83+1313.84</f>
        <v>1690.6699999999998</v>
      </c>
      <c r="S71" s="228"/>
      <c r="T71" s="228"/>
      <c r="U71" s="189"/>
      <c r="V71" s="189">
        <f t="shared" si="34"/>
        <v>12.680024999999999</v>
      </c>
      <c r="W71" s="189">
        <f t="shared" si="35"/>
        <v>0</v>
      </c>
      <c r="X71" s="189">
        <f t="shared" si="36"/>
        <v>0</v>
      </c>
      <c r="Y71" s="189">
        <f t="shared" si="37"/>
        <v>1677.989975</v>
      </c>
      <c r="Z71" s="189">
        <f t="shared" si="37"/>
        <v>0</v>
      </c>
      <c r="AA71" s="189">
        <f t="shared" si="38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185</v>
      </c>
      <c r="P72" s="228"/>
      <c r="Q72" s="228">
        <v>752</v>
      </c>
      <c r="R72" s="255">
        <f>1052.58+316.38</f>
        <v>1368.96</v>
      </c>
      <c r="S72" s="228"/>
      <c r="T72" s="255"/>
      <c r="U72" s="189"/>
      <c r="V72" s="189">
        <f t="shared" si="34"/>
        <v>10.267200000000001</v>
      </c>
      <c r="W72" s="189">
        <f t="shared" si="35"/>
        <v>0</v>
      </c>
      <c r="X72" s="189">
        <f t="shared" si="36"/>
        <v>0</v>
      </c>
      <c r="Y72" s="189">
        <f t="shared" si="37"/>
        <v>1358.6928</v>
      </c>
      <c r="Z72" s="189">
        <f t="shared" si="37"/>
        <v>0</v>
      </c>
      <c r="AA72" s="189">
        <f t="shared" si="38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185</v>
      </c>
      <c r="P73" s="228"/>
      <c r="Q73" s="228">
        <v>751</v>
      </c>
      <c r="R73" s="255">
        <v>746.95</v>
      </c>
      <c r="S73" s="228"/>
      <c r="T73" s="222"/>
      <c r="U73" s="189"/>
      <c r="V73" s="189">
        <f t="shared" si="34"/>
        <v>5.602125</v>
      </c>
      <c r="W73" s="189">
        <f t="shared" si="35"/>
        <v>0</v>
      </c>
      <c r="X73" s="189">
        <f t="shared" si="36"/>
        <v>0</v>
      </c>
      <c r="Y73" s="189">
        <f t="shared" si="37"/>
        <v>741.34787500000004</v>
      </c>
      <c r="Z73" s="189">
        <f t="shared" si="37"/>
        <v>0</v>
      </c>
      <c r="AA73" s="189">
        <f t="shared" si="38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39">+H69+H70+H71+H72+H73</f>
        <v>0</v>
      </c>
      <c r="N74" s="87">
        <v>5</v>
      </c>
      <c r="O74" s="122" t="s">
        <v>185</v>
      </c>
      <c r="P74" s="228"/>
      <c r="Q74" s="228"/>
      <c r="R74" s="255"/>
      <c r="S74" s="228"/>
      <c r="T74" s="222"/>
      <c r="U74" s="189"/>
      <c r="V74" s="189">
        <f t="shared" si="34"/>
        <v>0</v>
      </c>
      <c r="W74" s="189">
        <f t="shared" si="35"/>
        <v>0</v>
      </c>
      <c r="X74" s="189">
        <f t="shared" si="36"/>
        <v>0</v>
      </c>
      <c r="Y74" s="189">
        <f t="shared" si="37"/>
        <v>0</v>
      </c>
      <c r="Z74" s="189">
        <f t="shared" si="37"/>
        <v>0</v>
      </c>
      <c r="AA74" s="189">
        <f t="shared" si="38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3921.8</v>
      </c>
      <c r="S75" s="192"/>
      <c r="T75" s="192">
        <f>SUM(T70:T74)</f>
        <v>106.54</v>
      </c>
      <c r="U75" s="192">
        <f>SUM(U70:U74)</f>
        <v>0</v>
      </c>
      <c r="V75" s="192">
        <f t="shared" ref="V75:AA75" si="40">SUM(V70:V74)</f>
        <v>29.413499999999999</v>
      </c>
      <c r="W75" s="192">
        <f t="shared" si="40"/>
        <v>0</v>
      </c>
      <c r="X75" s="192">
        <f t="shared" si="40"/>
        <v>2.6635000000000004</v>
      </c>
      <c r="Y75" s="192">
        <f t="shared" si="40"/>
        <v>3892.3865000000001</v>
      </c>
      <c r="Z75" s="192">
        <f t="shared" si="40"/>
        <v>0</v>
      </c>
      <c r="AA75" s="193">
        <f t="shared" si="40"/>
        <v>103.87650000000001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87">
        <f>132.54+35.72+71.07</f>
        <v>239.32999999999998</v>
      </c>
      <c r="R78" s="82">
        <v>7.4999999999999997E-3</v>
      </c>
      <c r="S78" s="194">
        <f>+(P78+Q78)*R78</f>
        <v>1.7949749999999998</v>
      </c>
      <c r="T78" s="246">
        <f>+(P78+Q78)-S78</f>
        <v>237.53502499999999</v>
      </c>
      <c r="U78" s="112">
        <f>62.04+418.46</f>
        <v>480.5</v>
      </c>
      <c r="V78" s="112"/>
      <c r="W78" s="113">
        <v>1.4999999999999999E-2</v>
      </c>
      <c r="X78" s="196">
        <f>+(U78+V78)*W78</f>
        <v>7.2074999999999996</v>
      </c>
      <c r="Y78" s="246">
        <f>+(U78+V78)-X78</f>
        <v>473.29250000000002</v>
      </c>
      <c r="Z78" s="87"/>
      <c r="AA78" s="189">
        <f t="shared" ref="AA78:AA97" si="41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>
        <f>3.12+64.87+115.45</f>
        <v>183.44</v>
      </c>
      <c r="R79" s="82">
        <v>7.4999999999999997E-3</v>
      </c>
      <c r="S79" s="194">
        <f t="shared" ref="S79:S97" si="42">+(P79+Q79)*R79</f>
        <v>1.3757999999999999</v>
      </c>
      <c r="T79" s="246">
        <f t="shared" ref="T79:T97" si="43">+(P79+Q79)-S79</f>
        <v>182.0642</v>
      </c>
      <c r="U79" s="211">
        <f>32.37+32.62</f>
        <v>64.989999999999995</v>
      </c>
      <c r="V79" s="112"/>
      <c r="W79" s="113">
        <v>1.4999999999999999E-2</v>
      </c>
      <c r="X79" s="196">
        <f t="shared" ref="X79:X97" si="44">+(U79+V79)*W79</f>
        <v>0.97484999999999988</v>
      </c>
      <c r="Y79" s="246">
        <f t="shared" ref="Y79:Y97" si="45">+(U79+V79)-X79</f>
        <v>64.015149999999991</v>
      </c>
      <c r="Z79" s="87"/>
      <c r="AA79" s="189">
        <f t="shared" si="41"/>
        <v>0</v>
      </c>
      <c r="AB79" s="189">
        <f t="shared" ref="AB79:AB97" si="46">+Z79*X$10</f>
        <v>0</v>
      </c>
      <c r="AC79" s="189">
        <f t="shared" ref="AC79:AC97" si="47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/>
      <c r="Q80" s="87"/>
      <c r="R80" s="82">
        <v>7.4999999999999997E-3</v>
      </c>
      <c r="S80" s="194">
        <f t="shared" si="42"/>
        <v>0</v>
      </c>
      <c r="T80" s="219">
        <f t="shared" si="43"/>
        <v>0</v>
      </c>
      <c r="U80" s="211"/>
      <c r="V80" s="112"/>
      <c r="W80" s="113">
        <v>1.4999999999999999E-2</v>
      </c>
      <c r="X80" s="196">
        <f t="shared" si="44"/>
        <v>0</v>
      </c>
      <c r="Y80" s="213">
        <f t="shared" si="45"/>
        <v>0</v>
      </c>
      <c r="Z80" s="87"/>
      <c r="AA80" s="189">
        <f t="shared" si="41"/>
        <v>0</v>
      </c>
      <c r="AB80" s="189">
        <f t="shared" si="46"/>
        <v>0</v>
      </c>
      <c r="AC80" s="189">
        <f t="shared" si="47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2"/>
        <v>0</v>
      </c>
      <c r="T81" s="219">
        <f t="shared" si="43"/>
        <v>0</v>
      </c>
      <c r="U81" s="211"/>
      <c r="V81" s="112"/>
      <c r="W81" s="113">
        <v>1.4999999999999999E-2</v>
      </c>
      <c r="X81" s="196">
        <f t="shared" si="44"/>
        <v>0</v>
      </c>
      <c r="Y81" s="213">
        <f t="shared" si="45"/>
        <v>0</v>
      </c>
      <c r="Z81" s="87"/>
      <c r="AA81" s="189">
        <f t="shared" si="41"/>
        <v>0</v>
      </c>
      <c r="AB81" s="189">
        <f t="shared" si="46"/>
        <v>0</v>
      </c>
      <c r="AC81" s="189">
        <f t="shared" si="47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2"/>
        <v>0</v>
      </c>
      <c r="T82" s="219">
        <f t="shared" si="43"/>
        <v>0</v>
      </c>
      <c r="U82" s="112"/>
      <c r="V82" s="112"/>
      <c r="W82" s="113">
        <v>1.4999999999999999E-2</v>
      </c>
      <c r="X82" s="196">
        <f t="shared" si="44"/>
        <v>0</v>
      </c>
      <c r="Y82" s="217">
        <f t="shared" si="45"/>
        <v>0</v>
      </c>
      <c r="Z82" s="87"/>
      <c r="AA82" s="189">
        <f t="shared" si="41"/>
        <v>0</v>
      </c>
      <c r="AB82" s="189">
        <f t="shared" si="46"/>
        <v>0</v>
      </c>
      <c r="AC82" s="189">
        <f t="shared" si="47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2"/>
        <v>0</v>
      </c>
      <c r="T83" s="219">
        <f t="shared" si="43"/>
        <v>0</v>
      </c>
      <c r="U83" s="112"/>
      <c r="V83" s="112"/>
      <c r="W83" s="113">
        <v>1.4999999999999999E-2</v>
      </c>
      <c r="X83" s="196">
        <f t="shared" si="44"/>
        <v>0</v>
      </c>
      <c r="Y83" s="217">
        <f t="shared" si="45"/>
        <v>0</v>
      </c>
      <c r="Z83" s="87"/>
      <c r="AA83" s="189">
        <f t="shared" si="41"/>
        <v>0</v>
      </c>
      <c r="AB83" s="189">
        <f t="shared" si="46"/>
        <v>0</v>
      </c>
      <c r="AC83" s="189">
        <f t="shared" si="47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2"/>
        <v>0</v>
      </c>
      <c r="T84" s="220">
        <f t="shared" si="43"/>
        <v>0</v>
      </c>
      <c r="U84" s="112"/>
      <c r="V84" s="112"/>
      <c r="W84" s="113">
        <v>1.4999999999999999E-2</v>
      </c>
      <c r="X84" s="196">
        <f t="shared" si="44"/>
        <v>0</v>
      </c>
      <c r="Y84" s="196">
        <f t="shared" si="45"/>
        <v>0</v>
      </c>
      <c r="Z84" s="87"/>
      <c r="AA84" s="189">
        <f t="shared" si="41"/>
        <v>0</v>
      </c>
      <c r="AB84" s="189">
        <f t="shared" si="46"/>
        <v>0</v>
      </c>
      <c r="AC84" s="189">
        <f t="shared" si="47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2"/>
        <v>0</v>
      </c>
      <c r="T85" s="220">
        <f t="shared" si="43"/>
        <v>0</v>
      </c>
      <c r="U85" s="112"/>
      <c r="V85" s="112"/>
      <c r="W85" s="113">
        <v>1.4999999999999999E-2</v>
      </c>
      <c r="X85" s="196">
        <f t="shared" si="44"/>
        <v>0</v>
      </c>
      <c r="Y85" s="196">
        <f t="shared" si="45"/>
        <v>0</v>
      </c>
      <c r="Z85" s="87"/>
      <c r="AA85" s="189">
        <f t="shared" si="41"/>
        <v>0</v>
      </c>
      <c r="AB85" s="189">
        <f t="shared" si="46"/>
        <v>0</v>
      </c>
      <c r="AC85" s="189">
        <f t="shared" si="47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2"/>
        <v>0</v>
      </c>
      <c r="T86" s="194">
        <f t="shared" si="43"/>
        <v>0</v>
      </c>
      <c r="U86" s="112"/>
      <c r="V86" s="112"/>
      <c r="W86" s="113">
        <v>1.4999999999999999E-2</v>
      </c>
      <c r="X86" s="196">
        <f t="shared" si="44"/>
        <v>0</v>
      </c>
      <c r="Y86" s="196">
        <f t="shared" si="45"/>
        <v>0</v>
      </c>
      <c r="Z86" s="87"/>
      <c r="AA86" s="189">
        <f t="shared" si="41"/>
        <v>0</v>
      </c>
      <c r="AB86" s="189">
        <f t="shared" si="46"/>
        <v>0</v>
      </c>
      <c r="AC86" s="189">
        <f t="shared" si="47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2"/>
        <v>0</v>
      </c>
      <c r="T87" s="194">
        <f t="shared" si="43"/>
        <v>0</v>
      </c>
      <c r="U87" s="112"/>
      <c r="V87" s="112"/>
      <c r="W87" s="113">
        <v>1.4999999999999999E-2</v>
      </c>
      <c r="X87" s="196">
        <f t="shared" si="44"/>
        <v>0</v>
      </c>
      <c r="Y87" s="196">
        <f t="shared" si="45"/>
        <v>0</v>
      </c>
      <c r="Z87" s="87"/>
      <c r="AA87" s="189">
        <f t="shared" si="41"/>
        <v>0</v>
      </c>
      <c r="AB87" s="189">
        <f t="shared" si="46"/>
        <v>0</v>
      </c>
      <c r="AC87" s="189">
        <f t="shared" si="47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2"/>
        <v>0</v>
      </c>
      <c r="T88" s="194">
        <f t="shared" si="43"/>
        <v>0</v>
      </c>
      <c r="U88" s="112"/>
      <c r="V88" s="112"/>
      <c r="W88" s="113">
        <v>1.4999999999999999E-2</v>
      </c>
      <c r="X88" s="196">
        <f t="shared" si="44"/>
        <v>0</v>
      </c>
      <c r="Y88" s="196">
        <f t="shared" si="45"/>
        <v>0</v>
      </c>
      <c r="Z88" s="87"/>
      <c r="AA88" s="189">
        <f t="shared" si="41"/>
        <v>0</v>
      </c>
      <c r="AB88" s="189">
        <f t="shared" si="46"/>
        <v>0</v>
      </c>
      <c r="AC88" s="189">
        <f t="shared" si="47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2"/>
        <v>0</v>
      </c>
      <c r="T89" s="194">
        <f t="shared" si="43"/>
        <v>0</v>
      </c>
      <c r="U89" s="112"/>
      <c r="V89" s="112"/>
      <c r="W89" s="113">
        <v>1.4999999999999999E-2</v>
      </c>
      <c r="X89" s="196">
        <f t="shared" si="44"/>
        <v>0</v>
      </c>
      <c r="Y89" s="196">
        <f t="shared" si="45"/>
        <v>0</v>
      </c>
      <c r="Z89" s="87"/>
      <c r="AA89" s="189">
        <f t="shared" si="41"/>
        <v>0</v>
      </c>
      <c r="AB89" s="189">
        <f t="shared" si="46"/>
        <v>0</v>
      </c>
      <c r="AC89" s="189">
        <f t="shared" si="47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2"/>
        <v>0</v>
      </c>
      <c r="T90" s="194">
        <f t="shared" si="43"/>
        <v>0</v>
      </c>
      <c r="U90" s="112"/>
      <c r="V90" s="112"/>
      <c r="W90" s="113">
        <v>1.4999999999999999E-2</v>
      </c>
      <c r="X90" s="196">
        <f t="shared" si="44"/>
        <v>0</v>
      </c>
      <c r="Y90" s="196">
        <f t="shared" si="45"/>
        <v>0</v>
      </c>
      <c r="Z90" s="87"/>
      <c r="AA90" s="189">
        <f t="shared" si="41"/>
        <v>0</v>
      </c>
      <c r="AB90" s="189">
        <f t="shared" si="46"/>
        <v>0</v>
      </c>
      <c r="AC90" s="189">
        <f t="shared" si="47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2"/>
        <v>0</v>
      </c>
      <c r="T91" s="194">
        <f t="shared" si="43"/>
        <v>0</v>
      </c>
      <c r="U91" s="112"/>
      <c r="V91" s="112"/>
      <c r="W91" s="113">
        <v>1.4999999999999999E-2</v>
      </c>
      <c r="X91" s="196">
        <f t="shared" si="44"/>
        <v>0</v>
      </c>
      <c r="Y91" s="196">
        <f t="shared" si="45"/>
        <v>0</v>
      </c>
      <c r="Z91" s="87"/>
      <c r="AA91" s="189">
        <f t="shared" si="41"/>
        <v>0</v>
      </c>
      <c r="AB91" s="189">
        <f t="shared" si="46"/>
        <v>0</v>
      </c>
      <c r="AC91" s="189">
        <f t="shared" si="47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2"/>
        <v>0</v>
      </c>
      <c r="T92" s="194">
        <f t="shared" si="43"/>
        <v>0</v>
      </c>
      <c r="U92" s="112"/>
      <c r="V92" s="112"/>
      <c r="W92" s="113">
        <v>1.4999999999999999E-2</v>
      </c>
      <c r="X92" s="196">
        <f t="shared" si="44"/>
        <v>0</v>
      </c>
      <c r="Y92" s="196">
        <f t="shared" si="45"/>
        <v>0</v>
      </c>
      <c r="Z92" s="87"/>
      <c r="AA92" s="189">
        <f t="shared" si="41"/>
        <v>0</v>
      </c>
      <c r="AB92" s="189">
        <f t="shared" si="46"/>
        <v>0</v>
      </c>
      <c r="AC92" s="189">
        <f t="shared" si="47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2"/>
        <v>0</v>
      </c>
      <c r="T93" s="194">
        <f t="shared" si="43"/>
        <v>0</v>
      </c>
      <c r="U93" s="112"/>
      <c r="V93" s="112"/>
      <c r="W93" s="113">
        <v>1.4999999999999999E-2</v>
      </c>
      <c r="X93" s="196">
        <f t="shared" si="44"/>
        <v>0</v>
      </c>
      <c r="Y93" s="196">
        <f t="shared" si="45"/>
        <v>0</v>
      </c>
      <c r="Z93" s="87"/>
      <c r="AA93" s="189">
        <f t="shared" si="41"/>
        <v>0</v>
      </c>
      <c r="AB93" s="189">
        <f t="shared" si="46"/>
        <v>0</v>
      </c>
      <c r="AC93" s="189">
        <f t="shared" si="47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2"/>
        <v>0</v>
      </c>
      <c r="T94" s="194">
        <f t="shared" si="43"/>
        <v>0</v>
      </c>
      <c r="U94" s="112"/>
      <c r="V94" s="112"/>
      <c r="W94" s="113">
        <v>1.4999999999999999E-2</v>
      </c>
      <c r="X94" s="196">
        <f t="shared" si="44"/>
        <v>0</v>
      </c>
      <c r="Y94" s="196">
        <f t="shared" si="45"/>
        <v>0</v>
      </c>
      <c r="Z94" s="87"/>
      <c r="AA94" s="189">
        <f t="shared" si="41"/>
        <v>0</v>
      </c>
      <c r="AB94" s="189">
        <f t="shared" si="46"/>
        <v>0</v>
      </c>
      <c r="AC94" s="189">
        <f t="shared" si="47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2"/>
        <v>0</v>
      </c>
      <c r="T95" s="194">
        <f t="shared" si="43"/>
        <v>0</v>
      </c>
      <c r="U95" s="112"/>
      <c r="V95" s="112"/>
      <c r="W95" s="113">
        <v>1.4999999999999999E-2</v>
      </c>
      <c r="X95" s="196">
        <f t="shared" si="44"/>
        <v>0</v>
      </c>
      <c r="Y95" s="196">
        <f t="shared" si="45"/>
        <v>0</v>
      </c>
      <c r="Z95" s="87"/>
      <c r="AA95" s="189">
        <f t="shared" si="41"/>
        <v>0</v>
      </c>
      <c r="AB95" s="189">
        <f t="shared" si="46"/>
        <v>0</v>
      </c>
      <c r="AC95" s="189">
        <f t="shared" si="47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2"/>
        <v>0</v>
      </c>
      <c r="T96" s="194">
        <f t="shared" si="43"/>
        <v>0</v>
      </c>
      <c r="U96" s="112"/>
      <c r="V96" s="112"/>
      <c r="W96" s="113">
        <v>1.4999999999999999E-2</v>
      </c>
      <c r="X96" s="196">
        <f t="shared" si="44"/>
        <v>0</v>
      </c>
      <c r="Y96" s="196">
        <f t="shared" si="45"/>
        <v>0</v>
      </c>
      <c r="Z96" s="87"/>
      <c r="AA96" s="189">
        <f t="shared" si="41"/>
        <v>0</v>
      </c>
      <c r="AB96" s="189">
        <f t="shared" si="46"/>
        <v>0</v>
      </c>
      <c r="AC96" s="189">
        <f t="shared" si="47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2"/>
        <v>0</v>
      </c>
      <c r="T97" s="194">
        <f t="shared" si="43"/>
        <v>0</v>
      </c>
      <c r="U97" s="112"/>
      <c r="V97" s="112"/>
      <c r="W97" s="113">
        <v>1.4999999999999999E-2</v>
      </c>
      <c r="X97" s="196">
        <f t="shared" si="44"/>
        <v>0</v>
      </c>
      <c r="Y97" s="196">
        <f t="shared" si="45"/>
        <v>0</v>
      </c>
      <c r="Z97" s="87"/>
      <c r="AA97" s="189">
        <f t="shared" si="41"/>
        <v>0</v>
      </c>
      <c r="AB97" s="189">
        <f t="shared" si="46"/>
        <v>0</v>
      </c>
      <c r="AC97" s="189">
        <f t="shared" si="47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422.77</v>
      </c>
      <c r="R98" s="111"/>
      <c r="S98" s="195">
        <f>SUM(S78:S97)</f>
        <v>3.1707749999999999</v>
      </c>
      <c r="T98" s="195">
        <f>SUM(T78:T97)</f>
        <v>419.59922499999999</v>
      </c>
      <c r="U98" s="114">
        <f>SUM(U78:U97)</f>
        <v>545.49</v>
      </c>
      <c r="V98" s="114">
        <f>SUM(V78:V97)</f>
        <v>0</v>
      </c>
      <c r="W98" s="112"/>
      <c r="X98" s="197">
        <f>SUM(X78:X97)</f>
        <v>8.1823499999999996</v>
      </c>
      <c r="Y98" s="197">
        <f>SUM(Y78:Y97)</f>
        <v>537.30764999999997</v>
      </c>
      <c r="Z98" s="63">
        <f>SUM(Z78:Z97)</f>
        <v>0</v>
      </c>
      <c r="AA98" s="198">
        <f t="shared" ref="AA98:AB98" si="48">SUM(AA78:AA97)</f>
        <v>0</v>
      </c>
      <c r="AB98" s="198">
        <f t="shared" si="48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719.82999999999993</v>
      </c>
    </row>
    <row r="102" spans="14:30" x14ac:dyDescent="0.25">
      <c r="N102" s="85"/>
      <c r="P102" s="215">
        <f>P79+Q79+U79</f>
        <v>248.43</v>
      </c>
    </row>
    <row r="103" spans="14:30" x14ac:dyDescent="0.25">
      <c r="N103" s="85"/>
      <c r="P103" s="215">
        <f>P80+Q80+U80</f>
        <v>0</v>
      </c>
    </row>
    <row r="104" spans="14:30" x14ac:dyDescent="0.25">
      <c r="N104" s="85"/>
      <c r="P104" s="215">
        <f>P81+Q81+U81</f>
        <v>0</v>
      </c>
    </row>
    <row r="105" spans="14:30" x14ac:dyDescent="0.25">
      <c r="N105" s="85"/>
      <c r="P105" s="84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7" priority="1" operator="greaterThan">
      <formula>0</formula>
    </cfRule>
    <cfRule type="cellIs" dxfId="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B38" zoomScale="90" zoomScaleNormal="90" workbookViewId="0">
      <selection activeCell="H52" sqref="H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24.28515625" style="85" customWidth="1"/>
    <col min="13" max="13" width="17.42578125" style="76" customWidth="1"/>
    <col min="14" max="14" width="5.140625" style="71" customWidth="1"/>
    <col min="15" max="15" width="23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169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170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44771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5.79</v>
      </c>
      <c r="C8" s="85" t="s">
        <v>94</v>
      </c>
      <c r="D8" s="108"/>
    </row>
    <row r="9" spans="1:28" x14ac:dyDescent="0.25">
      <c r="A9" s="7" t="s">
        <v>78</v>
      </c>
      <c r="B9" s="108">
        <v>5.78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906</v>
      </c>
      <c r="C12" s="15"/>
      <c r="D12" s="56"/>
      <c r="E12" s="16"/>
      <c r="F12" s="56"/>
      <c r="G12" s="56"/>
      <c r="H12" s="17"/>
      <c r="I12" s="83">
        <v>906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3">
        <v>99</v>
      </c>
      <c r="Q12" s="153"/>
      <c r="R12" s="154">
        <v>1419.61</v>
      </c>
      <c r="S12" s="155"/>
      <c r="T12" s="155">
        <v>305.95</v>
      </c>
      <c r="U12" s="189">
        <f>((T12/U$10)*U$9)</f>
        <v>13.1875</v>
      </c>
      <c r="V12" s="189">
        <f>R12*V$10</f>
        <v>10.647074999999999</v>
      </c>
      <c r="W12" s="189">
        <f>+S12*V$10</f>
        <v>0</v>
      </c>
      <c r="X12" s="189">
        <f>+T12*X$10</f>
        <v>7.6487499999999997</v>
      </c>
      <c r="Y12" s="189">
        <f>R12-V12</f>
        <v>1408.9629249999998</v>
      </c>
      <c r="Z12" s="189">
        <f>S12-W12</f>
        <v>0</v>
      </c>
      <c r="AA12" s="189">
        <f>T12-U12-X12</f>
        <v>285.11374999999998</v>
      </c>
      <c r="AB12" s="156"/>
    </row>
    <row r="13" spans="1:28" ht="15.75" x14ac:dyDescent="0.25">
      <c r="A13" s="86" t="s">
        <v>76</v>
      </c>
      <c r="B13" s="89">
        <f>107+10+42</f>
        <v>159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159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3"/>
      <c r="Q13" s="153"/>
      <c r="R13" s="154">
        <v>17.34</v>
      </c>
      <c r="S13" s="155"/>
      <c r="T13" s="157">
        <v>24.39</v>
      </c>
      <c r="U13" s="189">
        <f t="shared" ref="U13:U41" si="2">((T13/U$10)*U$9)</f>
        <v>1.051293103448276</v>
      </c>
      <c r="V13" s="189">
        <f t="shared" ref="V13:V41" si="3">R13*V$10</f>
        <v>0.13005</v>
      </c>
      <c r="W13" s="189">
        <f t="shared" ref="W13:W41" si="4">+S13*V$10</f>
        <v>0</v>
      </c>
      <c r="X13" s="189">
        <f t="shared" ref="X13:X41" si="5">+T13*X$10</f>
        <v>0.60975000000000001</v>
      </c>
      <c r="Y13" s="189">
        <f t="shared" ref="Y13:Z41" si="6">R13-V13</f>
        <v>17.209949999999999</v>
      </c>
      <c r="Z13" s="189">
        <f t="shared" si="6"/>
        <v>0</v>
      </c>
      <c r="AA13" s="189">
        <f t="shared" ref="AA13:AA41" si="7">T13-U13-X13</f>
        <v>22.728956896551722</v>
      </c>
      <c r="AB13" s="156"/>
    </row>
    <row r="14" spans="1:28" ht="15.75" x14ac:dyDescent="0.25">
      <c r="A14" s="86" t="s">
        <v>83</v>
      </c>
      <c r="B14" s="57">
        <f>B13*B8</f>
        <v>920.61</v>
      </c>
      <c r="C14" s="15"/>
      <c r="D14" s="56"/>
      <c r="E14" s="16"/>
      <c r="F14" s="56"/>
      <c r="G14" s="56"/>
      <c r="H14" s="17"/>
      <c r="I14" s="83"/>
      <c r="J14" s="81">
        <f t="shared" si="0"/>
        <v>920.61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3"/>
      <c r="Q14" s="153"/>
      <c r="R14" s="154"/>
      <c r="S14" s="155"/>
      <c r="T14" s="157">
        <v>120.2</v>
      </c>
      <c r="U14" s="189">
        <f t="shared" si="2"/>
        <v>5.1810344827586219</v>
      </c>
      <c r="V14" s="189">
        <f t="shared" si="3"/>
        <v>0</v>
      </c>
      <c r="W14" s="189">
        <f t="shared" si="4"/>
        <v>0</v>
      </c>
      <c r="X14" s="189">
        <f t="shared" si="5"/>
        <v>3.0050000000000003</v>
      </c>
      <c r="Y14" s="189">
        <f t="shared" si="6"/>
        <v>0</v>
      </c>
      <c r="Z14" s="189">
        <f t="shared" si="6"/>
        <v>0</v>
      </c>
      <c r="AA14" s="189">
        <f t="shared" si="7"/>
        <v>112.01396551724139</v>
      </c>
      <c r="AB14" s="156"/>
    </row>
    <row r="15" spans="1:28" ht="15.75" x14ac:dyDescent="0.25">
      <c r="A15" s="86" t="s">
        <v>79</v>
      </c>
      <c r="B15" s="56">
        <f>15+40+36+46+20</f>
        <v>157</v>
      </c>
      <c r="C15" s="15"/>
      <c r="D15" s="56"/>
      <c r="E15" s="16"/>
      <c r="F15" s="56"/>
      <c r="G15" s="56"/>
      <c r="H15" s="17"/>
      <c r="I15" s="83"/>
      <c r="J15" s="81">
        <f t="shared" si="0"/>
        <v>157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907.46</v>
      </c>
      <c r="C16" s="15"/>
      <c r="D16" s="56"/>
      <c r="E16" s="16"/>
      <c r="F16" s="56"/>
      <c r="G16" s="56"/>
      <c r="H16" s="17"/>
      <c r="I16" s="83"/>
      <c r="J16" s="81">
        <f t="shared" si="0"/>
        <v>907.46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316</v>
      </c>
      <c r="C19" s="95"/>
      <c r="D19" s="94"/>
      <c r="E19" s="96"/>
      <c r="F19" s="94"/>
      <c r="G19" s="94"/>
      <c r="H19" s="98"/>
      <c r="I19" s="99"/>
      <c r="J19" s="185">
        <f>B19-I19</f>
        <v>316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1828.0700000000002</v>
      </c>
      <c r="C20" s="95"/>
      <c r="D20" s="94"/>
      <c r="E20" s="96"/>
      <c r="F20" s="94"/>
      <c r="G20" s="94"/>
      <c r="H20" s="98"/>
      <c r="I20" s="99">
        <v>1829.64</v>
      </c>
      <c r="J20" s="185">
        <f t="shared" si="0"/>
        <v>-1.5699999999999363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>
        <v>20</v>
      </c>
      <c r="C31" s="100"/>
      <c r="D31" s="66"/>
      <c r="E31" s="67"/>
      <c r="F31" s="66"/>
      <c r="G31" s="66"/>
      <c r="H31" s="102"/>
      <c r="I31" s="79"/>
      <c r="J31" s="81">
        <f t="shared" si="0"/>
        <v>20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115.60000000000001</v>
      </c>
      <c r="C32" s="100"/>
      <c r="D32" s="66"/>
      <c r="E32" s="67"/>
      <c r="F32" s="66"/>
      <c r="G32" s="66"/>
      <c r="H32" s="102"/>
      <c r="I32" s="79"/>
      <c r="J32" s="81">
        <f t="shared" si="0"/>
        <v>115.60000000000001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20</v>
      </c>
      <c r="C35" s="95"/>
      <c r="D35" s="94"/>
      <c r="E35" s="96"/>
      <c r="F35" s="94"/>
      <c r="G35" s="94"/>
      <c r="H35" s="98"/>
      <c r="I35" s="99">
        <v>20</v>
      </c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115.60000000000001</v>
      </c>
      <c r="C36" s="95"/>
      <c r="D36" s="94"/>
      <c r="E36" s="96"/>
      <c r="F36" s="94"/>
      <c r="G36" s="94"/>
      <c r="H36" s="98"/>
      <c r="I36" s="99"/>
      <c r="J36" s="185">
        <f t="shared" si="0"/>
        <v>115.60000000000001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1436.9499999999998</v>
      </c>
      <c r="S42" s="190">
        <f t="shared" si="8"/>
        <v>0</v>
      </c>
      <c r="T42" s="190">
        <f t="shared" si="8"/>
        <v>450.53999999999996</v>
      </c>
      <c r="U42" s="190">
        <f t="shared" si="8"/>
        <v>19.4198275862069</v>
      </c>
      <c r="V42" s="190">
        <f t="shared" si="8"/>
        <v>10.777125</v>
      </c>
      <c r="W42" s="190">
        <f t="shared" si="8"/>
        <v>0</v>
      </c>
      <c r="X42" s="190">
        <f t="shared" si="8"/>
        <v>11.263500000000001</v>
      </c>
      <c r="Y42" s="190">
        <f t="shared" si="8"/>
        <v>1426.1728749999997</v>
      </c>
      <c r="Z42" s="190">
        <f t="shared" si="8"/>
        <v>0</v>
      </c>
      <c r="AA42" s="190">
        <f t="shared" si="8"/>
        <v>419.85667241379309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1436.9499999999998</v>
      </c>
      <c r="C46" s="116">
        <v>7.4999999999999997E-3</v>
      </c>
      <c r="D46" s="117">
        <f>B46*C46</f>
        <v>10.777124999999998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1426.1728749999997</v>
      </c>
      <c r="H46" s="173">
        <f>B$6+1</f>
        <v>44772</v>
      </c>
      <c r="I46" s="174">
        <v>1436.95</v>
      </c>
      <c r="J46" s="81">
        <f t="shared" si="0"/>
        <v>0</v>
      </c>
      <c r="K46" s="80"/>
      <c r="L46" s="186">
        <f t="shared" ref="L46:L64" si="17">+G46-K46</f>
        <v>1426.1728749999997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44772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44772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218</v>
      </c>
      <c r="B49" s="117">
        <f>R75</f>
        <v>5412.12</v>
      </c>
      <c r="C49" s="116">
        <v>7.4999999999999997E-3</v>
      </c>
      <c r="D49" s="117">
        <f t="shared" si="18"/>
        <v>40.590899999999998</v>
      </c>
      <c r="E49" s="172">
        <v>0</v>
      </c>
      <c r="F49" s="117">
        <f t="shared" si="15"/>
        <v>0</v>
      </c>
      <c r="G49" s="117">
        <f t="shared" si="16"/>
        <v>5371.5290999999997</v>
      </c>
      <c r="H49" s="173">
        <f t="shared" si="19"/>
        <v>44772</v>
      </c>
      <c r="I49" s="176">
        <v>5412.12</v>
      </c>
      <c r="J49" s="81">
        <f t="shared" si="0"/>
        <v>0</v>
      </c>
      <c r="K49" s="80"/>
      <c r="L49" s="186">
        <f t="shared" si="17"/>
        <v>5371.5290999999997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680.7</v>
      </c>
      <c r="C50" s="116">
        <v>7.4999999999999997E-3</v>
      </c>
      <c r="D50" s="117">
        <f t="shared" si="18"/>
        <v>5.1052499999999998</v>
      </c>
      <c r="E50" s="172">
        <v>0</v>
      </c>
      <c r="F50" s="117">
        <f t="shared" si="15"/>
        <v>0</v>
      </c>
      <c r="G50" s="117">
        <f t="shared" si="16"/>
        <v>675.59475000000009</v>
      </c>
      <c r="H50" s="173">
        <f t="shared" si="19"/>
        <v>44772</v>
      </c>
      <c r="I50" s="175">
        <v>871.01</v>
      </c>
      <c r="J50" s="81">
        <f t="shared" si="0"/>
        <v>-190.30999999999995</v>
      </c>
      <c r="K50" s="80"/>
      <c r="L50" s="186">
        <f t="shared" si="17"/>
        <v>675.59475000000009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190.31</v>
      </c>
      <c r="C51" s="116">
        <v>1.4999999999999999E-2</v>
      </c>
      <c r="D51" s="117">
        <f>+B51*C51</f>
        <v>2.8546499999999999</v>
      </c>
      <c r="E51" s="172">
        <v>0</v>
      </c>
      <c r="F51" s="117">
        <f>D51*E51</f>
        <v>0</v>
      </c>
      <c r="G51" s="117">
        <f t="shared" si="16"/>
        <v>187.45535000000001</v>
      </c>
      <c r="H51" s="173">
        <f t="shared" si="19"/>
        <v>44772</v>
      </c>
      <c r="I51" s="175"/>
      <c r="J51" s="81">
        <f t="shared" si="0"/>
        <v>190.31</v>
      </c>
      <c r="K51" s="80"/>
      <c r="L51" s="186">
        <f t="shared" si="17"/>
        <v>187.45535000000001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450.53999999999996</v>
      </c>
      <c r="C52" s="116">
        <v>2.5000000000000001E-2</v>
      </c>
      <c r="D52" s="117">
        <f>B52*C52</f>
        <v>11.263500000000001</v>
      </c>
      <c r="E52" s="172">
        <v>0.05</v>
      </c>
      <c r="F52" s="117">
        <f>(B52/E$10)*E52</f>
        <v>19.419827586206896</v>
      </c>
      <c r="G52" s="117">
        <f>B52-D52-F52</f>
        <v>419.85667241379304</v>
      </c>
      <c r="H52" s="188">
        <f t="shared" si="19"/>
        <v>44772</v>
      </c>
      <c r="I52" s="176">
        <v>450.54</v>
      </c>
      <c r="J52" s="81">
        <f t="shared" si="0"/>
        <v>0</v>
      </c>
      <c r="K52" s="80"/>
      <c r="L52" s="186">
        <f t="shared" si="17"/>
        <v>419.85667241379304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44772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44772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44772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187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44772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44774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44776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44801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70.591424999999987</v>
      </c>
      <c r="E61" s="177"/>
      <c r="F61" s="57">
        <f>SUM(F46:F58)</f>
        <v>19.419827586206896</v>
      </c>
      <c r="G61" s="57">
        <f>SUM(G46:G58)</f>
        <v>8080.608747413793</v>
      </c>
      <c r="H61" s="173">
        <f t="shared" si="19"/>
        <v>44772</v>
      </c>
      <c r="I61" s="175"/>
      <c r="J61" s="81">
        <f t="shared" si="0"/>
        <v>0</v>
      </c>
      <c r="K61" s="80"/>
      <c r="L61" s="186">
        <f t="shared" si="17"/>
        <v>8080.608747413793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44772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16161.217494827586</v>
      </c>
      <c r="H64" s="184"/>
      <c r="I64" s="175"/>
      <c r="J64" s="81">
        <f t="shared" si="0"/>
        <v>0</v>
      </c>
      <c r="K64" s="80"/>
      <c r="L64" s="186">
        <f t="shared" si="17"/>
        <v>16161.217494827586</v>
      </c>
      <c r="M64" s="130"/>
      <c r="N64" s="87">
        <v>1</v>
      </c>
      <c r="O64" s="122" t="s">
        <v>217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11020.29</v>
      </c>
      <c r="G65" s="22"/>
      <c r="L65" s="132"/>
      <c r="M65" s="131"/>
      <c r="N65" s="87">
        <v>2</v>
      </c>
      <c r="O65" s="122" t="s">
        <v>175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175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175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11010.42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175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10959.44</v>
      </c>
      <c r="C69" s="59"/>
      <c r="F69" s="87" t="s">
        <v>129</v>
      </c>
      <c r="G69" s="22">
        <f>+G46</f>
        <v>1426.1728749999997</v>
      </c>
      <c r="H69" s="89">
        <f>+G52</f>
        <v>419.85667241379304</v>
      </c>
      <c r="I69" s="136"/>
      <c r="J69" s="136">
        <f>K52</f>
        <v>0</v>
      </c>
      <c r="N69" s="313" t="s">
        <v>178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50.979999999999563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176</v>
      </c>
      <c r="P70" s="228"/>
      <c r="Q70" s="228">
        <v>58</v>
      </c>
      <c r="R70" s="222">
        <v>387.79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2.9084250000000003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384.881575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9.8700000000008004</v>
      </c>
      <c r="C71" s="64"/>
      <c r="F71" s="87" t="s">
        <v>131</v>
      </c>
      <c r="G71" s="137"/>
      <c r="H71" s="87"/>
      <c r="I71" s="81">
        <f>+I69-G69-G70-G71-G72-G73</f>
        <v>-1426.1728749999997</v>
      </c>
      <c r="J71" s="81">
        <f>+J69-H69-H70-H71-H72-H73</f>
        <v>-419.85667241379304</v>
      </c>
      <c r="N71" s="87">
        <v>2</v>
      </c>
      <c r="O71" s="122" t="s">
        <v>176</v>
      </c>
      <c r="P71" s="228"/>
      <c r="Q71" s="228">
        <v>745</v>
      </c>
      <c r="R71" s="222">
        <v>862.53</v>
      </c>
      <c r="S71" s="228"/>
      <c r="T71" s="228"/>
      <c r="U71" s="189">
        <f t="shared" si="34"/>
        <v>0</v>
      </c>
      <c r="V71" s="189">
        <f t="shared" si="35"/>
        <v>6.4689749999999995</v>
      </c>
      <c r="W71" s="189">
        <f t="shared" si="36"/>
        <v>0</v>
      </c>
      <c r="X71" s="189">
        <f t="shared" si="37"/>
        <v>0</v>
      </c>
      <c r="Y71" s="189">
        <f t="shared" si="38"/>
        <v>856.06102499999997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176</v>
      </c>
      <c r="P72" s="228"/>
      <c r="Q72" s="228">
        <v>746</v>
      </c>
      <c r="R72" s="222">
        <v>1093.72</v>
      </c>
      <c r="S72" s="228"/>
      <c r="T72" s="228"/>
      <c r="U72" s="189">
        <f t="shared" si="34"/>
        <v>0</v>
      </c>
      <c r="V72" s="189">
        <f t="shared" si="35"/>
        <v>8.2028999999999996</v>
      </c>
      <c r="W72" s="189">
        <f t="shared" si="36"/>
        <v>0</v>
      </c>
      <c r="X72" s="189">
        <f t="shared" si="37"/>
        <v>0</v>
      </c>
      <c r="Y72" s="189">
        <f t="shared" si="38"/>
        <v>1085.5171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176</v>
      </c>
      <c r="P73" s="228"/>
      <c r="Q73" s="228">
        <v>753</v>
      </c>
      <c r="R73" s="222">
        <v>873.58</v>
      </c>
      <c r="S73" s="228"/>
      <c r="T73" s="228"/>
      <c r="U73" s="189">
        <f t="shared" si="34"/>
        <v>0</v>
      </c>
      <c r="V73" s="189">
        <f t="shared" si="35"/>
        <v>6.55185</v>
      </c>
      <c r="W73" s="189">
        <f t="shared" si="36"/>
        <v>0</v>
      </c>
      <c r="X73" s="189">
        <f t="shared" si="37"/>
        <v>0</v>
      </c>
      <c r="Y73" s="189">
        <f t="shared" si="38"/>
        <v>867.0281500000001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1426.1728749999997</v>
      </c>
      <c r="H74" s="89">
        <f t="shared" ref="H74" si="40">+H69+H70+H71+H72+H73</f>
        <v>419.85667241379304</v>
      </c>
      <c r="N74" s="87">
        <v>5</v>
      </c>
      <c r="O74" s="122" t="s">
        <v>176</v>
      </c>
      <c r="P74" s="228"/>
      <c r="Q74" s="228">
        <v>754</v>
      </c>
      <c r="R74" s="222">
        <v>2194.5</v>
      </c>
      <c r="S74" s="228"/>
      <c r="T74" s="228"/>
      <c r="U74" s="189">
        <f t="shared" si="34"/>
        <v>0</v>
      </c>
      <c r="V74" s="189">
        <f t="shared" si="35"/>
        <v>16.458749999999998</v>
      </c>
      <c r="W74" s="189">
        <f t="shared" si="36"/>
        <v>0</v>
      </c>
      <c r="X74" s="189">
        <f t="shared" si="37"/>
        <v>0</v>
      </c>
      <c r="Y74" s="189">
        <f t="shared" si="38"/>
        <v>2178.0412500000002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179</v>
      </c>
      <c r="O75" s="313"/>
      <c r="P75" s="314"/>
      <c r="Q75" s="314"/>
      <c r="R75" s="192">
        <f>SUM(R70:R74)</f>
        <v>5412.12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40.590900000000005</v>
      </c>
      <c r="W75" s="192">
        <f t="shared" si="41"/>
        <v>0</v>
      </c>
      <c r="X75" s="192">
        <f t="shared" si="41"/>
        <v>0</v>
      </c>
      <c r="Y75" s="192">
        <f t="shared" si="41"/>
        <v>5371.5290999999997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>
        <f>13.55+50.3+76.22</f>
        <v>140.07</v>
      </c>
      <c r="R79" s="82">
        <v>7.4999999999999997E-3</v>
      </c>
      <c r="S79" s="194">
        <f t="shared" ref="S79:S97" si="43">+(P79+Q79)*R79</f>
        <v>1.0505249999999999</v>
      </c>
      <c r="T79" s="246">
        <f t="shared" ref="T79:T97" si="44">+(P79+Q79)-S79</f>
        <v>139.019475</v>
      </c>
      <c r="U79" s="211">
        <f>44.8+5.78</f>
        <v>50.58</v>
      </c>
      <c r="V79" s="112"/>
      <c r="W79" s="113">
        <v>1.4999999999999999E-2</v>
      </c>
      <c r="X79" s="196">
        <f t="shared" ref="X79:X97" si="45">+(U79+V79)*W79</f>
        <v>0.75869999999999993</v>
      </c>
      <c r="Y79" s="246">
        <f t="shared" ref="Y79:Y97" si="46">+(U79+V79)-X79</f>
        <v>49.821300000000001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87">
        <f>373.61+154.65+12.37</f>
        <v>540.63</v>
      </c>
      <c r="R80" s="82">
        <v>7.4999999999999997E-3</v>
      </c>
      <c r="S80" s="194">
        <f t="shared" si="43"/>
        <v>4.0547249999999995</v>
      </c>
      <c r="T80" s="246">
        <f t="shared" si="44"/>
        <v>536.57527500000003</v>
      </c>
      <c r="U80" s="211">
        <f>111.92+27.81</f>
        <v>139.72999999999999</v>
      </c>
      <c r="V80" s="112"/>
      <c r="W80" s="113">
        <v>1.4999999999999999E-2</v>
      </c>
      <c r="X80" s="196">
        <f t="shared" si="45"/>
        <v>2.0959499999999998</v>
      </c>
      <c r="Y80" s="246">
        <f t="shared" si="46"/>
        <v>137.63405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3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680.7</v>
      </c>
      <c r="R98" s="111"/>
      <c r="S98" s="195">
        <f>SUM(S78:S97)</f>
        <v>5.1052499999999998</v>
      </c>
      <c r="T98" s="195">
        <f>SUM(T78:T97)</f>
        <v>675.59474999999998</v>
      </c>
      <c r="U98" s="114">
        <f>SUM(U78:U97)</f>
        <v>190.31</v>
      </c>
      <c r="V98" s="114">
        <f>SUM(V78:V97)</f>
        <v>0</v>
      </c>
      <c r="W98" s="112"/>
      <c r="X98" s="197">
        <f>SUM(X78:X97)</f>
        <v>2.8546499999999995</v>
      </c>
      <c r="Y98" s="197">
        <f>SUM(Y78:Y97)</f>
        <v>187.45535000000001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36">
        <f>P78+Q78+U78</f>
        <v>0</v>
      </c>
      <c r="R101" s="84"/>
    </row>
    <row r="102" spans="14:30" x14ac:dyDescent="0.25">
      <c r="N102" s="85"/>
      <c r="Q102" s="236">
        <f>P79+Q79+U79</f>
        <v>190.64999999999998</v>
      </c>
      <c r="R102" s="84"/>
    </row>
    <row r="103" spans="14:30" x14ac:dyDescent="0.25">
      <c r="N103" s="85"/>
      <c r="Q103" s="215">
        <f>P80+U80+Q80</f>
        <v>680.36</v>
      </c>
      <c r="R103" s="84"/>
    </row>
    <row r="104" spans="14:30" x14ac:dyDescent="0.25">
      <c r="N104" s="85"/>
      <c r="Q104" s="236">
        <f>P81+Q81+U81</f>
        <v>0</v>
      </c>
      <c r="R104" s="84"/>
    </row>
    <row r="105" spans="14:30" x14ac:dyDescent="0.25">
      <c r="N105" s="85"/>
      <c r="Q105" s="236">
        <f>P82+U82+Q82</f>
        <v>0</v>
      </c>
      <c r="R105" s="84"/>
    </row>
    <row r="106" spans="14:30" x14ac:dyDescent="0.25">
      <c r="N106" s="85"/>
      <c r="Q106" s="236">
        <f>P83+Q83+U83</f>
        <v>0</v>
      </c>
      <c r="R106" s="84"/>
    </row>
    <row r="107" spans="14:30" x14ac:dyDescent="0.25">
      <c r="N107" s="85"/>
      <c r="Q107" s="85">
        <f>P84+Q84+U84</f>
        <v>0</v>
      </c>
    </row>
    <row r="108" spans="14:30" x14ac:dyDescent="0.25">
      <c r="N108" s="85"/>
      <c r="Q108" s="85">
        <f>P85+Q85+U85</f>
        <v>0</v>
      </c>
    </row>
    <row r="109" spans="14:30" x14ac:dyDescent="0.25">
      <c r="N109" s="85"/>
      <c r="Q109" s="85">
        <f>P86+Q86+U86</f>
        <v>0</v>
      </c>
    </row>
    <row r="110" spans="14:30" x14ac:dyDescent="0.25">
      <c r="N110" s="85"/>
      <c r="Q110" s="85">
        <f>P87+Q87+U87</f>
        <v>0</v>
      </c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5" priority="1" operator="greaterThan">
      <formula>0</formula>
    </cfRule>
    <cfRule type="cellIs" dxfId="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39" zoomScale="90" zoomScaleNormal="90" workbookViewId="0">
      <selection activeCell="I51" sqref="I5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169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170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44772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5.79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214.5+100.5+157+110.5+147.5</f>
        <v>730</v>
      </c>
      <c r="C12" s="15"/>
      <c r="D12" s="56"/>
      <c r="E12" s="16"/>
      <c r="F12" s="56"/>
      <c r="G12" s="56"/>
      <c r="H12" s="17"/>
      <c r="I12" s="83"/>
      <c r="J12" s="81">
        <f>B12-I12</f>
        <v>730</v>
      </c>
      <c r="K12" s="75"/>
      <c r="L12" s="186">
        <f>+G12-K12</f>
        <v>0</v>
      </c>
      <c r="M12" s="106"/>
      <c r="N12" s="104">
        <v>1</v>
      </c>
      <c r="O12" s="152" t="s">
        <v>216</v>
      </c>
      <c r="P12" s="153"/>
      <c r="Q12" s="153">
        <v>230</v>
      </c>
      <c r="R12" s="154">
        <v>723.37</v>
      </c>
      <c r="S12" s="155"/>
      <c r="T12" s="155"/>
      <c r="U12" s="189">
        <f>((T12/U$10)*U$9)</f>
        <v>0</v>
      </c>
      <c r="V12" s="189">
        <f>R12*V$10</f>
        <v>5.4252750000000001</v>
      </c>
      <c r="W12" s="189">
        <f>+S12*V$10</f>
        <v>0</v>
      </c>
      <c r="X12" s="189">
        <f>+T12*X$10</f>
        <v>0</v>
      </c>
      <c r="Y12" s="189">
        <f>R12-V12</f>
        <v>717.94472499999995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f>139+155+45+14+134+153</f>
        <v>640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640</v>
      </c>
      <c r="K13" s="75"/>
      <c r="L13" s="186">
        <f t="shared" ref="L13:L44" si="1">+G13-K13</f>
        <v>0</v>
      </c>
      <c r="M13" s="106"/>
      <c r="N13" s="104">
        <v>2</v>
      </c>
      <c r="O13" s="152" t="s">
        <v>216</v>
      </c>
      <c r="P13" s="153"/>
      <c r="Q13" s="153"/>
      <c r="R13" s="154">
        <v>6.6</v>
      </c>
      <c r="S13" s="155"/>
      <c r="T13" s="157">
        <v>138.15</v>
      </c>
      <c r="U13" s="189">
        <f t="shared" ref="U13:U41" si="2">((T13/U$10)*U$9)</f>
        <v>5.9547413793103452</v>
      </c>
      <c r="V13" s="189">
        <f t="shared" ref="V13:V41" si="3">R13*V$10</f>
        <v>4.9499999999999995E-2</v>
      </c>
      <c r="W13" s="189">
        <f t="shared" ref="W13:W41" si="4">+S13*V$10</f>
        <v>0</v>
      </c>
      <c r="X13" s="189">
        <f t="shared" ref="X13:X41" si="5">+T13*X$10</f>
        <v>3.4537500000000003</v>
      </c>
      <c r="Y13" s="189">
        <f t="shared" ref="Y13:Z41" si="6">R13-V13</f>
        <v>6.5504999999999995</v>
      </c>
      <c r="Z13" s="189">
        <f t="shared" si="6"/>
        <v>0</v>
      </c>
      <c r="AA13" s="189">
        <f t="shared" ref="AA13:AA41" si="7">T13-U13-X13</f>
        <v>128.74150862068964</v>
      </c>
      <c r="AB13" s="156"/>
    </row>
    <row r="14" spans="1:28" ht="15.75" x14ac:dyDescent="0.25">
      <c r="A14" s="86" t="s">
        <v>83</v>
      </c>
      <c r="B14" s="57">
        <f>B13*B8</f>
        <v>3705.6</v>
      </c>
      <c r="C14" s="15"/>
      <c r="D14" s="56"/>
      <c r="E14" s="16"/>
      <c r="F14" s="56"/>
      <c r="G14" s="56"/>
      <c r="H14" s="17"/>
      <c r="I14" s="83"/>
      <c r="J14" s="81">
        <f t="shared" si="0"/>
        <v>3705.6</v>
      </c>
      <c r="K14" s="80"/>
      <c r="L14" s="186">
        <f t="shared" si="1"/>
        <v>0</v>
      </c>
      <c r="M14" s="107"/>
      <c r="N14" s="104">
        <v>3</v>
      </c>
      <c r="O14" s="152" t="s">
        <v>216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216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640</v>
      </c>
      <c r="C19" s="95"/>
      <c r="D19" s="94"/>
      <c r="E19" s="96"/>
      <c r="F19" s="94"/>
      <c r="G19" s="94"/>
      <c r="H19" s="98"/>
      <c r="I19" s="99"/>
      <c r="J19" s="185">
        <f>B19-I19</f>
        <v>640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3705.6</v>
      </c>
      <c r="C20" s="95"/>
      <c r="D20" s="94"/>
      <c r="E20" s="96"/>
      <c r="F20" s="94"/>
      <c r="G20" s="94"/>
      <c r="H20" s="98"/>
      <c r="I20" s="99"/>
      <c r="J20" s="185">
        <f t="shared" si="0"/>
        <v>3705.6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27.72</v>
      </c>
      <c r="C37" s="100"/>
      <c r="D37" s="66"/>
      <c r="E37" s="67"/>
      <c r="F37" s="66"/>
      <c r="G37" s="66"/>
      <c r="H37" s="102"/>
      <c r="I37" s="79"/>
      <c r="J37" s="81">
        <f t="shared" si="0"/>
        <v>27.72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160.49879999999999</v>
      </c>
      <c r="C38" s="100"/>
      <c r="D38" s="66"/>
      <c r="E38" s="67"/>
      <c r="F38" s="66"/>
      <c r="G38" s="66"/>
      <c r="H38" s="102"/>
      <c r="I38" s="79"/>
      <c r="J38" s="81">
        <f t="shared" si="0"/>
        <v>160.49879999999999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729.97</v>
      </c>
      <c r="S42" s="190">
        <f t="shared" si="8"/>
        <v>0</v>
      </c>
      <c r="T42" s="190">
        <f t="shared" si="8"/>
        <v>138.15</v>
      </c>
      <c r="U42" s="190">
        <f t="shared" si="8"/>
        <v>5.9547413793103452</v>
      </c>
      <c r="V42" s="190">
        <f t="shared" si="8"/>
        <v>5.4747750000000002</v>
      </c>
      <c r="W42" s="190">
        <f t="shared" si="8"/>
        <v>0</v>
      </c>
      <c r="X42" s="190">
        <f t="shared" si="8"/>
        <v>3.4537500000000003</v>
      </c>
      <c r="Y42" s="190">
        <f t="shared" si="8"/>
        <v>724.49522499999989</v>
      </c>
      <c r="Z42" s="190">
        <f t="shared" si="8"/>
        <v>0</v>
      </c>
      <c r="AA42" s="190">
        <f t="shared" si="8"/>
        <v>128.74150862068964</v>
      </c>
      <c r="AB42" s="166"/>
    </row>
    <row r="43" spans="1:28" ht="15.75" x14ac:dyDescent="0.25">
      <c r="A43" s="93" t="s">
        <v>103</v>
      </c>
      <c r="B43" s="97">
        <f>+B37+B39+B41</f>
        <v>27.72</v>
      </c>
      <c r="C43" s="95"/>
      <c r="D43" s="94"/>
      <c r="E43" s="96"/>
      <c r="F43" s="94"/>
      <c r="G43" s="94"/>
      <c r="H43" s="98"/>
      <c r="I43" s="99"/>
      <c r="J43" s="185">
        <f t="shared" si="0"/>
        <v>27.72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160.49879999999999</v>
      </c>
      <c r="C44" s="95"/>
      <c r="D44" s="94"/>
      <c r="E44" s="96"/>
      <c r="F44" s="94"/>
      <c r="G44" s="94"/>
      <c r="H44" s="98"/>
      <c r="I44" s="99"/>
      <c r="J44" s="185">
        <f t="shared" si="0"/>
        <v>160.49879999999999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729.97</v>
      </c>
      <c r="C46" s="116">
        <v>7.4999999999999997E-3</v>
      </c>
      <c r="D46" s="117">
        <f>B46*C46</f>
        <v>5.4747750000000002</v>
      </c>
      <c r="E46" s="172">
        <v>0</v>
      </c>
      <c r="F46" s="117">
        <f t="shared" ref="F46:F50" si="15">D46*E46</f>
        <v>0</v>
      </c>
      <c r="G46" s="117">
        <f t="shared" ref="G46:G51" si="16">B46-D46-F46</f>
        <v>724.495225</v>
      </c>
      <c r="H46" s="173">
        <f>B$6+1</f>
        <v>44773</v>
      </c>
      <c r="I46" s="174"/>
      <c r="J46" s="81">
        <f t="shared" si="0"/>
        <v>729.97</v>
      </c>
      <c r="K46" s="80"/>
      <c r="L46" s="186">
        <f t="shared" ref="L46:L64" si="17">+G46-K46</f>
        <v>724.495225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44773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181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44773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203</v>
      </c>
      <c r="B49" s="117">
        <f>R75</f>
        <v>5709.0599999999995</v>
      </c>
      <c r="C49" s="116">
        <v>7.4999999999999997E-3</v>
      </c>
      <c r="D49" s="117">
        <f t="shared" si="18"/>
        <v>42.817949999999996</v>
      </c>
      <c r="E49" s="172">
        <v>0</v>
      </c>
      <c r="F49" s="117">
        <f t="shared" si="15"/>
        <v>0</v>
      </c>
      <c r="G49" s="117">
        <f t="shared" si="16"/>
        <v>5666.2420499999998</v>
      </c>
      <c r="H49" s="173">
        <f t="shared" si="19"/>
        <v>44773</v>
      </c>
      <c r="I49" s="176"/>
      <c r="J49" s="81">
        <f t="shared" si="0"/>
        <v>5709.0599999999995</v>
      </c>
      <c r="K49" s="80"/>
      <c r="L49" s="186">
        <f t="shared" si="17"/>
        <v>5666.2420499999998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465.25</v>
      </c>
      <c r="C50" s="116">
        <v>7.4999999999999997E-3</v>
      </c>
      <c r="D50" s="117">
        <f t="shared" si="18"/>
        <v>3.4893749999999999</v>
      </c>
      <c r="E50" s="172">
        <v>0</v>
      </c>
      <c r="F50" s="117">
        <f t="shared" si="15"/>
        <v>0</v>
      </c>
      <c r="G50" s="117">
        <f t="shared" si="16"/>
        <v>461.760625</v>
      </c>
      <c r="H50" s="173">
        <f t="shared" si="19"/>
        <v>44773</v>
      </c>
      <c r="I50" s="175"/>
      <c r="J50" s="81">
        <f t="shared" si="0"/>
        <v>465.25</v>
      </c>
      <c r="K50" s="80"/>
      <c r="L50" s="186">
        <f t="shared" si="17"/>
        <v>461.760625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256.38</v>
      </c>
      <c r="C51" s="116">
        <v>1.4999999999999999E-2</v>
      </c>
      <c r="D51" s="117">
        <f>+B51*C51</f>
        <v>3.8456999999999999</v>
      </c>
      <c r="E51" s="172">
        <v>0</v>
      </c>
      <c r="F51" s="117">
        <f>D51*E51</f>
        <v>0</v>
      </c>
      <c r="G51" s="117">
        <f t="shared" si="16"/>
        <v>252.5343</v>
      </c>
      <c r="H51" s="173">
        <f t="shared" si="19"/>
        <v>44773</v>
      </c>
      <c r="I51" s="175"/>
      <c r="J51" s="81">
        <f t="shared" si="0"/>
        <v>256.38</v>
      </c>
      <c r="K51" s="80"/>
      <c r="L51" s="186">
        <f t="shared" si="17"/>
        <v>252.5343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138.15</v>
      </c>
      <c r="C52" s="116">
        <v>2.5000000000000001E-2</v>
      </c>
      <c r="D52" s="117">
        <f>B52*C52</f>
        <v>3.4537500000000003</v>
      </c>
      <c r="E52" s="172">
        <v>0.05</v>
      </c>
      <c r="F52" s="117">
        <f>(B52/E$10)*E52</f>
        <v>5.9547413793103452</v>
      </c>
      <c r="G52" s="117">
        <f>B52-D52-F52</f>
        <v>128.74150862068964</v>
      </c>
      <c r="H52" s="188">
        <f t="shared" si="19"/>
        <v>44773</v>
      </c>
      <c r="I52" s="176"/>
      <c r="J52" s="81">
        <f t="shared" si="0"/>
        <v>138.15</v>
      </c>
      <c r="K52" s="80"/>
      <c r="L52" s="186">
        <f t="shared" si="17"/>
        <v>128.74150862068964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44773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187</v>
      </c>
      <c r="B56" s="117">
        <f>T75</f>
        <v>555.29999999999995</v>
      </c>
      <c r="C56" s="116">
        <v>2.5000000000000001E-2</v>
      </c>
      <c r="D56" s="117">
        <f t="shared" si="20"/>
        <v>13.8825</v>
      </c>
      <c r="E56" s="172">
        <v>0.05</v>
      </c>
      <c r="F56" s="117">
        <f t="shared" si="21"/>
        <v>23.935344827586206</v>
      </c>
      <c r="G56" s="117">
        <f t="shared" si="22"/>
        <v>517.48215517241374</v>
      </c>
      <c r="H56" s="173">
        <f t="shared" si="19"/>
        <v>44773</v>
      </c>
      <c r="I56" s="176"/>
      <c r="J56" s="81">
        <f t="shared" si="0"/>
        <v>555.29999999999995</v>
      </c>
      <c r="K56" s="80"/>
      <c r="L56" s="186">
        <f t="shared" si="17"/>
        <v>517.48215517241374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72.96405</v>
      </c>
      <c r="E61" s="177"/>
      <c r="F61" s="57">
        <f>SUM(F46:F58)</f>
        <v>29.890086206896552</v>
      </c>
      <c r="G61" s="57">
        <f>SUM(G46:G58)</f>
        <v>7751.2558637931024</v>
      </c>
      <c r="H61" s="173">
        <f t="shared" si="19"/>
        <v>44773</v>
      </c>
      <c r="I61" s="175"/>
      <c r="J61" s="81">
        <f t="shared" si="0"/>
        <v>0</v>
      </c>
      <c r="K61" s="80"/>
      <c r="L61" s="186">
        <f t="shared" si="17"/>
        <v>7751.2558637931024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44773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15502.511727586205</v>
      </c>
      <c r="H64" s="184"/>
      <c r="I64" s="175"/>
      <c r="J64" s="81">
        <f t="shared" si="0"/>
        <v>0</v>
      </c>
      <c r="K64" s="80"/>
      <c r="L64" s="186">
        <f t="shared" si="17"/>
        <v>15502.511727586205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12450.208799999999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12426.74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12329.71</v>
      </c>
      <c r="C69" s="59"/>
      <c r="F69" s="87" t="s">
        <v>129</v>
      </c>
      <c r="G69" s="22"/>
      <c r="H69" s="89"/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97.030000000000655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172</v>
      </c>
      <c r="P70" s="228"/>
      <c r="Q70" s="228">
        <v>59</v>
      </c>
      <c r="R70" s="238">
        <v>633.03</v>
      </c>
      <c r="S70" s="228"/>
      <c r="T70" s="228"/>
      <c r="U70" s="189">
        <f t="shared" ref="U70:U74" si="34">((T70/U$10)*U$9)</f>
        <v>0</v>
      </c>
      <c r="V70" s="189">
        <f t="shared" ref="V70:V74" si="35">R70*V$10</f>
        <v>4.747725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628.28227500000003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23.468799999998737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172</v>
      </c>
      <c r="P71" s="228"/>
      <c r="Q71" s="228">
        <v>60</v>
      </c>
      <c r="R71" s="238">
        <v>1384.58</v>
      </c>
      <c r="S71" s="228"/>
      <c r="T71" s="228"/>
      <c r="U71" s="189">
        <f t="shared" si="34"/>
        <v>0</v>
      </c>
      <c r="V71" s="189">
        <f t="shared" si="35"/>
        <v>10.38435</v>
      </c>
      <c r="W71" s="189">
        <f t="shared" si="36"/>
        <v>0</v>
      </c>
      <c r="X71" s="189">
        <f t="shared" si="37"/>
        <v>0</v>
      </c>
      <c r="Y71" s="189">
        <f t="shared" si="38"/>
        <v>1374.1956499999999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/>
      <c r="Q72" s="228">
        <v>474</v>
      </c>
      <c r="R72" s="238">
        <v>563.32000000000005</v>
      </c>
      <c r="S72" s="228"/>
      <c r="T72" s="228"/>
      <c r="U72" s="189">
        <f t="shared" si="34"/>
        <v>0</v>
      </c>
      <c r="V72" s="189">
        <f t="shared" si="35"/>
        <v>4.2248999999999999</v>
      </c>
      <c r="W72" s="189">
        <f t="shared" si="36"/>
        <v>0</v>
      </c>
      <c r="X72" s="189">
        <f t="shared" si="37"/>
        <v>0</v>
      </c>
      <c r="Y72" s="189">
        <f t="shared" si="38"/>
        <v>559.0951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/>
      <c r="Q73" s="228">
        <v>748</v>
      </c>
      <c r="R73" s="238">
        <v>12.13</v>
      </c>
      <c r="S73" s="228"/>
      <c r="T73" s="228"/>
      <c r="U73" s="189">
        <f t="shared" si="34"/>
        <v>0</v>
      </c>
      <c r="V73" s="189">
        <f t="shared" si="35"/>
        <v>9.0975E-2</v>
      </c>
      <c r="W73" s="189">
        <f t="shared" si="36"/>
        <v>0</v>
      </c>
      <c r="X73" s="189">
        <f t="shared" si="37"/>
        <v>0</v>
      </c>
      <c r="Y73" s="189">
        <f t="shared" si="38"/>
        <v>12.039025000000001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172</v>
      </c>
      <c r="P74" s="228"/>
      <c r="Q74" s="228">
        <v>755</v>
      </c>
      <c r="R74" s="238">
        <f>1378.85+1737.15</f>
        <v>3116</v>
      </c>
      <c r="S74" s="228"/>
      <c r="T74" s="228">
        <v>555.29999999999995</v>
      </c>
      <c r="U74" s="189">
        <f t="shared" si="34"/>
        <v>23.935344827586206</v>
      </c>
      <c r="V74" s="189">
        <f t="shared" si="35"/>
        <v>23.369999999999997</v>
      </c>
      <c r="W74" s="189">
        <f t="shared" si="36"/>
        <v>0</v>
      </c>
      <c r="X74" s="189">
        <f t="shared" si="37"/>
        <v>13.8825</v>
      </c>
      <c r="Y74" s="189">
        <f t="shared" si="38"/>
        <v>3092.63</v>
      </c>
      <c r="Z74" s="189">
        <f t="shared" si="38"/>
        <v>0</v>
      </c>
      <c r="AA74" s="189">
        <f t="shared" si="39"/>
        <v>517.48215517241374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5709.0599999999995</v>
      </c>
      <c r="S75" s="192"/>
      <c r="T75" s="192">
        <f>SUM(T70:T74)</f>
        <v>555.29999999999995</v>
      </c>
      <c r="U75" s="192">
        <f>SUM(U70:U74)</f>
        <v>23.935344827586206</v>
      </c>
      <c r="V75" s="192">
        <f t="shared" ref="V75:AA75" si="41">SUM(V70:V74)</f>
        <v>42.817949999999996</v>
      </c>
      <c r="W75" s="192">
        <f t="shared" si="41"/>
        <v>0</v>
      </c>
      <c r="X75" s="192">
        <f t="shared" si="41"/>
        <v>13.8825</v>
      </c>
      <c r="Y75" s="192">
        <f t="shared" si="41"/>
        <v>5666.2420499999998</v>
      </c>
      <c r="Z75" s="192">
        <f t="shared" si="41"/>
        <v>0</v>
      </c>
      <c r="AA75" s="193">
        <f t="shared" si="41"/>
        <v>517.48215517241374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/>
      <c r="Q78" s="87">
        <f>41.29+7.58</f>
        <v>48.87</v>
      </c>
      <c r="R78" s="82">
        <v>7.4999999999999997E-3</v>
      </c>
      <c r="S78" s="216">
        <f>+(P78+Q78)*R78</f>
        <v>0.36652499999999999</v>
      </c>
      <c r="T78" s="219">
        <f>+(P78+Q78)-S78</f>
        <v>48.503474999999995</v>
      </c>
      <c r="U78" s="211">
        <f>50.48</f>
        <v>50.48</v>
      </c>
      <c r="V78" s="112"/>
      <c r="W78" s="113">
        <v>1.4999999999999999E-2</v>
      </c>
      <c r="X78" s="217">
        <f>+(U78+V78)*W78</f>
        <v>0.75719999999999987</v>
      </c>
      <c r="Y78" s="246">
        <f>+(U78+V78)-X78</f>
        <v>49.722799999999999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87"/>
      <c r="Q79" s="87">
        <f>200.43+116.24</f>
        <v>316.67</v>
      </c>
      <c r="R79" s="82">
        <v>7.4999999999999997E-3</v>
      </c>
      <c r="S79" s="216">
        <f t="shared" ref="S79:S97" si="43">+(P79+Q79)*R79</f>
        <v>2.3750249999999999</v>
      </c>
      <c r="T79" s="219">
        <f t="shared" ref="T79:T97" si="44">+(P79+Q79)-S79</f>
        <v>314.29497500000002</v>
      </c>
      <c r="U79" s="211">
        <f>94.62</f>
        <v>94.62</v>
      </c>
      <c r="V79" s="112"/>
      <c r="W79" s="113">
        <v>1.4999999999999999E-2</v>
      </c>
      <c r="X79" s="217">
        <f t="shared" ref="X79:X97" si="45">+(U79+V79)*W79</f>
        <v>1.4193</v>
      </c>
      <c r="Y79" s="246">
        <f t="shared" ref="Y79:Y97" si="46">+(U79+V79)-X79</f>
        <v>93.200699999999998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/>
      <c r="Q80" s="137">
        <f>99.71</f>
        <v>99.71</v>
      </c>
      <c r="R80" s="82">
        <v>7.4999999999999997E-3</v>
      </c>
      <c r="S80" s="216">
        <f t="shared" si="43"/>
        <v>0.74782499999999996</v>
      </c>
      <c r="T80" s="219">
        <f t="shared" si="44"/>
        <v>98.962174999999988</v>
      </c>
      <c r="U80" s="211">
        <f>111.28</f>
        <v>111.28</v>
      </c>
      <c r="V80" s="112"/>
      <c r="W80" s="113">
        <v>1.4999999999999999E-2</v>
      </c>
      <c r="X80" s="217">
        <f t="shared" si="45"/>
        <v>1.6692</v>
      </c>
      <c r="Y80" s="213">
        <f t="shared" si="46"/>
        <v>109.6108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87"/>
      <c r="R81" s="82">
        <v>7.4999999999999997E-3</v>
      </c>
      <c r="S81" s="216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217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5.3E-3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465.25</v>
      </c>
      <c r="R98" s="111"/>
      <c r="S98" s="195">
        <f>SUM(S78:S97)</f>
        <v>3.4893749999999999</v>
      </c>
      <c r="T98" s="195">
        <f>SUM(T78:T97)</f>
        <v>461.760625</v>
      </c>
      <c r="U98" s="114">
        <f>SUM(U78:U97)</f>
        <v>256.38</v>
      </c>
      <c r="V98" s="114">
        <f>SUM(V78:V97)</f>
        <v>0</v>
      </c>
      <c r="W98" s="112"/>
      <c r="X98" s="197">
        <f>SUM(X78:X97)</f>
        <v>3.8456999999999999</v>
      </c>
      <c r="Y98" s="197">
        <f>SUM(Y78:Y97)</f>
        <v>252.53429999999997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84"/>
    </row>
    <row r="101" spans="14:30" x14ac:dyDescent="0.25">
      <c r="N101" s="85"/>
      <c r="P101" s="215">
        <f>P78+Q78+U78</f>
        <v>99.35</v>
      </c>
    </row>
    <row r="102" spans="14:30" x14ac:dyDescent="0.25">
      <c r="N102" s="85"/>
      <c r="P102" s="215">
        <f>P79+Q79+U79</f>
        <v>411.29</v>
      </c>
    </row>
    <row r="103" spans="14:30" x14ac:dyDescent="0.25">
      <c r="N103" s="85"/>
      <c r="P103" s="215">
        <f>P80+Q80+U80</f>
        <v>210.99</v>
      </c>
    </row>
    <row r="104" spans="14:30" x14ac:dyDescent="0.25">
      <c r="N104" s="85"/>
      <c r="P104" s="215">
        <f>P81+Q81+U81</f>
        <v>0</v>
      </c>
    </row>
    <row r="105" spans="14:30" x14ac:dyDescent="0.25">
      <c r="N105" s="85"/>
      <c r="P105" s="236">
        <f t="shared" ref="P105:P106" si="50">P82+Q82+U82</f>
        <v>0</v>
      </c>
    </row>
    <row r="106" spans="14:30" x14ac:dyDescent="0.25">
      <c r="N106" s="85"/>
      <c r="P106" s="236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3" priority="1" operator="greaterThan">
      <formula>0</formula>
    </cfRule>
    <cfRule type="cellIs" dxfId="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63" zoomScale="90" zoomScaleNormal="90" workbookViewId="0">
      <selection activeCell="B41" sqref="B40:B4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169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170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44773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5.79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f>197.5+63+406.5+239+443.5</f>
        <v>1349.5</v>
      </c>
      <c r="C12" s="15"/>
      <c r="D12" s="56"/>
      <c r="E12" s="16"/>
      <c r="F12" s="56"/>
      <c r="G12" s="56"/>
      <c r="H12" s="17"/>
      <c r="I12" s="83">
        <v>1349.5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219</v>
      </c>
      <c r="P12" s="153">
        <v>232</v>
      </c>
      <c r="Q12" s="153"/>
      <c r="R12" s="154">
        <v>67.94</v>
      </c>
      <c r="S12" s="155"/>
      <c r="T12" s="155"/>
      <c r="U12" s="189">
        <f>((T12/U$10)*U$9)</f>
        <v>0</v>
      </c>
      <c r="V12" s="189">
        <f>R12*V$10</f>
        <v>0.50954999999999995</v>
      </c>
      <c r="W12" s="189">
        <f>+S12*V$10</f>
        <v>0</v>
      </c>
      <c r="X12" s="189">
        <f>+T12*X$10</f>
        <v>0</v>
      </c>
      <c r="Y12" s="189">
        <f>R12-V12</f>
        <v>67.430449999999993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f>97+95+141+47+150</f>
        <v>530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530</v>
      </c>
      <c r="K13" s="75"/>
      <c r="L13" s="186">
        <f t="shared" ref="L13:L42" si="1">+G13-K13</f>
        <v>0</v>
      </c>
      <c r="M13" s="106"/>
      <c r="N13" s="104">
        <v>2</v>
      </c>
      <c r="O13" s="152" t="s">
        <v>219</v>
      </c>
      <c r="P13" s="153">
        <v>131</v>
      </c>
      <c r="Q13" s="153"/>
      <c r="R13" s="154">
        <v>785.22</v>
      </c>
      <c r="S13" s="155"/>
      <c r="T13" s="157">
        <v>28.4</v>
      </c>
      <c r="U13" s="189">
        <f t="shared" ref="U13:U41" si="2">((T13/U$10)*U$9)</f>
        <v>1.2241379310344829</v>
      </c>
      <c r="V13" s="189">
        <f t="shared" ref="V13:V41" si="3">R13*V$10</f>
        <v>5.8891499999999999</v>
      </c>
      <c r="W13" s="189">
        <f t="shared" ref="W13:W41" si="4">+S13*V$10</f>
        <v>0</v>
      </c>
      <c r="X13" s="189">
        <f t="shared" ref="X13:X41" si="5">+T13*X$10</f>
        <v>0.71</v>
      </c>
      <c r="Y13" s="189">
        <f t="shared" ref="Y13:Z41" si="6">R13-V13</f>
        <v>779.33085000000005</v>
      </c>
      <c r="Z13" s="189">
        <f t="shared" si="6"/>
        <v>0</v>
      </c>
      <c r="AA13" s="189">
        <f t="shared" ref="AA13:AA41" si="7">T13-U13-X13</f>
        <v>26.465862068965514</v>
      </c>
      <c r="AB13" s="156"/>
    </row>
    <row r="14" spans="1:28" ht="15.75" x14ac:dyDescent="0.25">
      <c r="A14" s="86" t="s">
        <v>83</v>
      </c>
      <c r="B14" s="57">
        <f>B13*B8</f>
        <v>3068.7</v>
      </c>
      <c r="C14" s="15"/>
      <c r="D14" s="56"/>
      <c r="E14" s="16"/>
      <c r="F14" s="56"/>
      <c r="G14" s="56"/>
      <c r="H14" s="17"/>
      <c r="I14" s="83"/>
      <c r="J14" s="81">
        <f t="shared" si="0"/>
        <v>3068.7</v>
      </c>
      <c r="K14" s="80"/>
      <c r="L14" s="186">
        <f t="shared" si="1"/>
        <v>0</v>
      </c>
      <c r="M14" s="107"/>
      <c r="N14" s="104">
        <v>3</v>
      </c>
      <c r="O14" s="152" t="s">
        <v>219</v>
      </c>
      <c r="P14" s="153">
        <v>263</v>
      </c>
      <c r="Q14" s="153"/>
      <c r="R14" s="154">
        <v>89.18</v>
      </c>
      <c r="S14" s="155"/>
      <c r="T14" s="157"/>
      <c r="U14" s="189">
        <f t="shared" si="2"/>
        <v>0</v>
      </c>
      <c r="V14" s="189">
        <f t="shared" si="3"/>
        <v>0.66885000000000006</v>
      </c>
      <c r="W14" s="189">
        <f t="shared" si="4"/>
        <v>0</v>
      </c>
      <c r="X14" s="189">
        <f t="shared" si="5"/>
        <v>0</v>
      </c>
      <c r="Y14" s="189">
        <f t="shared" si="6"/>
        <v>88.511150000000001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219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530</v>
      </c>
      <c r="C19" s="95"/>
      <c r="D19" s="94"/>
      <c r="E19" s="96"/>
      <c r="F19" s="94"/>
      <c r="G19" s="94"/>
      <c r="H19" s="98"/>
      <c r="I19" s="99">
        <v>530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3068.7</v>
      </c>
      <c r="C20" s="95"/>
      <c r="D20" s="94"/>
      <c r="E20" s="96"/>
      <c r="F20" s="94"/>
      <c r="G20" s="94"/>
      <c r="H20" s="98"/>
      <c r="I20" s="99">
        <v>3068.7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53.84</v>
      </c>
      <c r="C37" s="100"/>
      <c r="D37" s="66"/>
      <c r="E37" s="67"/>
      <c r="F37" s="66"/>
      <c r="G37" s="66"/>
      <c r="H37" s="102"/>
      <c r="I37" s="79"/>
      <c r="J37" s="81">
        <f t="shared" si="0"/>
        <v>53.84</v>
      </c>
      <c r="K37" s="80"/>
      <c r="L37" s="186">
        <f>K37-B37</f>
        <v>-53.84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311.73360000000002</v>
      </c>
      <c r="C38" s="100"/>
      <c r="D38" s="66"/>
      <c r="E38" s="67"/>
      <c r="F38" s="66"/>
      <c r="G38" s="66"/>
      <c r="H38" s="102"/>
      <c r="I38" s="79"/>
      <c r="J38" s="81">
        <f t="shared" si="0"/>
        <v>311.73360000000002</v>
      </c>
      <c r="K38" s="80"/>
      <c r="L38" s="186">
        <f>K38-B38</f>
        <v>-311.73360000000002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310" t="s">
        <v>107</v>
      </c>
      <c r="O42" s="311"/>
      <c r="P42" s="311"/>
      <c r="Q42" s="312"/>
      <c r="R42" s="190">
        <f t="shared" ref="R42:AA42" si="8">SUM(R12:R41)</f>
        <v>942.34000000000015</v>
      </c>
      <c r="S42" s="190">
        <f t="shared" si="8"/>
        <v>0</v>
      </c>
      <c r="T42" s="190">
        <f t="shared" si="8"/>
        <v>28.4</v>
      </c>
      <c r="U42" s="190">
        <f t="shared" si="8"/>
        <v>1.2241379310344829</v>
      </c>
      <c r="V42" s="190">
        <f t="shared" si="8"/>
        <v>7.0675499999999998</v>
      </c>
      <c r="W42" s="190">
        <f t="shared" si="8"/>
        <v>0</v>
      </c>
      <c r="X42" s="190">
        <f t="shared" si="8"/>
        <v>0.71</v>
      </c>
      <c r="Y42" s="190">
        <f t="shared" si="8"/>
        <v>935.27245000000005</v>
      </c>
      <c r="Z42" s="190">
        <f t="shared" si="8"/>
        <v>0</v>
      </c>
      <c r="AA42" s="190">
        <f t="shared" si="8"/>
        <v>26.465862068965514</v>
      </c>
      <c r="AB42" s="166"/>
    </row>
    <row r="43" spans="1:28" ht="15.75" x14ac:dyDescent="0.25">
      <c r="A43" s="93" t="s">
        <v>103</v>
      </c>
      <c r="B43" s="97">
        <f>+B37+B39+B41</f>
        <v>53.84</v>
      </c>
      <c r="C43" s="95"/>
      <c r="D43" s="94"/>
      <c r="E43" s="96"/>
      <c r="F43" s="94"/>
      <c r="G43" s="94"/>
      <c r="H43" s="98"/>
      <c r="I43" s="99">
        <v>53.84</v>
      </c>
      <c r="J43" s="185">
        <f t="shared" si="0"/>
        <v>0</v>
      </c>
      <c r="K43" s="99"/>
      <c r="L43" s="187">
        <f>K43-B43</f>
        <v>-53.84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311.73360000000002</v>
      </c>
      <c r="C44" s="95"/>
      <c r="D44" s="94"/>
      <c r="E44" s="96"/>
      <c r="F44" s="94"/>
      <c r="G44" s="94"/>
      <c r="H44" s="98"/>
      <c r="I44" s="99"/>
      <c r="J44" s="185">
        <f t="shared" si="0"/>
        <v>311.73360000000002</v>
      </c>
      <c r="K44" s="99"/>
      <c r="L44" s="187">
        <f>K44-B44</f>
        <v>-311.73360000000002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942.34000000000015</v>
      </c>
      <c r="C46" s="116">
        <v>7.4999999999999997E-3</v>
      </c>
      <c r="D46" s="117">
        <f>B46*C46</f>
        <v>7.0675500000000007</v>
      </c>
      <c r="E46" s="172">
        <v>0</v>
      </c>
      <c r="F46" s="117">
        <f t="shared" ref="F46:F50" si="15">D46*E46</f>
        <v>0</v>
      </c>
      <c r="G46" s="117">
        <f t="shared" ref="G46:G51" si="16">B46-D46-F46</f>
        <v>935.27245000000016</v>
      </c>
      <c r="H46" s="173">
        <f>B$6+1</f>
        <v>44774</v>
      </c>
      <c r="I46" s="174">
        <v>942.34</v>
      </c>
      <c r="J46" s="81">
        <f t="shared" si="0"/>
        <v>0</v>
      </c>
      <c r="K46" s="80"/>
      <c r="L46" s="186">
        <f t="shared" ref="L46:L64" si="17">+G46-K46</f>
        <v>935.27245000000016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44774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44774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30" x14ac:dyDescent="0.25">
      <c r="A49" s="115" t="s">
        <v>220</v>
      </c>
      <c r="B49" s="117">
        <f>R75</f>
        <v>4708.6499999999996</v>
      </c>
      <c r="C49" s="116">
        <v>7.4999999999999997E-3</v>
      </c>
      <c r="D49" s="117">
        <f t="shared" si="18"/>
        <v>35.314874999999994</v>
      </c>
      <c r="E49" s="172">
        <v>0</v>
      </c>
      <c r="F49" s="117">
        <f t="shared" si="15"/>
        <v>0</v>
      </c>
      <c r="G49" s="117">
        <f t="shared" si="16"/>
        <v>4673.3351249999996</v>
      </c>
      <c r="H49" s="173">
        <f t="shared" si="19"/>
        <v>44774</v>
      </c>
      <c r="I49" s="176">
        <v>4708.6499999999996</v>
      </c>
      <c r="J49" s="81">
        <f t="shared" si="0"/>
        <v>0</v>
      </c>
      <c r="K49" s="80"/>
      <c r="L49" s="186">
        <f t="shared" si="17"/>
        <v>4673.3351249999996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384.96</v>
      </c>
      <c r="C50" s="116">
        <v>7.4999999999999997E-3</v>
      </c>
      <c r="D50" s="117">
        <f t="shared" si="18"/>
        <v>2.8871999999999995</v>
      </c>
      <c r="E50" s="172">
        <v>0</v>
      </c>
      <c r="F50" s="117">
        <f t="shared" si="15"/>
        <v>0</v>
      </c>
      <c r="G50" s="117">
        <f t="shared" si="16"/>
        <v>382.07279999999997</v>
      </c>
      <c r="H50" s="173">
        <f t="shared" si="19"/>
        <v>44774</v>
      </c>
      <c r="I50" s="175">
        <v>481.77</v>
      </c>
      <c r="J50" s="81">
        <f t="shared" si="0"/>
        <v>-96.81</v>
      </c>
      <c r="K50" s="80"/>
      <c r="L50" s="186">
        <f t="shared" si="17"/>
        <v>382.07279999999997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96.81</v>
      </c>
      <c r="C51" s="116">
        <v>1.4999999999999999E-2</v>
      </c>
      <c r="D51" s="117">
        <f>+B51*C51</f>
        <v>1.4521500000000001</v>
      </c>
      <c r="E51" s="172">
        <v>0</v>
      </c>
      <c r="F51" s="117">
        <f>D51*E51</f>
        <v>0</v>
      </c>
      <c r="G51" s="117">
        <f t="shared" si="16"/>
        <v>95.357849999999999</v>
      </c>
      <c r="H51" s="173">
        <f t="shared" si="19"/>
        <v>44774</v>
      </c>
      <c r="I51" s="175"/>
      <c r="J51" s="81">
        <f t="shared" si="0"/>
        <v>96.81</v>
      </c>
      <c r="K51" s="80"/>
      <c r="L51" s="186">
        <f t="shared" si="17"/>
        <v>95.357849999999999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28.4</v>
      </c>
      <c r="C52" s="116">
        <v>2.5000000000000001E-2</v>
      </c>
      <c r="D52" s="117">
        <f>B52*C52</f>
        <v>0.71</v>
      </c>
      <c r="E52" s="172">
        <v>0.05</v>
      </c>
      <c r="F52" s="117">
        <f>(B52/E$10)*E52</f>
        <v>1.2241379310344829</v>
      </c>
      <c r="G52" s="117">
        <f>B52-D52-F52</f>
        <v>26.465862068965514</v>
      </c>
      <c r="H52" s="188">
        <f t="shared" si="19"/>
        <v>44774</v>
      </c>
      <c r="I52" s="176">
        <v>28.4</v>
      </c>
      <c r="J52" s="81">
        <f t="shared" si="0"/>
        <v>0</v>
      </c>
      <c r="K52" s="80"/>
      <c r="L52" s="186">
        <f t="shared" si="17"/>
        <v>26.465862068965514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44774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44774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44774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12.04</v>
      </c>
      <c r="C56" s="116">
        <v>2.5000000000000001E-2</v>
      </c>
      <c r="D56" s="117">
        <f t="shared" si="20"/>
        <v>0.30099999999999999</v>
      </c>
      <c r="E56" s="172">
        <v>0.05</v>
      </c>
      <c r="F56" s="117">
        <f t="shared" si="21"/>
        <v>0.51896551724137929</v>
      </c>
      <c r="G56" s="117">
        <f t="shared" si="22"/>
        <v>11.220034482758619</v>
      </c>
      <c r="H56" s="173">
        <f t="shared" si="19"/>
        <v>44774</v>
      </c>
      <c r="I56" s="176">
        <v>12.04</v>
      </c>
      <c r="J56" s="81">
        <f t="shared" si="0"/>
        <v>0</v>
      </c>
      <c r="K56" s="80"/>
      <c r="L56" s="186">
        <f t="shared" si="17"/>
        <v>11.220034482758619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44776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44778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44803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47.732775000000004</v>
      </c>
      <c r="E61" s="177"/>
      <c r="F61" s="57">
        <f>SUM(F46:F58)</f>
        <v>1.7431034482758623</v>
      </c>
      <c r="G61" s="57">
        <f>SUM(G46:G58)</f>
        <v>6123.7241215517242</v>
      </c>
      <c r="H61" s="173">
        <f t="shared" si="19"/>
        <v>44774</v>
      </c>
      <c r="I61" s="175"/>
      <c r="J61" s="81">
        <f t="shared" si="0"/>
        <v>0</v>
      </c>
      <c r="K61" s="80"/>
      <c r="L61" s="186">
        <f t="shared" si="17"/>
        <v>6123.7241215517242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12247.448243103448</v>
      </c>
      <c r="H64" s="184"/>
      <c r="I64" s="175"/>
      <c r="J64" s="81">
        <f t="shared" si="0"/>
        <v>0</v>
      </c>
      <c r="K64" s="80"/>
      <c r="L64" s="186">
        <f t="shared" si="17"/>
        <v>12247.448243103448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10903.133599999999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10886.79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10796.12</v>
      </c>
      <c r="C69" s="59"/>
      <c r="F69" s="87" t="s">
        <v>129</v>
      </c>
      <c r="G69" s="22">
        <f>+G46</f>
        <v>935.27245000000016</v>
      </c>
      <c r="H69" s="89">
        <f>+G52</f>
        <v>26.465862068965514</v>
      </c>
      <c r="I69" s="136"/>
      <c r="J69" s="136">
        <f>K52</f>
        <v>0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10886.79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197</v>
      </c>
      <c r="P70" s="228"/>
      <c r="Q70" s="228">
        <v>61</v>
      </c>
      <c r="R70" s="228">
        <v>926.98</v>
      </c>
      <c r="S70" s="228"/>
      <c r="T70" s="228">
        <v>12.04</v>
      </c>
      <c r="U70" s="189">
        <f t="shared" ref="U70:U74" si="34">((T70/U$10)*U$9)</f>
        <v>0.51896551724137929</v>
      </c>
      <c r="V70" s="189">
        <f t="shared" ref="V70:V74" si="35">R70*V$10</f>
        <v>6.95235</v>
      </c>
      <c r="W70" s="189">
        <f t="shared" ref="W70:W74" si="36">+S70*V$10</f>
        <v>0</v>
      </c>
      <c r="X70" s="189">
        <f t="shared" ref="X70:X74" si="37">+T70*X$10</f>
        <v>0.30099999999999999</v>
      </c>
      <c r="Y70" s="189">
        <f t="shared" ref="Y70:Z74" si="38">R70-V70</f>
        <v>920.02764999999999</v>
      </c>
      <c r="Z70" s="189">
        <f t="shared" si="38"/>
        <v>0</v>
      </c>
      <c r="AA70" s="189">
        <f t="shared" ref="AA70:AA74" si="39">T70-U70-X70</f>
        <v>11.220034482758619</v>
      </c>
      <c r="AB70" s="87"/>
    </row>
    <row r="71" spans="1:30" ht="28.5" customHeight="1" thickBot="1" x14ac:dyDescent="0.3">
      <c r="A71" s="25" t="s">
        <v>57</v>
      </c>
      <c r="B71" s="70">
        <f>B65-B68</f>
        <v>16.343599999998332</v>
      </c>
      <c r="C71" s="64"/>
      <c r="F71" s="87" t="s">
        <v>131</v>
      </c>
      <c r="G71" s="137"/>
      <c r="H71" s="87"/>
      <c r="I71" s="81">
        <f>+I69-G69-G70-G71-G72-G73</f>
        <v>-935.27245000000016</v>
      </c>
      <c r="J71" s="81">
        <f>+J69-H69-H70-H71-H72-H73</f>
        <v>-26.465862068965514</v>
      </c>
      <c r="N71" s="87">
        <v>2</v>
      </c>
      <c r="O71" s="122" t="s">
        <v>197</v>
      </c>
      <c r="P71" s="228"/>
      <c r="Q71" s="228">
        <v>749</v>
      </c>
      <c r="R71" s="228">
        <v>631.08000000000004</v>
      </c>
      <c r="S71" s="228"/>
      <c r="T71" s="228"/>
      <c r="U71" s="189">
        <f t="shared" si="34"/>
        <v>0</v>
      </c>
      <c r="V71" s="189">
        <f t="shared" si="35"/>
        <v>4.7331000000000003</v>
      </c>
      <c r="W71" s="189">
        <f t="shared" si="36"/>
        <v>0</v>
      </c>
      <c r="X71" s="189">
        <f t="shared" si="37"/>
        <v>0</v>
      </c>
      <c r="Y71" s="189">
        <f t="shared" si="38"/>
        <v>626.34690000000001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197</v>
      </c>
      <c r="P72" s="228"/>
      <c r="Q72" s="228">
        <v>750</v>
      </c>
      <c r="R72" s="228">
        <v>995.6</v>
      </c>
      <c r="S72" s="228"/>
      <c r="T72" s="228"/>
      <c r="U72" s="189">
        <f t="shared" si="34"/>
        <v>0</v>
      </c>
      <c r="V72" s="189">
        <f t="shared" si="35"/>
        <v>7.4669999999999996</v>
      </c>
      <c r="W72" s="189">
        <f t="shared" si="36"/>
        <v>0</v>
      </c>
      <c r="X72" s="189">
        <f t="shared" si="37"/>
        <v>0</v>
      </c>
      <c r="Y72" s="189">
        <f t="shared" si="38"/>
        <v>988.13300000000004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197</v>
      </c>
      <c r="P73" s="228"/>
      <c r="Q73" s="228">
        <v>757</v>
      </c>
      <c r="R73" s="228">
        <v>930.16</v>
      </c>
      <c r="S73" s="228"/>
      <c r="T73" s="228"/>
      <c r="U73" s="189">
        <f t="shared" si="34"/>
        <v>0</v>
      </c>
      <c r="V73" s="189">
        <f t="shared" si="35"/>
        <v>6.9761999999999995</v>
      </c>
      <c r="W73" s="189">
        <f t="shared" si="36"/>
        <v>0</v>
      </c>
      <c r="X73" s="189">
        <f t="shared" si="37"/>
        <v>0</v>
      </c>
      <c r="Y73" s="189">
        <f t="shared" si="38"/>
        <v>923.18380000000002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935.27245000000016</v>
      </c>
      <c r="H74" s="89">
        <f t="shared" ref="H74" si="40">+H69+H70+H71+H72+H73</f>
        <v>26.465862068965514</v>
      </c>
      <c r="N74" s="87">
        <v>5</v>
      </c>
      <c r="O74" s="122" t="s">
        <v>197</v>
      </c>
      <c r="P74" s="228"/>
      <c r="Q74" s="228">
        <v>759</v>
      </c>
      <c r="R74" s="228">
        <f>51.84+1172.99</f>
        <v>1224.83</v>
      </c>
      <c r="S74" s="228"/>
      <c r="T74" s="228"/>
      <c r="U74" s="189">
        <f t="shared" si="34"/>
        <v>0</v>
      </c>
      <c r="V74" s="189">
        <f t="shared" si="35"/>
        <v>9.1862249999999985</v>
      </c>
      <c r="W74" s="189">
        <f t="shared" si="36"/>
        <v>0</v>
      </c>
      <c r="X74" s="189">
        <f t="shared" si="37"/>
        <v>0</v>
      </c>
      <c r="Y74" s="189">
        <f t="shared" si="38"/>
        <v>1215.643775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4708.6499999999996</v>
      </c>
      <c r="S75" s="192"/>
      <c r="T75" s="192">
        <f>SUM(T70:T74)</f>
        <v>12.04</v>
      </c>
      <c r="U75" s="192">
        <f>SUM(U70:U74)</f>
        <v>0.51896551724137929</v>
      </c>
      <c r="V75" s="192">
        <f t="shared" ref="V75:AA75" si="41">SUM(V70:V74)</f>
        <v>35.314874999999994</v>
      </c>
      <c r="W75" s="192">
        <f t="shared" si="41"/>
        <v>0</v>
      </c>
      <c r="X75" s="192">
        <f t="shared" si="41"/>
        <v>0.30099999999999999</v>
      </c>
      <c r="Y75" s="192">
        <f t="shared" si="41"/>
        <v>4673.3351249999996</v>
      </c>
      <c r="Z75" s="192">
        <f t="shared" si="41"/>
        <v>0</v>
      </c>
      <c r="AA75" s="193">
        <f t="shared" si="41"/>
        <v>11.220034482758619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/>
      <c r="Q78" s="137">
        <f>54.88</f>
        <v>54.88</v>
      </c>
      <c r="R78" s="82">
        <v>7.4999999999999997E-3</v>
      </c>
      <c r="S78" s="194">
        <f>+(P78+Q78)*R78</f>
        <v>0.41160000000000002</v>
      </c>
      <c r="T78" s="219">
        <f>+(P78+Q78)-S78</f>
        <v>54.468400000000003</v>
      </c>
      <c r="U78" s="211">
        <f>18.3</f>
        <v>18.3</v>
      </c>
      <c r="V78" s="112"/>
      <c r="W78" s="113">
        <v>1.4999999999999999E-2</v>
      </c>
      <c r="X78" s="196">
        <f>+(U78+V78)*W78</f>
        <v>0.27450000000000002</v>
      </c>
      <c r="Y78" s="217">
        <f>+(U78+V78)-X78</f>
        <v>18.025500000000001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>
        <f>T98</f>
        <v>382.07279999999997</v>
      </c>
      <c r="H79" s="136">
        <f>K50</f>
        <v>0</v>
      </c>
      <c r="N79" s="87">
        <v>2</v>
      </c>
      <c r="O79" s="87" t="s">
        <v>112</v>
      </c>
      <c r="P79" s="137"/>
      <c r="Q79" s="87">
        <f>45.13</f>
        <v>45.13</v>
      </c>
      <c r="R79" s="82">
        <v>7.4999999999999997E-3</v>
      </c>
      <c r="S79" s="194">
        <f t="shared" ref="S79:S97" si="43">+(P79+Q79)*R79</f>
        <v>0.33847500000000003</v>
      </c>
      <c r="T79" s="219">
        <f t="shared" ref="T79:T97" si="44">+(P79+Q79)-S79</f>
        <v>44.791525</v>
      </c>
      <c r="U79" s="211">
        <f>17.59</f>
        <v>17.59</v>
      </c>
      <c r="V79" s="112"/>
      <c r="W79" s="113">
        <v>1.4999999999999999E-2</v>
      </c>
      <c r="X79" s="196">
        <f t="shared" ref="X79:X97" si="45">+(U79+V79)*W79</f>
        <v>0.26384999999999997</v>
      </c>
      <c r="Y79" s="217">
        <f t="shared" ref="Y79:Y97" si="46">+(U79+V79)-X79</f>
        <v>17.326149999999998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>
        <f>42.93+99.72+80.13+62.17</f>
        <v>284.95</v>
      </c>
      <c r="R80" s="82">
        <v>7.4999999999999997E-3</v>
      </c>
      <c r="S80" s="194">
        <f t="shared" si="43"/>
        <v>2.1371249999999997</v>
      </c>
      <c r="T80" s="219">
        <f t="shared" si="44"/>
        <v>282.81287499999996</v>
      </c>
      <c r="U80" s="211">
        <f>31.32+29.6</f>
        <v>60.92</v>
      </c>
      <c r="V80" s="112"/>
      <c r="W80" s="113">
        <v>1.4999999999999999E-2</v>
      </c>
      <c r="X80" s="196">
        <f t="shared" si="45"/>
        <v>0.91379999999999995</v>
      </c>
      <c r="Y80" s="217">
        <f t="shared" si="46"/>
        <v>60.0062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-382.07279999999997</v>
      </c>
      <c r="N81" s="87">
        <v>4</v>
      </c>
      <c r="O81" s="87" t="s">
        <v>112</v>
      </c>
      <c r="P81" s="137"/>
      <c r="Q81" s="87"/>
      <c r="R81" s="82">
        <v>7.4999999999999997E-3</v>
      </c>
      <c r="S81" s="194">
        <f t="shared" si="43"/>
        <v>0</v>
      </c>
      <c r="T81" s="220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19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20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194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382.07279999999997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384.96</v>
      </c>
      <c r="R98" s="111"/>
      <c r="S98" s="195">
        <f>SUM(S78:S97)</f>
        <v>2.8872</v>
      </c>
      <c r="T98" s="195">
        <f>SUM(T78:T97)</f>
        <v>382.07279999999997</v>
      </c>
      <c r="U98" s="114">
        <f>SUM(U78:U97)</f>
        <v>96.81</v>
      </c>
      <c r="V98" s="114">
        <f>SUM(V78:V97)</f>
        <v>0</v>
      </c>
      <c r="W98" s="112"/>
      <c r="X98" s="197">
        <f>SUM(X78:X97)</f>
        <v>1.4521500000000001</v>
      </c>
      <c r="Y98" s="197">
        <f>SUM(Y78:Y97)</f>
        <v>95.357849999999999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Q78+U78+P78</f>
        <v>73.180000000000007</v>
      </c>
    </row>
    <row r="102" spans="14:30" x14ac:dyDescent="0.25">
      <c r="N102" s="85"/>
      <c r="P102" s="215">
        <f>P79+U79+Q79</f>
        <v>62.72</v>
      </c>
    </row>
    <row r="103" spans="14:30" x14ac:dyDescent="0.25">
      <c r="N103" s="85"/>
      <c r="P103" s="212">
        <f>P80+Q80+U80</f>
        <v>345.87</v>
      </c>
    </row>
    <row r="104" spans="14:30" x14ac:dyDescent="0.25">
      <c r="N104" s="85"/>
      <c r="P104" s="215">
        <f>P81</f>
        <v>0</v>
      </c>
    </row>
    <row r="105" spans="14:30" x14ac:dyDescent="0.25">
      <c r="N105" s="85"/>
      <c r="P105" s="215">
        <f>P82+Q82+U82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</mergeCells>
  <conditionalFormatting sqref="B70">
    <cfRule type="cellIs" dxfId="1" priority="1" operator="greaterThan">
      <formula>0</formula>
    </cfRule>
    <cfRule type="cellIs" dxfId="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topLeftCell="A19" zoomScale="90" zoomScaleNormal="90" workbookViewId="0">
      <selection activeCell="C41" sqref="C41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7" width="20.42578125" style="85" customWidth="1"/>
    <col min="8" max="9" width="22.140625" style="85" customWidth="1"/>
    <col min="10" max="16384" width="11.42578125" style="85"/>
  </cols>
  <sheetData>
    <row r="1" spans="1:10" s="84" customFormat="1" ht="16.5" customHeight="1" x14ac:dyDescent="0.35">
      <c r="A1" s="288"/>
      <c r="B1" s="292" t="s">
        <v>12</v>
      </c>
      <c r="C1" s="293"/>
      <c r="D1" s="293"/>
      <c r="E1" s="293"/>
      <c r="F1" s="293"/>
      <c r="G1" s="293"/>
      <c r="H1" s="293"/>
      <c r="I1" s="293"/>
      <c r="J1" s="294"/>
    </row>
    <row r="2" spans="1:10" s="84" customFormat="1" ht="16.5" customHeight="1" x14ac:dyDescent="0.25">
      <c r="A2" s="288"/>
      <c r="B2" s="295" t="s">
        <v>149</v>
      </c>
      <c r="C2" s="296"/>
      <c r="D2" s="296"/>
      <c r="E2" s="296"/>
      <c r="F2" s="296"/>
      <c r="G2" s="296"/>
      <c r="H2" s="296"/>
      <c r="I2" s="296"/>
      <c r="J2" s="297"/>
    </row>
    <row r="3" spans="1:10" s="84" customFormat="1" ht="16.5" customHeight="1" x14ac:dyDescent="0.25">
      <c r="A3" s="288"/>
      <c r="B3" s="291"/>
      <c r="C3" s="291"/>
      <c r="D3" s="291"/>
      <c r="E3" s="291"/>
      <c r="F3" s="291"/>
      <c r="G3" s="291"/>
      <c r="H3" s="291"/>
      <c r="I3" s="291"/>
      <c r="J3" s="291"/>
    </row>
    <row r="4" spans="1:10" x14ac:dyDescent="0.25">
      <c r="B4" s="291"/>
      <c r="C4" s="291"/>
      <c r="D4" s="291"/>
      <c r="E4" s="291"/>
      <c r="F4" s="291"/>
      <c r="G4" s="291"/>
      <c r="H4" s="291"/>
    </row>
    <row r="6" spans="1:10" ht="15.75" thickBot="1" x14ac:dyDescent="0.3"/>
    <row r="7" spans="1:10" x14ac:dyDescent="0.25">
      <c r="E7" s="289" t="s">
        <v>14</v>
      </c>
      <c r="F7" s="290"/>
      <c r="G7" s="201"/>
    </row>
    <row r="8" spans="1:10" ht="27" customHeight="1" x14ac:dyDescent="0.25">
      <c r="A8" s="45" t="s">
        <v>33</v>
      </c>
      <c r="B8" s="45" t="s">
        <v>150</v>
      </c>
      <c r="C8" s="45" t="s">
        <v>68</v>
      </c>
      <c r="D8" s="45" t="s">
        <v>151</v>
      </c>
      <c r="E8" s="52" t="s">
        <v>27</v>
      </c>
      <c r="F8" s="49" t="s">
        <v>152</v>
      </c>
      <c r="G8" s="202" t="s">
        <v>68</v>
      </c>
      <c r="H8" s="50" t="s">
        <v>2</v>
      </c>
      <c r="I8" s="51" t="s">
        <v>53</v>
      </c>
      <c r="J8" s="51" t="s">
        <v>54</v>
      </c>
    </row>
    <row r="9" spans="1:10" x14ac:dyDescent="0.25">
      <c r="A9" s="46">
        <f>'DIA 1'!B$6</f>
        <v>44774</v>
      </c>
      <c r="B9" s="199">
        <f>+'DIA 1'!G$50</f>
        <v>129.75945000000002</v>
      </c>
      <c r="C9" s="199">
        <f>+'DIA 1'!G$51</f>
        <v>231.49469999999999</v>
      </c>
      <c r="D9" s="199">
        <f>+'DIA 1'!G$55</f>
        <v>0</v>
      </c>
      <c r="E9" s="203">
        <f t="shared" ref="E9:E39" si="0">B9+D9</f>
        <v>129.75945000000002</v>
      </c>
      <c r="F9" s="204">
        <f>+'DIA 1'!K$50</f>
        <v>0</v>
      </c>
      <c r="G9" s="204">
        <f>+'DIA 1'!K$51</f>
        <v>0</v>
      </c>
      <c r="H9" s="205">
        <f>+'DIA 1'!K$55</f>
        <v>0</v>
      </c>
      <c r="I9" s="60">
        <f t="shared" ref="I9:I39" si="1">B9-F9</f>
        <v>129.75945000000002</v>
      </c>
      <c r="J9" s="60">
        <f>D9-H9</f>
        <v>0</v>
      </c>
    </row>
    <row r="10" spans="1:10" x14ac:dyDescent="0.25">
      <c r="A10" s="46">
        <f>'DIA 2'!B$6</f>
        <v>44775</v>
      </c>
      <c r="B10" s="199">
        <f>'DIA 2'!G$50</f>
        <v>214.03262499999997</v>
      </c>
      <c r="C10" s="199">
        <f>'DIA 2'!G$51</f>
        <v>314.91434999999996</v>
      </c>
      <c r="D10" s="199">
        <f>'DIA 2'!G$55</f>
        <v>0</v>
      </c>
      <c r="E10" s="203">
        <f t="shared" si="0"/>
        <v>214.03262499999997</v>
      </c>
      <c r="F10" s="199">
        <f>'DIA 2'!K$50</f>
        <v>214.03</v>
      </c>
      <c r="G10" s="199">
        <f>'DIA 2'!K$51</f>
        <v>314.91000000000003</v>
      </c>
      <c r="H10" s="199">
        <f>'DIA 2'!K$55</f>
        <v>0</v>
      </c>
      <c r="I10" s="60">
        <f t="shared" si="1"/>
        <v>2.6249999999663487E-3</v>
      </c>
      <c r="J10" s="60">
        <f t="shared" ref="J10:J39" si="2">D10-H10</f>
        <v>0</v>
      </c>
    </row>
    <row r="11" spans="1:10" x14ac:dyDescent="0.25">
      <c r="A11" s="46">
        <f>'DIA 3'!B$6</f>
        <v>44776</v>
      </c>
      <c r="B11" s="199">
        <f>'DIA 3'!G$50</f>
        <v>66.120350000000002</v>
      </c>
      <c r="C11" s="199">
        <f>'DIA 3'!G$51</f>
        <v>337.60874999999999</v>
      </c>
      <c r="D11" s="199">
        <f>'DIA 3'!G$55</f>
        <v>0</v>
      </c>
      <c r="E11" s="203">
        <f t="shared" si="0"/>
        <v>66.120350000000002</v>
      </c>
      <c r="F11" s="199">
        <f>'DIA 3'!K$50</f>
        <v>66.12</v>
      </c>
      <c r="G11" s="199">
        <f>'DIA 3'!K$51</f>
        <v>337.61</v>
      </c>
      <c r="H11" s="199">
        <f>'DIA 3'!K$55</f>
        <v>0</v>
      </c>
      <c r="I11" s="60">
        <f t="shared" si="1"/>
        <v>3.4999999999740794E-4</v>
      </c>
      <c r="J11" s="60">
        <f t="shared" si="2"/>
        <v>0</v>
      </c>
    </row>
    <row r="12" spans="1:10" x14ac:dyDescent="0.25">
      <c r="A12" s="46">
        <f>'DIA 4'!B$6</f>
        <v>44777</v>
      </c>
      <c r="B12" s="199">
        <f>'DIA 4'!G$50</f>
        <v>336.84457499999996</v>
      </c>
      <c r="C12" s="199">
        <f>'DIA 4'!G$51</f>
        <v>530.89530000000002</v>
      </c>
      <c r="D12" s="199">
        <f>'DIA 4'!G$55</f>
        <v>0</v>
      </c>
      <c r="E12" s="203">
        <f t="shared" si="0"/>
        <v>336.84457499999996</v>
      </c>
      <c r="F12" s="199">
        <f>'DIA 4'!K$50</f>
        <v>336.84</v>
      </c>
      <c r="G12" s="199">
        <f>'DIA 4'!K$51</f>
        <v>530.9</v>
      </c>
      <c r="H12" s="199">
        <f>'DIA 4'!K$55</f>
        <v>0</v>
      </c>
      <c r="I12" s="60">
        <f t="shared" si="1"/>
        <v>4.5749999999884494E-3</v>
      </c>
      <c r="J12" s="60">
        <f t="shared" si="2"/>
        <v>0</v>
      </c>
    </row>
    <row r="13" spans="1:10" x14ac:dyDescent="0.25">
      <c r="A13" s="46">
        <f>'DIA 5'!B$6</f>
        <v>44778</v>
      </c>
      <c r="B13" s="199">
        <f>'DIA 5'!G$50</f>
        <v>522.30312500000002</v>
      </c>
      <c r="C13" s="199">
        <f>'DIA 5'!G$51</f>
        <v>527.35915000000011</v>
      </c>
      <c r="D13" s="199">
        <f>'DIA 5'!G$55</f>
        <v>0</v>
      </c>
      <c r="E13" s="203">
        <f t="shared" si="0"/>
        <v>522.30312500000002</v>
      </c>
      <c r="F13" s="199">
        <f>'DIA 5'!K$50</f>
        <v>522.29999999999995</v>
      </c>
      <c r="G13" s="199">
        <f>'DIA 5'!K$51</f>
        <v>527.36</v>
      </c>
      <c r="H13" s="199">
        <f>'DIA 5'!K$55</f>
        <v>0</v>
      </c>
      <c r="I13" s="60">
        <f t="shared" si="1"/>
        <v>3.1250000000682121E-3</v>
      </c>
      <c r="J13" s="60">
        <f t="shared" si="2"/>
        <v>0</v>
      </c>
    </row>
    <row r="14" spans="1:10" x14ac:dyDescent="0.25">
      <c r="A14" s="46">
        <f>'DIA 6'!B$6</f>
        <v>44779</v>
      </c>
      <c r="B14" s="199">
        <f>'DIA 6'!G$50</f>
        <v>366.14317499999999</v>
      </c>
      <c r="C14" s="199">
        <f>'DIA 6'!G$51</f>
        <v>538.63739999999996</v>
      </c>
      <c r="D14" s="199">
        <f>'DIA 6'!G$55</f>
        <v>0</v>
      </c>
      <c r="E14" s="203">
        <f t="shared" si="0"/>
        <v>366.14317499999999</v>
      </c>
      <c r="F14" s="199">
        <f>'DIA 6'!K$50</f>
        <v>366.14</v>
      </c>
      <c r="G14" s="199">
        <f>'DIA 6'!K$51</f>
        <v>538.64</v>
      </c>
      <c r="H14" s="199">
        <f>'DIA 6'!K$55</f>
        <v>0</v>
      </c>
      <c r="I14" s="60">
        <f t="shared" si="1"/>
        <v>3.1749999999988177E-3</v>
      </c>
      <c r="J14" s="60">
        <f t="shared" si="2"/>
        <v>0</v>
      </c>
    </row>
    <row r="15" spans="1:10" x14ac:dyDescent="0.25">
      <c r="A15" s="46">
        <f>'DIA 7'!B$6</f>
        <v>44780</v>
      </c>
      <c r="B15" s="199">
        <f>'DIA 7'!G$50</f>
        <v>540.38647500000002</v>
      </c>
      <c r="C15" s="199">
        <f>'DIA 7'!G$51</f>
        <v>179.66400000000002</v>
      </c>
      <c r="D15" s="199">
        <f>'DIA 7'!G$55</f>
        <v>0</v>
      </c>
      <c r="E15" s="203">
        <f t="shared" si="0"/>
        <v>540.38647500000002</v>
      </c>
      <c r="F15" s="199">
        <f>'DIA 7'!K$50</f>
        <v>540.39</v>
      </c>
      <c r="G15" s="199">
        <f>'DIA 7'!K$51</f>
        <v>179.66</v>
      </c>
      <c r="H15" s="199">
        <f>'DIA 7'!K$55</f>
        <v>0</v>
      </c>
      <c r="I15" s="60">
        <f t="shared" si="1"/>
        <v>-3.5249999999678039E-3</v>
      </c>
      <c r="J15" s="60">
        <f t="shared" si="2"/>
        <v>0</v>
      </c>
    </row>
    <row r="16" spans="1:10" x14ac:dyDescent="0.25">
      <c r="A16" s="46">
        <f>'DIA 8'!B$6</f>
        <v>44781</v>
      </c>
      <c r="B16" s="199">
        <f>'DIA 8'!G$50</f>
        <v>9.2699499999999997</v>
      </c>
      <c r="C16" s="199">
        <f>'DIA 8'!G$51</f>
        <v>174.7587</v>
      </c>
      <c r="D16" s="199">
        <f>'DIA 8'!G$55</f>
        <v>0</v>
      </c>
      <c r="E16" s="203">
        <f t="shared" si="0"/>
        <v>9.2699499999999997</v>
      </c>
      <c r="F16" s="199">
        <f>'DIA 8'!K$50</f>
        <v>0</v>
      </c>
      <c r="G16" s="199">
        <f>'DIA 8'!K$51</f>
        <v>0</v>
      </c>
      <c r="H16" s="199">
        <f>'DIA 8'!K$55</f>
        <v>0</v>
      </c>
      <c r="I16" s="60">
        <f t="shared" si="1"/>
        <v>9.2699499999999997</v>
      </c>
      <c r="J16" s="60">
        <f t="shared" si="2"/>
        <v>0</v>
      </c>
    </row>
    <row r="17" spans="1:10" x14ac:dyDescent="0.25">
      <c r="A17" s="46">
        <f>'DIA 9'!B$6</f>
        <v>44782</v>
      </c>
      <c r="B17" s="199">
        <f>'DIA 9'!G$50</f>
        <v>8.2079749999999994</v>
      </c>
      <c r="C17" s="199">
        <f>'DIA 9'!G$51</f>
        <v>110.9307</v>
      </c>
      <c r="D17" s="199">
        <f>'DIA 9'!G$55</f>
        <v>0</v>
      </c>
      <c r="E17" s="203">
        <f t="shared" si="0"/>
        <v>8.2079749999999994</v>
      </c>
      <c r="F17" s="199">
        <f>'DIA 9'!K$50</f>
        <v>0</v>
      </c>
      <c r="G17" s="199">
        <f>'DIA 9'!K$51</f>
        <v>0</v>
      </c>
      <c r="H17" s="199">
        <f>'DIA 9'!K$55</f>
        <v>0</v>
      </c>
      <c r="I17" s="60">
        <f t="shared" si="1"/>
        <v>8.2079749999999994</v>
      </c>
      <c r="J17" s="60">
        <f t="shared" si="2"/>
        <v>0</v>
      </c>
    </row>
    <row r="18" spans="1:10" x14ac:dyDescent="0.25">
      <c r="A18" s="46">
        <f>'DIA 10'!B$6</f>
        <v>44783</v>
      </c>
      <c r="B18" s="199">
        <f>'DIA 10'!G$50</f>
        <v>279.43837499999995</v>
      </c>
      <c r="C18" s="199">
        <f>'DIA 10'!G$51</f>
        <v>176.1968</v>
      </c>
      <c r="D18" s="199">
        <f>'DIA 10'!G$55</f>
        <v>0</v>
      </c>
      <c r="E18" s="203">
        <f t="shared" si="0"/>
        <v>279.43837499999995</v>
      </c>
      <c r="F18" s="199">
        <f>'DIA 10'!K$50</f>
        <v>0</v>
      </c>
      <c r="G18" s="199">
        <f>'DIA 10'!K$51</f>
        <v>0</v>
      </c>
      <c r="H18" s="199">
        <f>'DIA 10'!K$55</f>
        <v>0</v>
      </c>
      <c r="I18" s="60">
        <f t="shared" si="1"/>
        <v>279.43837499999995</v>
      </c>
      <c r="J18" s="60">
        <f t="shared" si="2"/>
        <v>0</v>
      </c>
    </row>
    <row r="19" spans="1:10" x14ac:dyDescent="0.25">
      <c r="A19" s="46">
        <f>'DIA 11'!B$6</f>
        <v>44784</v>
      </c>
      <c r="B19" s="199">
        <f>'DIA 11'!G$50</f>
        <v>609.84162500000002</v>
      </c>
      <c r="C19" s="199">
        <f>'DIA 11'!G$51</f>
        <v>94.037949999999995</v>
      </c>
      <c r="D19" s="199">
        <f>'DIA 11'!G$55</f>
        <v>0</v>
      </c>
      <c r="E19" s="203">
        <f t="shared" si="0"/>
        <v>609.84162500000002</v>
      </c>
      <c r="F19" s="199">
        <f>'DIA 11'!K$50</f>
        <v>0</v>
      </c>
      <c r="G19" s="199">
        <f>'DIA 11'!K$51</f>
        <v>0</v>
      </c>
      <c r="H19" s="199">
        <f>'DIA 11'!K$55</f>
        <v>0</v>
      </c>
      <c r="I19" s="60">
        <f t="shared" si="1"/>
        <v>609.84162500000002</v>
      </c>
      <c r="J19" s="60">
        <f t="shared" si="2"/>
        <v>0</v>
      </c>
    </row>
    <row r="20" spans="1:10" x14ac:dyDescent="0.25">
      <c r="A20" s="46">
        <f>'DIA 12'!B$6</f>
        <v>44785</v>
      </c>
      <c r="B20" s="199">
        <f>'DIA 12'!G$50</f>
        <v>530.05454999999995</v>
      </c>
      <c r="C20" s="199">
        <f>'DIA 12'!G$51</f>
        <v>299.3218</v>
      </c>
      <c r="D20" s="199">
        <f>'DIA 12'!G$55</f>
        <v>0</v>
      </c>
      <c r="E20" s="203">
        <f t="shared" si="0"/>
        <v>530.05454999999995</v>
      </c>
      <c r="F20" s="199">
        <f>'DIA 12'!K$50</f>
        <v>0</v>
      </c>
      <c r="G20" s="199">
        <f>'DIA 12'!K$51</f>
        <v>0</v>
      </c>
      <c r="H20" s="199">
        <f>'DIA 12'!K$55</f>
        <v>0</v>
      </c>
      <c r="I20" s="60">
        <f t="shared" si="1"/>
        <v>530.05454999999995</v>
      </c>
      <c r="J20" s="60">
        <f t="shared" si="2"/>
        <v>0</v>
      </c>
    </row>
    <row r="21" spans="1:10" x14ac:dyDescent="0.25">
      <c r="A21" s="46">
        <f>'DIA 13'!B$6</f>
        <v>44786</v>
      </c>
      <c r="B21" s="199">
        <f>'DIA 13'!G$50</f>
        <v>381.44752500000004</v>
      </c>
      <c r="C21" s="199">
        <f>'DIA 13'!G$51</f>
        <v>577.94875000000002</v>
      </c>
      <c r="D21" s="199">
        <f>'DIA 13'!G$55</f>
        <v>0</v>
      </c>
      <c r="E21" s="203">
        <f t="shared" si="0"/>
        <v>381.44752500000004</v>
      </c>
      <c r="F21" s="199">
        <f>'DIA 13'!K$50</f>
        <v>0</v>
      </c>
      <c r="G21" s="199">
        <f>'DIA 13'!K$51</f>
        <v>0</v>
      </c>
      <c r="H21" s="199">
        <f>'DIA 13'!K$55</f>
        <v>0</v>
      </c>
      <c r="I21" s="60">
        <f t="shared" si="1"/>
        <v>381.44752500000004</v>
      </c>
      <c r="J21" s="60">
        <f t="shared" si="2"/>
        <v>0</v>
      </c>
    </row>
    <row r="22" spans="1:10" x14ac:dyDescent="0.25">
      <c r="A22" s="46">
        <f>'DIA 14'!B$6</f>
        <v>44787</v>
      </c>
      <c r="B22" s="199">
        <f>'DIA 14'!G$50</f>
        <v>378.18220000000002</v>
      </c>
      <c r="C22" s="199">
        <f>'DIA 14'!G$51</f>
        <v>155.49210000000002</v>
      </c>
      <c r="D22" s="199">
        <f>'DIA 14'!G$55</f>
        <v>0</v>
      </c>
      <c r="E22" s="203">
        <f t="shared" si="0"/>
        <v>378.18220000000002</v>
      </c>
      <c r="F22" s="199">
        <f>'DIA 14'!K$50</f>
        <v>378.18</v>
      </c>
      <c r="G22" s="199">
        <f>'DIA 14'!K$51</f>
        <v>155.49</v>
      </c>
      <c r="H22" s="199">
        <f>'DIA 14'!K$55</f>
        <v>0</v>
      </c>
      <c r="I22" s="60">
        <f t="shared" si="1"/>
        <v>2.200000000016189E-3</v>
      </c>
      <c r="J22" s="60">
        <f t="shared" si="2"/>
        <v>0</v>
      </c>
    </row>
    <row r="23" spans="1:10" x14ac:dyDescent="0.25">
      <c r="A23" s="46">
        <f>'DIA 15'!B$6</f>
        <v>44788</v>
      </c>
      <c r="B23" s="199">
        <f>'DIA 15'!G$50</f>
        <v>387.21395000000001</v>
      </c>
      <c r="C23" s="199">
        <f>'DIA 15'!G$51</f>
        <v>490.78609999999998</v>
      </c>
      <c r="D23" s="199">
        <f>'DIA 15'!G$55</f>
        <v>0</v>
      </c>
      <c r="E23" s="203">
        <f t="shared" si="0"/>
        <v>387.21395000000001</v>
      </c>
      <c r="F23" s="199">
        <f>'DIA 15'!K$50</f>
        <v>387.21</v>
      </c>
      <c r="G23" s="199">
        <f>'DIA 15'!K$51</f>
        <v>490.79</v>
      </c>
      <c r="H23" s="199">
        <f>'DIA 15'!K$55</f>
        <v>0</v>
      </c>
      <c r="I23" s="60">
        <f t="shared" si="1"/>
        <v>3.9500000000316504E-3</v>
      </c>
      <c r="J23" s="60">
        <f t="shared" si="2"/>
        <v>0</v>
      </c>
    </row>
    <row r="24" spans="1:10" x14ac:dyDescent="0.25">
      <c r="A24" s="46">
        <f>'DIA 16'!B$6</f>
        <v>44758</v>
      </c>
      <c r="B24" s="199">
        <f>'DIA 16'!G$50</f>
        <v>46.409299999999995</v>
      </c>
      <c r="C24" s="199">
        <f>'DIA 16'!G$51</f>
        <v>119.28349999999999</v>
      </c>
      <c r="D24" s="199">
        <f>'DIA 16'!G$55</f>
        <v>0</v>
      </c>
      <c r="E24" s="203">
        <f t="shared" si="0"/>
        <v>46.409299999999995</v>
      </c>
      <c r="F24" s="199">
        <f>'DIA 16'!K$50</f>
        <v>46.41</v>
      </c>
      <c r="G24" s="199">
        <f>'DIA 16'!K$51</f>
        <v>119.28</v>
      </c>
      <c r="H24" s="199">
        <f>'DIA 16'!K$55</f>
        <v>0</v>
      </c>
      <c r="I24" s="60">
        <f t="shared" si="1"/>
        <v>-7.0000000000192131E-4</v>
      </c>
      <c r="J24" s="60">
        <f t="shared" si="2"/>
        <v>0</v>
      </c>
    </row>
    <row r="25" spans="1:10" x14ac:dyDescent="0.25">
      <c r="A25" s="46">
        <f>'DIA 17'!B$6</f>
        <v>44759</v>
      </c>
      <c r="B25" s="199">
        <f>'DIA 17'!G$50</f>
        <v>120.36047500000001</v>
      </c>
      <c r="C25" s="199">
        <f>'DIA 17'!G$51</f>
        <v>106.15344999999999</v>
      </c>
      <c r="D25" s="199">
        <f>'DIA 17'!G$55</f>
        <v>0</v>
      </c>
      <c r="E25" s="203">
        <f t="shared" si="0"/>
        <v>120.36047500000001</v>
      </c>
      <c r="F25" s="199">
        <f>'DIA 17'!K$50</f>
        <v>0</v>
      </c>
      <c r="G25" s="199">
        <f>'DIA 17'!K$51</f>
        <v>0</v>
      </c>
      <c r="H25" s="199">
        <f>'DIA 17'!K$55</f>
        <v>0</v>
      </c>
      <c r="I25" s="60">
        <f t="shared" si="1"/>
        <v>120.36047500000001</v>
      </c>
      <c r="J25" s="60">
        <f t="shared" si="2"/>
        <v>0</v>
      </c>
    </row>
    <row r="26" spans="1:10" x14ac:dyDescent="0.25">
      <c r="A26" s="46">
        <f>'DIA 18'!B$6</f>
        <v>44760</v>
      </c>
      <c r="B26" s="199">
        <f>'DIA 18'!G$50</f>
        <v>100.37152500000001</v>
      </c>
      <c r="C26" s="199">
        <f>'DIA 18'!G$51</f>
        <v>251.99255000000002</v>
      </c>
      <c r="D26" s="199">
        <f>'DIA 18'!G$55</f>
        <v>0</v>
      </c>
      <c r="E26" s="203">
        <f t="shared" si="0"/>
        <v>100.37152500000001</v>
      </c>
      <c r="F26" s="199">
        <f>'DIA 18'!K$50</f>
        <v>100.37</v>
      </c>
      <c r="G26" s="199">
        <f>'DIA 18'!K$51</f>
        <v>251.99</v>
      </c>
      <c r="H26" s="199">
        <f>'DIA 18'!K$55</f>
        <v>0</v>
      </c>
      <c r="I26" s="60">
        <f t="shared" si="1"/>
        <v>1.5250000000008868E-3</v>
      </c>
      <c r="J26" s="60">
        <f t="shared" si="2"/>
        <v>0</v>
      </c>
    </row>
    <row r="27" spans="1:10" x14ac:dyDescent="0.25">
      <c r="A27" s="46">
        <f>'DIA 19'!B$6</f>
        <v>44761</v>
      </c>
      <c r="B27" s="199">
        <f>'DIA 19'!G$50</f>
        <v>102.21757499999998</v>
      </c>
      <c r="C27" s="199">
        <f>'DIA 19'!G$51</f>
        <v>120.2488</v>
      </c>
      <c r="D27" s="199">
        <f>'DIA 19'!G$55</f>
        <v>0</v>
      </c>
      <c r="E27" s="203">
        <f t="shared" si="0"/>
        <v>102.21757499999998</v>
      </c>
      <c r="F27" s="199">
        <f>'DIA 19'!K$50</f>
        <v>102.22</v>
      </c>
      <c r="G27" s="199">
        <f>'DIA 19'!K$51</f>
        <v>120.25</v>
      </c>
      <c r="H27" s="199">
        <f>'DIA 19'!K$55</f>
        <v>0</v>
      </c>
      <c r="I27" s="60">
        <f t="shared" si="1"/>
        <v>-2.4250000000165528E-3</v>
      </c>
      <c r="J27" s="60">
        <f t="shared" si="2"/>
        <v>0</v>
      </c>
    </row>
    <row r="28" spans="1:10" x14ac:dyDescent="0.25">
      <c r="A28" s="46">
        <f>'DIA 20'!B$6</f>
        <v>44732</v>
      </c>
      <c r="B28" s="199">
        <f>'DIA 20'!G$50</f>
        <v>61.922075</v>
      </c>
      <c r="C28" s="199">
        <f>'DIA 20'!G$51</f>
        <v>134.62980000000002</v>
      </c>
      <c r="D28" s="199">
        <f>'DIA 20'!G$55</f>
        <v>0</v>
      </c>
      <c r="E28" s="203">
        <f t="shared" si="0"/>
        <v>61.922075</v>
      </c>
      <c r="F28" s="199">
        <f>'DIA 20'!K$50</f>
        <v>0</v>
      </c>
      <c r="G28" s="199">
        <f>'DIA 20'!K$51</f>
        <v>0</v>
      </c>
      <c r="H28" s="199">
        <f>'DIA 20'!K$55</f>
        <v>0</v>
      </c>
      <c r="I28" s="60">
        <f t="shared" si="1"/>
        <v>61.922075</v>
      </c>
      <c r="J28" s="60">
        <f t="shared" si="2"/>
        <v>0</v>
      </c>
    </row>
    <row r="29" spans="1:10" x14ac:dyDescent="0.25">
      <c r="A29" s="46">
        <f>'DIA 21'!B$6</f>
        <v>44763</v>
      </c>
      <c r="B29" s="199">
        <f>'DIA 21'!G$50</f>
        <v>233.58487499999998</v>
      </c>
      <c r="C29" s="199">
        <f>'DIA 21'!G$51</f>
        <v>154.73364999999998</v>
      </c>
      <c r="D29" s="199">
        <f>'DIA 21'!G$55</f>
        <v>0</v>
      </c>
      <c r="E29" s="203">
        <f t="shared" si="0"/>
        <v>233.58487499999998</v>
      </c>
      <c r="F29" s="199">
        <f>'DIA 21'!K$50</f>
        <v>0</v>
      </c>
      <c r="G29" s="199">
        <f>'DIA 21'!K$51</f>
        <v>0</v>
      </c>
      <c r="H29" s="199">
        <f>'DIA 21'!K$55</f>
        <v>0</v>
      </c>
      <c r="I29" s="60">
        <f t="shared" si="1"/>
        <v>233.58487499999998</v>
      </c>
      <c r="J29" s="60">
        <f t="shared" si="2"/>
        <v>0</v>
      </c>
    </row>
    <row r="30" spans="1:10" x14ac:dyDescent="0.25">
      <c r="A30" s="46">
        <f>'DIA 22'!B$6</f>
        <v>44764</v>
      </c>
      <c r="B30" s="199">
        <f>'DIA 22'!G$50</f>
        <v>200.21702500000001</v>
      </c>
      <c r="C30" s="199">
        <f>'DIA 22'!G$51</f>
        <v>31.047199999999997</v>
      </c>
      <c r="D30" s="199">
        <f>'DIA 22'!G$55</f>
        <v>0</v>
      </c>
      <c r="E30" s="203">
        <f t="shared" si="0"/>
        <v>200.21702500000001</v>
      </c>
      <c r="F30" s="199">
        <f>'DIA 22'!K$50</f>
        <v>200.22</v>
      </c>
      <c r="G30" s="199">
        <f>'DIA 22'!K$51</f>
        <v>31.05</v>
      </c>
      <c r="H30" s="199">
        <f>'DIA 22'!K$55</f>
        <v>0</v>
      </c>
      <c r="I30" s="60">
        <f t="shared" si="1"/>
        <v>-2.9749999999921783E-3</v>
      </c>
      <c r="J30" s="60">
        <f t="shared" si="2"/>
        <v>0</v>
      </c>
    </row>
    <row r="31" spans="1:10" x14ac:dyDescent="0.25">
      <c r="A31" s="46">
        <f>'DIA 23'!B$6</f>
        <v>44765</v>
      </c>
      <c r="B31" s="199">
        <f>'DIA 23'!G$50</f>
        <v>458.84267499999999</v>
      </c>
      <c r="C31" s="199">
        <f>'DIA 23'!G$51</f>
        <v>235.8878</v>
      </c>
      <c r="D31" s="199">
        <f>'DIA 23'!G$55</f>
        <v>0</v>
      </c>
      <c r="E31" s="203">
        <f t="shared" si="0"/>
        <v>458.84267499999999</v>
      </c>
      <c r="F31" s="199">
        <f>'DIA 23'!K$50</f>
        <v>457.11</v>
      </c>
      <c r="G31" s="199">
        <f>'DIA 23'!K$51</f>
        <v>231.96</v>
      </c>
      <c r="H31" s="199">
        <f>'DIA 23'!K$55</f>
        <v>0</v>
      </c>
      <c r="I31" s="60">
        <f t="shared" si="1"/>
        <v>1.732674999999972</v>
      </c>
      <c r="J31" s="60">
        <f t="shared" si="2"/>
        <v>0</v>
      </c>
    </row>
    <row r="32" spans="1:10" x14ac:dyDescent="0.25">
      <c r="A32" s="46">
        <f>'DIA 24'!B$6</f>
        <v>44766</v>
      </c>
      <c r="B32" s="199">
        <f>'DIA 24'!G$50</f>
        <v>195.64159999999998</v>
      </c>
      <c r="C32" s="199">
        <f>'DIA 24'!G$51</f>
        <v>91.260249999999999</v>
      </c>
      <c r="D32" s="199">
        <f>'DIA 24'!G$55</f>
        <v>0</v>
      </c>
      <c r="E32" s="203">
        <f t="shared" si="0"/>
        <v>195.64159999999998</v>
      </c>
      <c r="F32" s="199">
        <f>'DIA 24'!K$50</f>
        <v>195.64</v>
      </c>
      <c r="G32" s="199">
        <f>'DIA 24'!K$51</f>
        <v>91.26</v>
      </c>
      <c r="H32" s="199">
        <f>'DIA 24'!K$55</f>
        <v>0</v>
      </c>
      <c r="I32" s="60">
        <f t="shared" si="1"/>
        <v>1.5999999999962711E-3</v>
      </c>
      <c r="J32" s="60">
        <f t="shared" si="2"/>
        <v>0</v>
      </c>
    </row>
    <row r="33" spans="1:10" x14ac:dyDescent="0.25">
      <c r="A33" s="46">
        <f>'DIA 25'!B$6</f>
        <v>44767</v>
      </c>
      <c r="B33" s="199">
        <f>'DIA 25'!G$50</f>
        <v>335.197025</v>
      </c>
      <c r="C33" s="199">
        <f>'DIA 25'!G$51</f>
        <v>322.21320000000003</v>
      </c>
      <c r="D33" s="199">
        <f>'DIA 25'!G$55</f>
        <v>0</v>
      </c>
      <c r="E33" s="203">
        <f t="shared" si="0"/>
        <v>335.197025</v>
      </c>
      <c r="F33" s="199">
        <f>'DIA 25'!K$50</f>
        <v>0</v>
      </c>
      <c r="G33" s="199">
        <f>'DIA 25'!K$51</f>
        <v>0</v>
      </c>
      <c r="H33" s="199">
        <f>'DIA 25'!K$55</f>
        <v>0</v>
      </c>
      <c r="I33" s="60">
        <f t="shared" si="1"/>
        <v>335.197025</v>
      </c>
      <c r="J33" s="60">
        <f t="shared" si="2"/>
        <v>0</v>
      </c>
    </row>
    <row r="34" spans="1:10" x14ac:dyDescent="0.25">
      <c r="A34" s="46">
        <f>'DIA 26'!B$6</f>
        <v>44768</v>
      </c>
      <c r="B34" s="199">
        <f>'DIA 26'!G$50</f>
        <v>147.832875</v>
      </c>
      <c r="C34" s="199">
        <f>'DIA 26'!G$51</f>
        <v>537.68195000000003</v>
      </c>
      <c r="D34" s="199">
        <f>'DIA 26'!G$55</f>
        <v>0</v>
      </c>
      <c r="E34" s="203">
        <f t="shared" si="0"/>
        <v>147.832875</v>
      </c>
      <c r="F34" s="199">
        <f>'DIA 26'!K$50</f>
        <v>0</v>
      </c>
      <c r="G34" s="199">
        <f>'DIA 26'!K$51</f>
        <v>0</v>
      </c>
      <c r="H34" s="199">
        <f>'DIA 26'!K$55</f>
        <v>0</v>
      </c>
      <c r="I34" s="60">
        <f t="shared" si="1"/>
        <v>147.832875</v>
      </c>
      <c r="J34" s="60">
        <f t="shared" si="2"/>
        <v>0</v>
      </c>
    </row>
    <row r="35" spans="1:10" x14ac:dyDescent="0.25">
      <c r="A35" s="46">
        <f>'DIA 27'!B$6</f>
        <v>44769</v>
      </c>
      <c r="B35" s="199">
        <f>'DIA 27'!G$50</f>
        <v>407.66937500000006</v>
      </c>
      <c r="C35" s="199">
        <f>'DIA 27'!G$51</f>
        <v>738.27719999999999</v>
      </c>
      <c r="D35" s="199">
        <f>'DIA 27'!G$55</f>
        <v>0</v>
      </c>
      <c r="E35" s="203">
        <f t="shared" si="0"/>
        <v>407.66937500000006</v>
      </c>
      <c r="F35" s="199">
        <f>'DIA 27'!K$50</f>
        <v>0</v>
      </c>
      <c r="G35" s="199">
        <f>'DIA 27'!K$51</f>
        <v>0</v>
      </c>
      <c r="H35" s="199">
        <f>'DIA 27'!K$55</f>
        <v>0</v>
      </c>
      <c r="I35" s="60">
        <f t="shared" si="1"/>
        <v>407.66937500000006</v>
      </c>
      <c r="J35" s="60">
        <f t="shared" si="2"/>
        <v>0</v>
      </c>
    </row>
    <row r="36" spans="1:10" x14ac:dyDescent="0.25">
      <c r="A36" s="46">
        <f>'DIA 28'!B$6</f>
        <v>44770</v>
      </c>
      <c r="B36" s="199">
        <f>'DIA 28'!G$50</f>
        <v>419.59922499999999</v>
      </c>
      <c r="C36" s="199">
        <f>'DIA 28'!G$51</f>
        <v>537.30764999999997</v>
      </c>
      <c r="D36" s="199">
        <f>'DIA 28'!G$55</f>
        <v>0</v>
      </c>
      <c r="E36" s="203">
        <f t="shared" si="0"/>
        <v>419.59922499999999</v>
      </c>
      <c r="F36" s="199">
        <f>'DIA 28'!K$50</f>
        <v>0</v>
      </c>
      <c r="G36" s="199">
        <f>'DIA 28'!K$51</f>
        <v>0</v>
      </c>
      <c r="H36" s="199">
        <f>'DIA 28'!K$55</f>
        <v>0</v>
      </c>
      <c r="I36" s="60">
        <f t="shared" si="1"/>
        <v>419.59922499999999</v>
      </c>
      <c r="J36" s="60">
        <f t="shared" si="2"/>
        <v>0</v>
      </c>
    </row>
    <row r="37" spans="1:10" x14ac:dyDescent="0.25">
      <c r="A37" s="46">
        <f>'DIA 29'!B$6</f>
        <v>44771</v>
      </c>
      <c r="B37" s="199">
        <f>'DIA 29'!G$50</f>
        <v>675.59475000000009</v>
      </c>
      <c r="C37" s="199">
        <f>'DIA 29'!G$51</f>
        <v>187.45535000000001</v>
      </c>
      <c r="D37" s="199">
        <f>'DIA 29'!G$55</f>
        <v>0</v>
      </c>
      <c r="E37" s="203">
        <f t="shared" si="0"/>
        <v>675.59475000000009</v>
      </c>
      <c r="F37" s="199">
        <f>'DIA 29'!K$50</f>
        <v>0</v>
      </c>
      <c r="G37" s="199">
        <f>'DIA 29'!K$51</f>
        <v>0</v>
      </c>
      <c r="H37" s="199">
        <f>'DIA 29'!K$55</f>
        <v>0</v>
      </c>
      <c r="I37" s="60">
        <f t="shared" si="1"/>
        <v>675.59475000000009</v>
      </c>
      <c r="J37" s="60">
        <f t="shared" si="2"/>
        <v>0</v>
      </c>
    </row>
    <row r="38" spans="1:10" x14ac:dyDescent="0.25">
      <c r="A38" s="46">
        <f>'DIA 30'!B$6</f>
        <v>44772</v>
      </c>
      <c r="B38" s="199">
        <f>'DIA 30'!G$50</f>
        <v>461.760625</v>
      </c>
      <c r="C38" s="199">
        <f>'DIA 30'!G$51</f>
        <v>252.5343</v>
      </c>
      <c r="D38" s="199">
        <f>'DIA 30'!G$55</f>
        <v>0</v>
      </c>
      <c r="E38" s="203">
        <f t="shared" si="0"/>
        <v>461.760625</v>
      </c>
      <c r="F38" s="199">
        <f>'DIA 30'!K$50</f>
        <v>0</v>
      </c>
      <c r="G38" s="199">
        <f>'DIA 30'!K$51</f>
        <v>0</v>
      </c>
      <c r="H38" s="199">
        <f>'DIA 30'!K$55</f>
        <v>0</v>
      </c>
      <c r="I38" s="60">
        <f t="shared" si="1"/>
        <v>461.760625</v>
      </c>
      <c r="J38" s="60">
        <f t="shared" si="2"/>
        <v>0</v>
      </c>
    </row>
    <row r="39" spans="1:10" x14ac:dyDescent="0.25">
      <c r="A39" s="46">
        <f>'DIA 31'!B$6</f>
        <v>44773</v>
      </c>
      <c r="B39" s="199">
        <f>'DIA 31'!G$50</f>
        <v>382.07279999999997</v>
      </c>
      <c r="C39" s="199">
        <f>'DIA 31'!G$51</f>
        <v>95.357849999999999</v>
      </c>
      <c r="D39" s="199">
        <f>'DIA 31'!G$55</f>
        <v>0</v>
      </c>
      <c r="E39" s="203">
        <f t="shared" si="0"/>
        <v>382.07279999999997</v>
      </c>
      <c r="F39" s="199">
        <f>'DIA 31'!K$50</f>
        <v>0</v>
      </c>
      <c r="G39" s="199">
        <f>'DIA 31'!K$51</f>
        <v>0</v>
      </c>
      <c r="H39" s="199">
        <f>'DIA 31'!K$55</f>
        <v>0</v>
      </c>
      <c r="I39" s="60">
        <f t="shared" si="1"/>
        <v>382.07279999999997</v>
      </c>
      <c r="J39" s="60">
        <f t="shared" si="2"/>
        <v>0</v>
      </c>
    </row>
    <row r="40" spans="1:10" x14ac:dyDescent="0.25">
      <c r="A40" s="53" t="s">
        <v>38</v>
      </c>
      <c r="B40" s="133">
        <f>SUM(B9:B39)</f>
        <v>9108.5397250000005</v>
      </c>
      <c r="C40" s="133">
        <f>SUM(C9:C39)</f>
        <v>8656.1110499999995</v>
      </c>
      <c r="D40" s="133">
        <f>SUM(D9:D38)</f>
        <v>0</v>
      </c>
      <c r="E40" s="133">
        <f>SUM(E9:E39)</f>
        <v>9108.5397250000005</v>
      </c>
    </row>
  </sheetData>
  <mergeCells count="6">
    <mergeCell ref="E7:F7"/>
    <mergeCell ref="A1:A3"/>
    <mergeCell ref="B1:J1"/>
    <mergeCell ref="B2:J2"/>
    <mergeCell ref="B3:J3"/>
    <mergeCell ref="B4:H4"/>
  </mergeCells>
  <conditionalFormatting sqref="I9:I39">
    <cfRule type="cellIs" dxfId="82" priority="5" operator="greaterThan">
      <formula>" Bs.  0"</formula>
    </cfRule>
    <cfRule type="cellIs" dxfId="81" priority="6" operator="lessThan">
      <formula>" Bs.  -2,00 "</formula>
    </cfRule>
  </conditionalFormatting>
  <conditionalFormatting sqref="I9:I39">
    <cfRule type="expression" dxfId="80" priority="4">
      <formula>I9=0</formula>
    </cfRule>
  </conditionalFormatting>
  <conditionalFormatting sqref="J9:J39">
    <cfRule type="cellIs" dxfId="79" priority="2" operator="greaterThan">
      <formula>" Bs.  0"</formula>
    </cfRule>
    <cfRule type="cellIs" dxfId="78" priority="3" operator="lessThan">
      <formula>" Bs.  -2,00 "</formula>
    </cfRule>
  </conditionalFormatting>
  <conditionalFormatting sqref="J9:J39">
    <cfRule type="expression" dxfId="77" priority="1">
      <formula>J9=0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8" zoomScale="90" zoomScaleNormal="90" workbookViewId="0">
      <selection activeCell="E43" sqref="E43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88"/>
      <c r="B1" s="292" t="s">
        <v>12</v>
      </c>
      <c r="C1" s="293"/>
      <c r="D1" s="293"/>
      <c r="E1" s="293"/>
      <c r="F1" s="293"/>
      <c r="G1" s="293"/>
      <c r="H1" s="293"/>
      <c r="I1" s="294"/>
    </row>
    <row r="2" spans="1:9" s="84" customFormat="1" ht="16.5" customHeight="1" x14ac:dyDescent="0.25">
      <c r="A2" s="288"/>
      <c r="B2" s="295" t="s">
        <v>153</v>
      </c>
      <c r="C2" s="296"/>
      <c r="D2" s="296"/>
      <c r="E2" s="296"/>
      <c r="F2" s="296"/>
      <c r="G2" s="296"/>
      <c r="H2" s="296"/>
      <c r="I2" s="297"/>
    </row>
    <row r="3" spans="1:9" s="84" customFormat="1" ht="16.5" customHeight="1" x14ac:dyDescent="0.25">
      <c r="A3" s="288"/>
      <c r="B3" s="291"/>
      <c r="C3" s="291"/>
      <c r="D3" s="291"/>
      <c r="E3" s="291"/>
      <c r="F3" s="291"/>
      <c r="G3" s="291"/>
      <c r="H3" s="291"/>
      <c r="I3" s="291"/>
    </row>
    <row r="4" spans="1:9" x14ac:dyDescent="0.25">
      <c r="B4" s="291"/>
      <c r="C4" s="291"/>
      <c r="D4" s="291"/>
      <c r="E4" s="291"/>
      <c r="F4" s="291"/>
      <c r="G4" s="291"/>
    </row>
    <row r="6" spans="1:9" ht="15.75" thickBot="1" x14ac:dyDescent="0.3"/>
    <row r="7" spans="1:9" x14ac:dyDescent="0.25">
      <c r="E7" s="289" t="s">
        <v>14</v>
      </c>
      <c r="F7" s="290"/>
    </row>
    <row r="8" spans="1:9" ht="27" customHeight="1" x14ac:dyDescent="0.25">
      <c r="A8" s="45" t="s">
        <v>33</v>
      </c>
      <c r="B8" s="45" t="s">
        <v>154</v>
      </c>
      <c r="C8" s="45" t="s">
        <v>155</v>
      </c>
      <c r="D8" s="52" t="s">
        <v>27</v>
      </c>
      <c r="E8" s="49" t="s">
        <v>154</v>
      </c>
      <c r="F8" s="50" t="s">
        <v>155</v>
      </c>
      <c r="G8" s="51" t="s">
        <v>53</v>
      </c>
      <c r="H8" s="51" t="s">
        <v>54</v>
      </c>
    </row>
    <row r="9" spans="1:9" x14ac:dyDescent="0.25">
      <c r="A9" s="46">
        <f>'DIA 1'!B$6</f>
        <v>44774</v>
      </c>
      <c r="B9" s="199">
        <f>+'DIA 1'!G$48</f>
        <v>0</v>
      </c>
      <c r="C9" s="199">
        <f>+'DIA 1'!G$54</f>
        <v>0</v>
      </c>
      <c r="D9" s="203">
        <f>B9+C9</f>
        <v>0</v>
      </c>
      <c r="E9" s="204">
        <f>+'DIA 1'!K$48</f>
        <v>0</v>
      </c>
      <c r="F9" s="205">
        <f>+'DIA 1'!K$54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44775</v>
      </c>
      <c r="B10" s="199">
        <f>'DIA 2'!G$48</f>
        <v>0</v>
      </c>
      <c r="C10" s="199">
        <f>'DIA 2'!G$54</f>
        <v>0</v>
      </c>
      <c r="D10" s="203">
        <f t="shared" ref="D10:D39" si="0">B10+C10</f>
        <v>0</v>
      </c>
      <c r="E10" s="199">
        <f>'DIA 2'!K$48</f>
        <v>0</v>
      </c>
      <c r="F10" s="199">
        <f>'DIA 2'!K$54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44776</v>
      </c>
      <c r="B11" s="199">
        <f>'DIA 3'!G$48</f>
        <v>0</v>
      </c>
      <c r="C11" s="199">
        <f>'DIA 3'!G$54</f>
        <v>0</v>
      </c>
      <c r="D11" s="203">
        <f t="shared" si="0"/>
        <v>0</v>
      </c>
      <c r="E11" s="199">
        <f>'DIA 3'!K$48</f>
        <v>0</v>
      </c>
      <c r="F11" s="199">
        <f>'DIA 3'!K$54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44777</v>
      </c>
      <c r="B12" s="199">
        <f>'DIA 4'!G$48</f>
        <v>0</v>
      </c>
      <c r="C12" s="199">
        <f>'DIA 4'!G$54</f>
        <v>0</v>
      </c>
      <c r="D12" s="203">
        <f t="shared" si="0"/>
        <v>0</v>
      </c>
      <c r="E12" s="199">
        <f>'DIA 4'!K$48</f>
        <v>0</v>
      </c>
      <c r="F12" s="199">
        <f>'DIA 4'!K$54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44778</v>
      </c>
      <c r="B13" s="199">
        <f>'DIA 5'!G$48</f>
        <v>0</v>
      </c>
      <c r="C13" s="199">
        <f>'DIA 5'!G$54</f>
        <v>0</v>
      </c>
      <c r="D13" s="203">
        <f t="shared" si="0"/>
        <v>0</v>
      </c>
      <c r="E13" s="199">
        <f>'DIA 5'!K$48</f>
        <v>0</v>
      </c>
      <c r="F13" s="199">
        <f>'DIA 5'!K$54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44779</v>
      </c>
      <c r="B14" s="199">
        <f>'DIA 6'!G$48</f>
        <v>0</v>
      </c>
      <c r="C14" s="199">
        <f>'DIA 6'!G$54</f>
        <v>0</v>
      </c>
      <c r="D14" s="203">
        <f t="shared" si="0"/>
        <v>0</v>
      </c>
      <c r="E14" s="199">
        <f>'DIA 6'!K$48</f>
        <v>0</v>
      </c>
      <c r="F14" s="199">
        <f>'DIA 6'!K$54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44780</v>
      </c>
      <c r="B15" s="199">
        <f>'DIA 7'!G$48</f>
        <v>0</v>
      </c>
      <c r="C15" s="199">
        <f>'DIA 7'!G$54</f>
        <v>0</v>
      </c>
      <c r="D15" s="203">
        <f t="shared" si="0"/>
        <v>0</v>
      </c>
      <c r="E15" s="199">
        <f>'DIA 7'!K$48</f>
        <v>0</v>
      </c>
      <c r="F15" s="199">
        <f>'DIA 7'!K$54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44781</v>
      </c>
      <c r="B16" s="199">
        <f>'DIA 8'!G$48</f>
        <v>0</v>
      </c>
      <c r="C16" s="199">
        <f>'DIA 8'!G$54</f>
        <v>0</v>
      </c>
      <c r="D16" s="203">
        <f t="shared" si="0"/>
        <v>0</v>
      </c>
      <c r="E16" s="199">
        <f>'DIA 8'!K$48</f>
        <v>0</v>
      </c>
      <c r="F16" s="199">
        <f>'DIA 8'!K$54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44782</v>
      </c>
      <c r="B17" s="199">
        <f>'DIA 9'!G$48</f>
        <v>0</v>
      </c>
      <c r="C17" s="199">
        <f>'DIA 9'!G$54</f>
        <v>0</v>
      </c>
      <c r="D17" s="203">
        <f t="shared" si="0"/>
        <v>0</v>
      </c>
      <c r="E17" s="199">
        <f>'DIA 9'!K$48</f>
        <v>0</v>
      </c>
      <c r="F17" s="199">
        <f>'DIA 9'!K$54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44783</v>
      </c>
      <c r="B18" s="199">
        <f>'DIA 10'!G$48</f>
        <v>0</v>
      </c>
      <c r="C18" s="199">
        <f>'DIA 10'!G$54</f>
        <v>0</v>
      </c>
      <c r="D18" s="203">
        <f t="shared" si="0"/>
        <v>0</v>
      </c>
      <c r="E18" s="199">
        <f>'DIA 10'!K$48</f>
        <v>0</v>
      </c>
      <c r="F18" s="199">
        <f>'DIA 10'!K$54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44784</v>
      </c>
      <c r="B19" s="199">
        <f>'DIA 11'!G$48</f>
        <v>0</v>
      </c>
      <c r="C19" s="199">
        <f>'DIA 11'!G$54</f>
        <v>0</v>
      </c>
      <c r="D19" s="203">
        <f t="shared" si="0"/>
        <v>0</v>
      </c>
      <c r="E19" s="199">
        <f>'DIA 11'!K$48</f>
        <v>0</v>
      </c>
      <c r="F19" s="199">
        <f>'DIA 11'!K$54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44785</v>
      </c>
      <c r="B20" s="199">
        <f>'DIA 12'!G$48</f>
        <v>0</v>
      </c>
      <c r="C20" s="199">
        <f>'DIA 12'!G$54</f>
        <v>0</v>
      </c>
      <c r="D20" s="203">
        <f t="shared" si="0"/>
        <v>0</v>
      </c>
      <c r="E20" s="199">
        <f>'DIA 12'!K$48</f>
        <v>0</v>
      </c>
      <c r="F20" s="199">
        <f>'DIA 12'!K$54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44786</v>
      </c>
      <c r="B21" s="199">
        <f>'DIA 13'!G$48</f>
        <v>0</v>
      </c>
      <c r="C21" s="199">
        <f>'DIA 13'!G$54</f>
        <v>0</v>
      </c>
      <c r="D21" s="203">
        <f t="shared" si="0"/>
        <v>0</v>
      </c>
      <c r="E21" s="199">
        <f>'DIA 13'!K$48</f>
        <v>0</v>
      </c>
      <c r="F21" s="199">
        <f>'DIA 13'!K$54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44787</v>
      </c>
      <c r="B22" s="199">
        <f>'DIA 14'!G$48</f>
        <v>0</v>
      </c>
      <c r="C22" s="199">
        <f>'DIA 14'!G$54</f>
        <v>0</v>
      </c>
      <c r="D22" s="203">
        <f t="shared" si="0"/>
        <v>0</v>
      </c>
      <c r="E22" s="199">
        <f>'DIA 14'!K$48</f>
        <v>0</v>
      </c>
      <c r="F22" s="199">
        <f>'DIA 14'!K$54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44788</v>
      </c>
      <c r="B23" s="199">
        <f>'DIA 15'!G$48</f>
        <v>0</v>
      </c>
      <c r="C23" s="199">
        <f>'DIA 15'!G$54</f>
        <v>0</v>
      </c>
      <c r="D23" s="203">
        <f t="shared" si="0"/>
        <v>0</v>
      </c>
      <c r="E23" s="199">
        <f>'DIA 15'!K$48</f>
        <v>0</v>
      </c>
      <c r="F23" s="199">
        <f>'DIA 15'!K$54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16'!G$48</f>
        <v>0</v>
      </c>
      <c r="C24" s="199">
        <f>'DIA 16'!G$54</f>
        <v>0</v>
      </c>
      <c r="D24" s="203">
        <f t="shared" si="0"/>
        <v>0</v>
      </c>
      <c r="E24" s="199">
        <f>'DIA 16'!K$48</f>
        <v>0</v>
      </c>
      <c r="F24" s="199">
        <f>'DIA 16'!K$54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44759</v>
      </c>
      <c r="B25" s="199">
        <f>'DIA 17'!G$48</f>
        <v>0</v>
      </c>
      <c r="C25" s="199">
        <f>'DIA 17'!G$54</f>
        <v>0</v>
      </c>
      <c r="D25" s="203">
        <f t="shared" si="0"/>
        <v>0</v>
      </c>
      <c r="E25" s="199">
        <f>'DIA 17'!K$48</f>
        <v>0</v>
      </c>
      <c r="F25" s="199">
        <f>'DIA 17'!K$54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44760</v>
      </c>
      <c r="B26" s="199">
        <f>'DIA 18'!G$48</f>
        <v>0</v>
      </c>
      <c r="C26" s="199">
        <f>'DIA 18'!G$54</f>
        <v>0</v>
      </c>
      <c r="D26" s="203">
        <f t="shared" si="0"/>
        <v>0</v>
      </c>
      <c r="E26" s="199">
        <f>'DIA 18'!K$48</f>
        <v>0</v>
      </c>
      <c r="F26" s="199">
        <f>'DIA 18'!K$54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44761</v>
      </c>
      <c r="B27" s="199">
        <f>'DIA 19'!G$48</f>
        <v>0</v>
      </c>
      <c r="C27" s="199">
        <f>'DIA 19'!G$54</f>
        <v>0</v>
      </c>
      <c r="D27" s="203">
        <f t="shared" si="0"/>
        <v>0</v>
      </c>
      <c r="E27" s="199">
        <f>'DIA 19'!K$48</f>
        <v>0</v>
      </c>
      <c r="F27" s="199">
        <f>'DIA 19'!K$54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44732</v>
      </c>
      <c r="B28" s="199">
        <f>'DIA 20'!G$48</f>
        <v>0</v>
      </c>
      <c r="C28" s="199">
        <f>'DIA 20'!G$54</f>
        <v>0</v>
      </c>
      <c r="D28" s="203">
        <f t="shared" si="0"/>
        <v>0</v>
      </c>
      <c r="E28" s="199">
        <f>'DIA 20'!K$48</f>
        <v>0</v>
      </c>
      <c r="F28" s="199">
        <f>'DIA 20'!K$54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44763</v>
      </c>
      <c r="B29" s="199">
        <f>'DIA 21'!G$48</f>
        <v>0</v>
      </c>
      <c r="C29" s="199">
        <f>'DIA 21'!G$54</f>
        <v>0</v>
      </c>
      <c r="D29" s="203">
        <f t="shared" si="0"/>
        <v>0</v>
      </c>
      <c r="E29" s="199">
        <f>'DIA 21'!K$48</f>
        <v>0</v>
      </c>
      <c r="F29" s="199">
        <f>'DIA 21'!K$54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44764</v>
      </c>
      <c r="B30" s="199">
        <f>'DIA 22'!G$48</f>
        <v>0</v>
      </c>
      <c r="C30" s="199">
        <f>'DIA 22'!G$54</f>
        <v>0</v>
      </c>
      <c r="D30" s="203">
        <f t="shared" si="0"/>
        <v>0</v>
      </c>
      <c r="E30" s="199">
        <f>'DIA 22'!K$48</f>
        <v>0</v>
      </c>
      <c r="F30" s="199">
        <f>'DIA 22'!K$54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44765</v>
      </c>
      <c r="B31" s="199">
        <f>'DIA 23'!G$48</f>
        <v>0</v>
      </c>
      <c r="C31" s="199">
        <f>'DIA 23'!G$54</f>
        <v>0</v>
      </c>
      <c r="D31" s="203">
        <f t="shared" si="0"/>
        <v>0</v>
      </c>
      <c r="E31" s="199">
        <f>'DIA 23'!K$48</f>
        <v>0</v>
      </c>
      <c r="F31" s="199">
        <f>'DIA 23'!K$54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44766</v>
      </c>
      <c r="B32" s="199">
        <f>'DIA 24'!G$48</f>
        <v>0</v>
      </c>
      <c r="C32" s="199">
        <f>'DIA 24'!G$54</f>
        <v>0</v>
      </c>
      <c r="D32" s="203">
        <f t="shared" si="0"/>
        <v>0</v>
      </c>
      <c r="E32" s="199">
        <f>'DIA 24'!K$48</f>
        <v>0</v>
      </c>
      <c r="F32" s="199">
        <f>'DIA 24'!K$54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44767</v>
      </c>
      <c r="B33" s="199">
        <f>'DIA 25'!G$48</f>
        <v>0</v>
      </c>
      <c r="C33" s="199">
        <f>'DIA 25'!G$54</f>
        <v>0</v>
      </c>
      <c r="D33" s="203">
        <f t="shared" si="0"/>
        <v>0</v>
      </c>
      <c r="E33" s="199">
        <f>'DIA 25'!K$48</f>
        <v>0</v>
      </c>
      <c r="F33" s="199">
        <f>'DIA 25'!K$54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44768</v>
      </c>
      <c r="B34" s="199">
        <f>'DIA 26'!G$48</f>
        <v>0</v>
      </c>
      <c r="C34" s="199">
        <f>'DIA 26'!G$54</f>
        <v>0</v>
      </c>
      <c r="D34" s="203">
        <f t="shared" si="0"/>
        <v>0</v>
      </c>
      <c r="E34" s="199">
        <f>'DIA 26'!K$48</f>
        <v>0</v>
      </c>
      <c r="F34" s="199">
        <f>'DIA 26'!K$54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44769</v>
      </c>
      <c r="B35" s="199">
        <f>'DIA 27'!G$48</f>
        <v>0</v>
      </c>
      <c r="C35" s="199">
        <f>'DIA 27'!G$54</f>
        <v>0</v>
      </c>
      <c r="D35" s="203">
        <f t="shared" si="0"/>
        <v>0</v>
      </c>
      <c r="E35" s="199">
        <f>'DIA 27'!K$48</f>
        <v>0</v>
      </c>
      <c r="F35" s="199">
        <f>'DIA 27'!K$54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44770</v>
      </c>
      <c r="B36" s="199">
        <f>'DIA 28'!G$48</f>
        <v>0</v>
      </c>
      <c r="C36" s="199">
        <f>'DIA 28'!G$54</f>
        <v>0</v>
      </c>
      <c r="D36" s="203">
        <f t="shared" si="0"/>
        <v>0</v>
      </c>
      <c r="E36" s="199">
        <f>'DIA 28'!K$48</f>
        <v>0</v>
      </c>
      <c r="F36" s="199">
        <f>'DIA 28'!K$54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44771</v>
      </c>
      <c r="B37" s="199">
        <f>'DIA 29'!G$48</f>
        <v>0</v>
      </c>
      <c r="C37" s="199">
        <f>'DIA 29'!G$54</f>
        <v>0</v>
      </c>
      <c r="D37" s="203">
        <f t="shared" si="0"/>
        <v>0</v>
      </c>
      <c r="E37" s="199">
        <f>'DIA 29'!K$48</f>
        <v>0</v>
      </c>
      <c r="F37" s="199">
        <f>'DIA 29'!K$54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44772</v>
      </c>
      <c r="B38" s="199">
        <f>'DIA 30'!G$48</f>
        <v>0</v>
      </c>
      <c r="C38" s="199">
        <f>'DIA 30'!G$54</f>
        <v>0</v>
      </c>
      <c r="D38" s="203">
        <f t="shared" si="0"/>
        <v>0</v>
      </c>
      <c r="E38" s="199">
        <f>'DIA 30'!K$48</f>
        <v>0</v>
      </c>
      <c r="F38" s="199">
        <f>'DIA 30'!K$54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44773</v>
      </c>
      <c r="B39" s="199">
        <f>'DIA 31'!G$48</f>
        <v>0</v>
      </c>
      <c r="C39" s="199">
        <f>'DIA 31'!G$54</f>
        <v>0</v>
      </c>
      <c r="D39" s="203">
        <f t="shared" si="0"/>
        <v>0</v>
      </c>
      <c r="E39" s="199">
        <f>'DIA 31'!K$48</f>
        <v>0</v>
      </c>
      <c r="F39" s="199">
        <f>'DIA 31'!K$54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0</v>
      </c>
      <c r="C40" s="133">
        <f>SUM(C9:C38)</f>
        <v>0</v>
      </c>
      <c r="D40" s="133">
        <f>SUM(D9:D38)</f>
        <v>0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6" priority="5" operator="greaterThan">
      <formula>" Bs.  0"</formula>
    </cfRule>
    <cfRule type="cellIs" dxfId="75" priority="6" operator="lessThan">
      <formula>" Bs.  -2,00 "</formula>
    </cfRule>
  </conditionalFormatting>
  <conditionalFormatting sqref="G9:G39">
    <cfRule type="expression" dxfId="74" priority="4">
      <formula>G9=0</formula>
    </cfRule>
  </conditionalFormatting>
  <conditionalFormatting sqref="H9:H39">
    <cfRule type="cellIs" dxfId="73" priority="2" operator="greaterThan">
      <formula>" Bs.  0"</formula>
    </cfRule>
    <cfRule type="cellIs" dxfId="72" priority="3" operator="lessThan">
      <formula>" Bs.  -2,00 "</formula>
    </cfRule>
  </conditionalFormatting>
  <conditionalFormatting sqref="H9:H39">
    <cfRule type="expression" dxfId="71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opLeftCell="A7" zoomScale="90" zoomScaleNormal="90" workbookViewId="0">
      <selection activeCell="A7" sqref="A7:D40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88"/>
      <c r="B1" s="292" t="s">
        <v>12</v>
      </c>
      <c r="C1" s="293"/>
      <c r="D1" s="293"/>
      <c r="E1" s="293"/>
      <c r="F1" s="293"/>
      <c r="G1" s="293"/>
      <c r="H1" s="293"/>
      <c r="I1" s="294"/>
    </row>
    <row r="2" spans="1:9" s="84" customFormat="1" ht="16.5" customHeight="1" x14ac:dyDescent="0.25">
      <c r="A2" s="288"/>
      <c r="B2" s="295" t="s">
        <v>198</v>
      </c>
      <c r="C2" s="296"/>
      <c r="D2" s="296"/>
      <c r="E2" s="296"/>
      <c r="F2" s="296"/>
      <c r="G2" s="296"/>
      <c r="H2" s="296"/>
      <c r="I2" s="297"/>
    </row>
    <row r="3" spans="1:9" s="84" customFormat="1" ht="16.5" customHeight="1" x14ac:dyDescent="0.25">
      <c r="A3" s="288"/>
      <c r="B3" s="291"/>
      <c r="C3" s="291"/>
      <c r="D3" s="291"/>
      <c r="E3" s="291"/>
      <c r="F3" s="291"/>
      <c r="G3" s="291"/>
      <c r="H3" s="291"/>
      <c r="I3" s="291"/>
    </row>
    <row r="4" spans="1:9" x14ac:dyDescent="0.25">
      <c r="B4" s="291"/>
      <c r="C4" s="291"/>
      <c r="D4" s="291"/>
      <c r="E4" s="291"/>
      <c r="F4" s="291"/>
      <c r="G4" s="291"/>
    </row>
    <row r="6" spans="1:9" ht="15.75" thickBot="1" x14ac:dyDescent="0.3"/>
    <row r="7" spans="1:9" x14ac:dyDescent="0.25">
      <c r="E7" s="289" t="s">
        <v>14</v>
      </c>
      <c r="F7" s="290"/>
    </row>
    <row r="8" spans="1:9" ht="27" customHeight="1" x14ac:dyDescent="0.25">
      <c r="A8" s="45" t="s">
        <v>33</v>
      </c>
      <c r="B8" s="45" t="s">
        <v>173</v>
      </c>
      <c r="C8" s="45" t="s">
        <v>199</v>
      </c>
      <c r="D8" s="52" t="s">
        <v>27</v>
      </c>
      <c r="E8" s="49" t="s">
        <v>7</v>
      </c>
      <c r="F8" s="50" t="s">
        <v>156</v>
      </c>
      <c r="G8" s="51" t="s">
        <v>53</v>
      </c>
      <c r="H8" s="51" t="s">
        <v>54</v>
      </c>
    </row>
    <row r="9" spans="1:9" x14ac:dyDescent="0.25">
      <c r="A9" s="46">
        <f>'DIA 1'!B$6</f>
        <v>44774</v>
      </c>
      <c r="B9" s="199">
        <f>+'DIA 1'!G$49</f>
        <v>4072.3168250000003</v>
      </c>
      <c r="C9" s="199">
        <f>+'DIA 1'!G$56</f>
        <v>34.824974137931036</v>
      </c>
      <c r="D9" s="203">
        <f>B9+C9</f>
        <v>4107.1417991379312</v>
      </c>
      <c r="E9" s="204">
        <f>+'DIA 1'!K$49</f>
        <v>4072.32</v>
      </c>
      <c r="F9" s="205">
        <f>+'DIA 1'!K$56</f>
        <v>34.82</v>
      </c>
      <c r="G9" s="206">
        <f>B9-E9</f>
        <v>-3.1749999998282874E-3</v>
      </c>
      <c r="H9" s="206">
        <f>C9-F9</f>
        <v>4.9741379310361822E-3</v>
      </c>
    </row>
    <row r="10" spans="1:9" x14ac:dyDescent="0.25">
      <c r="A10" s="46">
        <f>'DIA 2'!B$6</f>
        <v>44775</v>
      </c>
      <c r="B10" s="199">
        <f>'DIA 2'!G$49</f>
        <v>2153.3875499999999</v>
      </c>
      <c r="C10" s="199">
        <f>'DIA 2'!G$56</f>
        <v>0</v>
      </c>
      <c r="D10" s="203">
        <f t="shared" ref="D10:D39" si="0">B10+C10</f>
        <v>2153.3875499999999</v>
      </c>
      <c r="E10" s="199">
        <f>'DIA 2'!K$49</f>
        <v>2153.39</v>
      </c>
      <c r="F10" s="199">
        <f>'DIA 2'!K$56</f>
        <v>0</v>
      </c>
      <c r="G10" s="206">
        <f t="shared" ref="G10:H39" si="1">B10-E10</f>
        <v>-2.4499999999534339E-3</v>
      </c>
      <c r="H10" s="206">
        <f t="shared" si="1"/>
        <v>0</v>
      </c>
    </row>
    <row r="11" spans="1:9" x14ac:dyDescent="0.25">
      <c r="A11" s="46">
        <f>'DIA 3'!B$6</f>
        <v>44776</v>
      </c>
      <c r="B11" s="199">
        <f>'DIA 3'!G$49</f>
        <v>1879.7652250000001</v>
      </c>
      <c r="C11" s="199">
        <f>'DIA 3'!G$56</f>
        <v>0</v>
      </c>
      <c r="D11" s="203">
        <f t="shared" si="0"/>
        <v>1879.7652250000001</v>
      </c>
      <c r="E11" s="199">
        <f>'DIA 3'!K$49</f>
        <v>1879.77</v>
      </c>
      <c r="F11" s="199">
        <f>'DIA 3'!K$56</f>
        <v>0</v>
      </c>
      <c r="G11" s="206">
        <f t="shared" si="1"/>
        <v>-4.7749999998814019E-3</v>
      </c>
      <c r="H11" s="206">
        <f t="shared" si="1"/>
        <v>0</v>
      </c>
    </row>
    <row r="12" spans="1:9" x14ac:dyDescent="0.25">
      <c r="A12" s="46">
        <f>'DIA 4'!B$6</f>
        <v>44777</v>
      </c>
      <c r="B12" s="199">
        <f>'DIA 4'!G$49</f>
        <v>3796.4216750000001</v>
      </c>
      <c r="C12" s="199">
        <f>'DIA 4'!G$56</f>
        <v>77.011931034482757</v>
      </c>
      <c r="D12" s="203">
        <f t="shared" si="0"/>
        <v>3873.4336060344826</v>
      </c>
      <c r="E12" s="199">
        <f>'DIA 4'!K$49</f>
        <v>3796.42</v>
      </c>
      <c r="F12" s="199">
        <f>'DIA 4'!K$56</f>
        <v>77.010000000000005</v>
      </c>
      <c r="G12" s="206">
        <f t="shared" si="1"/>
        <v>1.6749999999774445E-3</v>
      </c>
      <c r="H12" s="206">
        <f t="shared" si="1"/>
        <v>1.9310344827516701E-3</v>
      </c>
    </row>
    <row r="13" spans="1:9" x14ac:dyDescent="0.25">
      <c r="A13" s="46">
        <f>'DIA 5'!B$6</f>
        <v>44778</v>
      </c>
      <c r="B13" s="199">
        <f>'DIA 5'!G$49</f>
        <v>4354.0280250000005</v>
      </c>
      <c r="C13" s="199">
        <f>'DIA 5'!G$56</f>
        <v>35.97120689655172</v>
      </c>
      <c r="D13" s="203">
        <f t="shared" si="0"/>
        <v>4389.9992318965524</v>
      </c>
      <c r="E13" s="199">
        <f>'DIA 5'!K$49</f>
        <v>4354.03</v>
      </c>
      <c r="F13" s="199">
        <f>'DIA 5'!K$56</f>
        <v>35.97</v>
      </c>
      <c r="G13" s="206">
        <f t="shared" si="1"/>
        <v>-1.9749999992200173E-3</v>
      </c>
      <c r="H13" s="206">
        <f t="shared" si="1"/>
        <v>1.2068965517215702E-3</v>
      </c>
    </row>
    <row r="14" spans="1:9" x14ac:dyDescent="0.25">
      <c r="A14" s="46">
        <f>'DIA 6'!B$6</f>
        <v>44779</v>
      </c>
      <c r="B14" s="199">
        <f>'DIA 6'!G$49</f>
        <v>4965.9141999999993</v>
      </c>
      <c r="C14" s="199">
        <f>'DIA 6'!G$56</f>
        <v>26.475181034482759</v>
      </c>
      <c r="D14" s="203">
        <f t="shared" si="0"/>
        <v>4992.3893810344816</v>
      </c>
      <c r="E14" s="199">
        <f>'DIA 6'!K$49</f>
        <v>4965.91</v>
      </c>
      <c r="F14" s="199">
        <f>'DIA 6'!K$56</f>
        <v>26.48</v>
      </c>
      <c r="G14" s="206">
        <f t="shared" si="1"/>
        <v>4.1999999994004611E-3</v>
      </c>
      <c r="H14" s="206">
        <f t="shared" si="1"/>
        <v>-4.8189655172414803E-3</v>
      </c>
    </row>
    <row r="15" spans="1:9" x14ac:dyDescent="0.25">
      <c r="A15" s="46">
        <f>'DIA 7'!B$6</f>
        <v>44780</v>
      </c>
      <c r="B15" s="199">
        <f>'DIA 7'!G$49</f>
        <v>5258.00695</v>
      </c>
      <c r="C15" s="199">
        <f>'DIA 7'!G$56</f>
        <v>47.293750000000003</v>
      </c>
      <c r="D15" s="203">
        <f t="shared" si="0"/>
        <v>5305.3006999999998</v>
      </c>
      <c r="E15" s="199">
        <f>'DIA 7'!K$49</f>
        <v>5258.01</v>
      </c>
      <c r="F15" s="199">
        <f>'DIA 7'!K$56</f>
        <v>47.29</v>
      </c>
      <c r="G15" s="206">
        <f t="shared" si="1"/>
        <v>-3.0500000002575689E-3</v>
      </c>
      <c r="H15" s="206">
        <f t="shared" si="1"/>
        <v>3.7500000000036948E-3</v>
      </c>
    </row>
    <row r="16" spans="1:9" x14ac:dyDescent="0.25">
      <c r="A16" s="46">
        <f>'DIA 8'!B$6</f>
        <v>44781</v>
      </c>
      <c r="B16" s="199">
        <f>'DIA 8'!G$49</f>
        <v>4262.7974250000007</v>
      </c>
      <c r="C16" s="199">
        <f>'DIA 8'!G$56</f>
        <v>27.900982758620692</v>
      </c>
      <c r="D16" s="203">
        <f t="shared" si="0"/>
        <v>4290.6984077586212</v>
      </c>
      <c r="E16" s="199">
        <f>'DIA 8'!K$49</f>
        <v>0</v>
      </c>
      <c r="F16" s="199">
        <f>'DIA 8'!K$56</f>
        <v>0</v>
      </c>
      <c r="G16" s="206">
        <f t="shared" si="1"/>
        <v>4262.7974250000007</v>
      </c>
      <c r="H16" s="206">
        <f t="shared" si="1"/>
        <v>27.900982758620692</v>
      </c>
    </row>
    <row r="17" spans="1:8" x14ac:dyDescent="0.25">
      <c r="A17" s="46">
        <f>'DIA 9'!B$6</f>
        <v>44782</v>
      </c>
      <c r="B17" s="199">
        <f>'DIA 9'!G$49</f>
        <v>2992.4272000000001</v>
      </c>
      <c r="C17" s="199">
        <f>'DIA 9'!G$56</f>
        <v>0</v>
      </c>
      <c r="D17" s="203">
        <f t="shared" si="0"/>
        <v>2992.4272000000001</v>
      </c>
      <c r="E17" s="199">
        <f>'DIA 9'!K$49</f>
        <v>0</v>
      </c>
      <c r="F17" s="199">
        <f>'DIA 9'!K$56</f>
        <v>0</v>
      </c>
      <c r="G17" s="206">
        <f t="shared" si="1"/>
        <v>2992.4272000000001</v>
      </c>
      <c r="H17" s="206">
        <f t="shared" si="1"/>
        <v>0</v>
      </c>
    </row>
    <row r="18" spans="1:8" x14ac:dyDescent="0.25">
      <c r="A18" s="46">
        <f>'DIA 10'!B$6</f>
        <v>44783</v>
      </c>
      <c r="B18" s="199">
        <f>'DIA 10'!G$49</f>
        <v>4337.9296750000003</v>
      </c>
      <c r="C18" s="199">
        <f>'DIA 10'!G$56</f>
        <v>0</v>
      </c>
      <c r="D18" s="203">
        <f t="shared" si="0"/>
        <v>4337.9296750000003</v>
      </c>
      <c r="E18" s="199">
        <f>'DIA 10'!K$49</f>
        <v>0</v>
      </c>
      <c r="F18" s="199">
        <f>'DIA 10'!K$56</f>
        <v>0</v>
      </c>
      <c r="G18" s="206">
        <f t="shared" si="1"/>
        <v>4337.9296750000003</v>
      </c>
      <c r="H18" s="206">
        <f t="shared" si="1"/>
        <v>0</v>
      </c>
    </row>
    <row r="19" spans="1:8" x14ac:dyDescent="0.25">
      <c r="A19" s="46">
        <f>'DIA 11'!B$6</f>
        <v>44784</v>
      </c>
      <c r="B19" s="199">
        <f>'DIA 11'!G$49</f>
        <v>3679.8724000000002</v>
      </c>
      <c r="C19" s="199">
        <f>'DIA 11'!G$56</f>
        <v>0</v>
      </c>
      <c r="D19" s="203">
        <f t="shared" si="0"/>
        <v>3679.8724000000002</v>
      </c>
      <c r="E19" s="199">
        <f>'DIA 11'!K$49</f>
        <v>0</v>
      </c>
      <c r="F19" s="199">
        <f>'DIA 11'!K$56</f>
        <v>0</v>
      </c>
      <c r="G19" s="206">
        <f t="shared" si="1"/>
        <v>3679.8724000000002</v>
      </c>
      <c r="H19" s="206">
        <f t="shared" si="1"/>
        <v>0</v>
      </c>
    </row>
    <row r="20" spans="1:8" x14ac:dyDescent="0.25">
      <c r="A20" s="46">
        <f>'DIA 12'!B$6</f>
        <v>44785</v>
      </c>
      <c r="B20" s="199">
        <f>'DIA 12'!G$49</f>
        <v>6645.363150000001</v>
      </c>
      <c r="C20" s="199">
        <f>'DIA 12'!G$56</f>
        <v>96.907922413793116</v>
      </c>
      <c r="D20" s="203">
        <f t="shared" si="0"/>
        <v>6742.2710724137942</v>
      </c>
      <c r="E20" s="199">
        <f>'DIA 12'!K$49</f>
        <v>0</v>
      </c>
      <c r="F20" s="199">
        <f>'DIA 12'!K$56</f>
        <v>0</v>
      </c>
      <c r="G20" s="206">
        <f t="shared" si="1"/>
        <v>6645.363150000001</v>
      </c>
      <c r="H20" s="206">
        <f t="shared" si="1"/>
        <v>96.907922413793116</v>
      </c>
    </row>
    <row r="21" spans="1:8" x14ac:dyDescent="0.25">
      <c r="A21" s="46">
        <f>'DIA 13'!B$6</f>
        <v>44786</v>
      </c>
      <c r="B21" s="199">
        <f>'DIA 13'!G$49</f>
        <v>3702.2731250000002</v>
      </c>
      <c r="C21" s="199">
        <f>'DIA 13'!G$56</f>
        <v>49.399836206896559</v>
      </c>
      <c r="D21" s="203">
        <f t="shared" si="0"/>
        <v>3751.6729612068966</v>
      </c>
      <c r="E21" s="199">
        <f>'DIA 13'!K$49</f>
        <v>0</v>
      </c>
      <c r="F21" s="199">
        <f>'DIA 13'!K$56</f>
        <v>0</v>
      </c>
      <c r="G21" s="206">
        <f t="shared" si="1"/>
        <v>3702.2731250000002</v>
      </c>
      <c r="H21" s="206">
        <f t="shared" si="1"/>
        <v>49.399836206896559</v>
      </c>
    </row>
    <row r="22" spans="1:8" x14ac:dyDescent="0.25">
      <c r="A22" s="46">
        <f>'DIA 14'!B$6</f>
        <v>44787</v>
      </c>
      <c r="B22" s="199">
        <f>'DIA 14'!G$49</f>
        <v>2046.4258250000003</v>
      </c>
      <c r="C22" s="199">
        <f>'DIA 14'!G$56</f>
        <v>0</v>
      </c>
      <c r="D22" s="203">
        <f t="shared" si="0"/>
        <v>2046.4258250000003</v>
      </c>
      <c r="E22" s="199">
        <f>'DIA 14'!K$49</f>
        <v>0</v>
      </c>
      <c r="F22" s="199">
        <f>'DIA 14'!K$56</f>
        <v>0</v>
      </c>
      <c r="G22" s="206">
        <f t="shared" si="1"/>
        <v>2046.4258250000003</v>
      </c>
      <c r="H22" s="206">
        <f t="shared" si="1"/>
        <v>0</v>
      </c>
    </row>
    <row r="23" spans="1:8" x14ac:dyDescent="0.25">
      <c r="A23" s="46">
        <f>'DIA 15'!B$6</f>
        <v>44788</v>
      </c>
      <c r="B23" s="199">
        <f>'DIA 15'!G$49</f>
        <v>4551.098825</v>
      </c>
      <c r="C23" s="199">
        <f>'DIA 15'!G$56</f>
        <v>0</v>
      </c>
      <c r="D23" s="203">
        <f t="shared" si="0"/>
        <v>4551.098825</v>
      </c>
      <c r="E23" s="199">
        <f>'DIA 15'!K$49</f>
        <v>4551.1000000000004</v>
      </c>
      <c r="F23" s="199">
        <f>'DIA 15'!K$56</f>
        <v>0</v>
      </c>
      <c r="G23" s="206">
        <f t="shared" si="1"/>
        <v>-1.1750000003303285E-3</v>
      </c>
      <c r="H23" s="206">
        <f t="shared" si="1"/>
        <v>0</v>
      </c>
    </row>
    <row r="24" spans="1:8" x14ac:dyDescent="0.25">
      <c r="A24" s="46">
        <f>'DIA 16'!B$6</f>
        <v>44758</v>
      </c>
      <c r="B24" s="199">
        <f>'DIA 16'!G$49</f>
        <v>5921.5626749999992</v>
      </c>
      <c r="C24" s="199">
        <f>'DIA 16'!G$56</f>
        <v>4.6222068965517247</v>
      </c>
      <c r="D24" s="203">
        <f t="shared" si="0"/>
        <v>5926.1848818965509</v>
      </c>
      <c r="E24" s="199">
        <f>'DIA 16'!K$49</f>
        <v>5921.56</v>
      </c>
      <c r="F24" s="199">
        <f>'DIA 16'!K$56</f>
        <v>4.62</v>
      </c>
      <c r="G24" s="206">
        <f t="shared" si="1"/>
        <v>2.6749999988169293E-3</v>
      </c>
      <c r="H24" s="206">
        <f t="shared" si="1"/>
        <v>2.2068965517245687E-3</v>
      </c>
    </row>
    <row r="25" spans="1:8" x14ac:dyDescent="0.25">
      <c r="A25" s="46">
        <f>'DIA 17'!B$6</f>
        <v>44759</v>
      </c>
      <c r="B25" s="199">
        <f>'DIA 17'!G$49</f>
        <v>6378.4898250000006</v>
      </c>
      <c r="C25" s="199">
        <f>'DIA 17'!G$56</f>
        <v>63.191905172413797</v>
      </c>
      <c r="D25" s="203">
        <f t="shared" si="0"/>
        <v>6441.6817301724141</v>
      </c>
      <c r="E25" s="199">
        <f>'DIA 17'!K$49</f>
        <v>6378.49</v>
      </c>
      <c r="F25" s="199">
        <f>'DIA 17'!K$56</f>
        <v>63.19</v>
      </c>
      <c r="G25" s="206">
        <f t="shared" si="1"/>
        <v>-1.7499999921710696E-4</v>
      </c>
      <c r="H25" s="206">
        <f t="shared" si="1"/>
        <v>1.9051724137995052E-3</v>
      </c>
    </row>
    <row r="26" spans="1:8" x14ac:dyDescent="0.25">
      <c r="A26" s="46">
        <f>'DIA 18'!B$6</f>
        <v>44760</v>
      </c>
      <c r="B26" s="199">
        <f>'DIA 18'!G$49</f>
        <v>4260.8521250000003</v>
      </c>
      <c r="C26" s="199">
        <f>'DIA 18'!G$56</f>
        <v>33.184836206896549</v>
      </c>
      <c r="D26" s="203">
        <f t="shared" si="0"/>
        <v>4294.0369612068971</v>
      </c>
      <c r="E26" s="199">
        <f>'DIA 18'!K$49</f>
        <v>0</v>
      </c>
      <c r="F26" s="199">
        <f>'DIA 18'!K$56</f>
        <v>0</v>
      </c>
      <c r="G26" s="206">
        <f t="shared" si="1"/>
        <v>4260.8521250000003</v>
      </c>
      <c r="H26" s="206">
        <f t="shared" si="1"/>
        <v>33.184836206896549</v>
      </c>
    </row>
    <row r="27" spans="1:8" x14ac:dyDescent="0.25">
      <c r="A27" s="46">
        <f>'DIA 19'!B$6</f>
        <v>44761</v>
      </c>
      <c r="B27" s="199">
        <f>'DIA 19'!G$49</f>
        <v>3627.7959249999999</v>
      </c>
      <c r="C27" s="199">
        <f>'DIA 19'!G$56</f>
        <v>0</v>
      </c>
      <c r="D27" s="203">
        <f t="shared" si="0"/>
        <v>3627.7959249999999</v>
      </c>
      <c r="E27" s="199">
        <f>'DIA 19'!K$49</f>
        <v>0</v>
      </c>
      <c r="F27" s="199">
        <f>'DIA 19'!K$56</f>
        <v>0</v>
      </c>
      <c r="G27" s="206">
        <f t="shared" si="1"/>
        <v>3627.7959249999999</v>
      </c>
      <c r="H27" s="206">
        <f t="shared" si="1"/>
        <v>0</v>
      </c>
    </row>
    <row r="28" spans="1:8" x14ac:dyDescent="0.25">
      <c r="A28" s="46">
        <f>'DIA 20'!B$6</f>
        <v>44732</v>
      </c>
      <c r="B28" s="199">
        <f>'DIA 20'!G$49</f>
        <v>3744.2062500000002</v>
      </c>
      <c r="C28" s="199">
        <f>'DIA 20'!G$56</f>
        <v>70.591163793103448</v>
      </c>
      <c r="D28" s="203">
        <f t="shared" si="0"/>
        <v>3814.7974137931037</v>
      </c>
      <c r="E28" s="199">
        <f>'DIA 20'!K$49</f>
        <v>0</v>
      </c>
      <c r="F28" s="199">
        <f>'DIA 20'!K$56</f>
        <v>0</v>
      </c>
      <c r="G28" s="206">
        <f t="shared" si="1"/>
        <v>3744.2062500000002</v>
      </c>
      <c r="H28" s="206">
        <f t="shared" si="1"/>
        <v>70.591163793103448</v>
      </c>
    </row>
    <row r="29" spans="1:8" x14ac:dyDescent="0.25">
      <c r="A29" s="46">
        <f>'DIA 21'!B$6</f>
        <v>44763</v>
      </c>
      <c r="B29" s="199">
        <f>'DIA 21'!G$49</f>
        <v>5907.151574999999</v>
      </c>
      <c r="C29" s="199">
        <f>'DIA 21'!G$56</f>
        <v>181.97143965517242</v>
      </c>
      <c r="D29" s="203">
        <f t="shared" si="0"/>
        <v>6089.1230146551716</v>
      </c>
      <c r="E29" s="199">
        <f>'DIA 21'!K$49</f>
        <v>0</v>
      </c>
      <c r="F29" s="199">
        <f>'DIA 21'!K$56</f>
        <v>0</v>
      </c>
      <c r="G29" s="206">
        <f t="shared" si="1"/>
        <v>5907.151574999999</v>
      </c>
      <c r="H29" s="206">
        <f t="shared" si="1"/>
        <v>181.97143965517242</v>
      </c>
    </row>
    <row r="30" spans="1:8" x14ac:dyDescent="0.25">
      <c r="A30" s="46">
        <f>'DIA 22'!B$6</f>
        <v>44764</v>
      </c>
      <c r="B30" s="199">
        <f>'DIA 22'!G$49</f>
        <v>6023.5916750000006</v>
      </c>
      <c r="C30" s="199">
        <f>'DIA 22'!G$56</f>
        <v>154.89984482758621</v>
      </c>
      <c r="D30" s="203">
        <f t="shared" si="0"/>
        <v>6178.4915198275867</v>
      </c>
      <c r="E30" s="199">
        <f>'DIA 22'!K$49</f>
        <v>0</v>
      </c>
      <c r="F30" s="199">
        <f>'DIA 22'!K$56</f>
        <v>0</v>
      </c>
      <c r="G30" s="206">
        <f t="shared" si="1"/>
        <v>6023.5916750000006</v>
      </c>
      <c r="H30" s="206">
        <f t="shared" si="1"/>
        <v>154.89984482758621</v>
      </c>
    </row>
    <row r="31" spans="1:8" x14ac:dyDescent="0.25">
      <c r="A31" s="46">
        <f>'DIA 23'!B$6</f>
        <v>44765</v>
      </c>
      <c r="B31" s="199">
        <f>'DIA 23'!G$49</f>
        <v>6046.6970749999991</v>
      </c>
      <c r="C31" s="199">
        <f>'DIA 23'!G$56</f>
        <v>225.99423275862068</v>
      </c>
      <c r="D31" s="203">
        <f t="shared" si="0"/>
        <v>6272.6913077586196</v>
      </c>
      <c r="E31" s="199">
        <f>'DIA 23'!K$49</f>
        <v>0</v>
      </c>
      <c r="F31" s="199">
        <f>'DIA 23'!K$56</f>
        <v>0</v>
      </c>
      <c r="G31" s="206">
        <f t="shared" si="1"/>
        <v>6046.6970749999991</v>
      </c>
      <c r="H31" s="206">
        <f t="shared" si="1"/>
        <v>225.99423275862068</v>
      </c>
    </row>
    <row r="32" spans="1:8" x14ac:dyDescent="0.25">
      <c r="A32" s="46">
        <f>'DIA 24'!B$6</f>
        <v>44766</v>
      </c>
      <c r="B32" s="199">
        <f>'DIA 24'!G$49</f>
        <v>6699.1268749999999</v>
      </c>
      <c r="C32" s="199">
        <f>'DIA 24'!G$56</f>
        <v>231.19421551724139</v>
      </c>
      <c r="D32" s="203">
        <f t="shared" si="0"/>
        <v>6930.3210905172409</v>
      </c>
      <c r="E32" s="199">
        <f>'DIA 24'!K$49</f>
        <v>0</v>
      </c>
      <c r="F32" s="199">
        <f>'DIA 24'!K$56</f>
        <v>0</v>
      </c>
      <c r="G32" s="206">
        <f t="shared" si="1"/>
        <v>6699.1268749999999</v>
      </c>
      <c r="H32" s="206">
        <f t="shared" si="1"/>
        <v>231.19421551724139</v>
      </c>
    </row>
    <row r="33" spans="1:8" x14ac:dyDescent="0.25">
      <c r="A33" s="46">
        <f>'DIA 25'!B$6</f>
        <v>44767</v>
      </c>
      <c r="B33" s="199">
        <f>'DIA 25'!G$49</f>
        <v>5720.9089499999991</v>
      </c>
      <c r="C33" s="199">
        <f>'DIA 25'!G$56</f>
        <v>98.762396551724152</v>
      </c>
      <c r="D33" s="203">
        <f t="shared" si="0"/>
        <v>5819.6713465517232</v>
      </c>
      <c r="E33" s="199">
        <f>'DIA 25'!K$49</f>
        <v>0</v>
      </c>
      <c r="F33" s="199">
        <f>'DIA 25'!K$56</f>
        <v>0</v>
      </c>
      <c r="G33" s="206">
        <f t="shared" si="1"/>
        <v>5720.9089499999991</v>
      </c>
      <c r="H33" s="206">
        <f t="shared" si="1"/>
        <v>98.762396551724152</v>
      </c>
    </row>
    <row r="34" spans="1:8" x14ac:dyDescent="0.25">
      <c r="A34" s="46">
        <f>'DIA 26'!B$6</f>
        <v>44768</v>
      </c>
      <c r="B34" s="199">
        <f>'DIA 26'!G$49</f>
        <v>6348.3674499999997</v>
      </c>
      <c r="C34" s="199">
        <f>'DIA 26'!G$56</f>
        <v>7.9583965517241371</v>
      </c>
      <c r="D34" s="203">
        <f t="shared" si="0"/>
        <v>6356.3258465517238</v>
      </c>
      <c r="E34" s="199">
        <f>'DIA 26'!K$49</f>
        <v>0</v>
      </c>
      <c r="F34" s="199">
        <f>'DIA 26'!K$56</f>
        <v>0</v>
      </c>
      <c r="G34" s="206">
        <f t="shared" si="1"/>
        <v>6348.3674499999997</v>
      </c>
      <c r="H34" s="206">
        <f t="shared" si="1"/>
        <v>7.9583965517241371</v>
      </c>
    </row>
    <row r="35" spans="1:8" x14ac:dyDescent="0.25">
      <c r="A35" s="46">
        <f>'DIA 27'!B$6</f>
        <v>44769</v>
      </c>
      <c r="B35" s="199">
        <f>'DIA 27'!G$49</f>
        <v>4093.6357249999996</v>
      </c>
      <c r="C35" s="199">
        <f>'DIA 27'!G$56</f>
        <v>59.771844827586207</v>
      </c>
      <c r="D35" s="203">
        <f t="shared" si="0"/>
        <v>4153.4075698275856</v>
      </c>
      <c r="E35" s="199">
        <f>'DIA 27'!K$49</f>
        <v>0</v>
      </c>
      <c r="F35" s="199">
        <f>'DIA 27'!K$56</f>
        <v>0</v>
      </c>
      <c r="G35" s="206">
        <f t="shared" si="1"/>
        <v>4093.6357249999996</v>
      </c>
      <c r="H35" s="206">
        <f t="shared" si="1"/>
        <v>59.771844827586207</v>
      </c>
    </row>
    <row r="36" spans="1:8" x14ac:dyDescent="0.25">
      <c r="A36" s="46">
        <f>'DIA 28'!B$6</f>
        <v>44770</v>
      </c>
      <c r="B36" s="199">
        <f>'DIA 28'!G$49</f>
        <v>3892.3865000000001</v>
      </c>
      <c r="C36" s="199">
        <f>'DIA 28'!G$56</f>
        <v>99.284258620689656</v>
      </c>
      <c r="D36" s="203">
        <f t="shared" si="0"/>
        <v>3991.6707586206899</v>
      </c>
      <c r="E36" s="199">
        <f>'DIA 28'!K$49</f>
        <v>0</v>
      </c>
      <c r="F36" s="199">
        <f>'DIA 28'!K$56</f>
        <v>0</v>
      </c>
      <c r="G36" s="206">
        <f t="shared" si="1"/>
        <v>3892.3865000000001</v>
      </c>
      <c r="H36" s="206">
        <f t="shared" si="1"/>
        <v>99.284258620689656</v>
      </c>
    </row>
    <row r="37" spans="1:8" x14ac:dyDescent="0.25">
      <c r="A37" s="46">
        <f>'DIA 29'!B$6</f>
        <v>44771</v>
      </c>
      <c r="B37" s="199">
        <f>'DIA 29'!G$49</f>
        <v>5371.5290999999997</v>
      </c>
      <c r="C37" s="199">
        <f>'DIA 29'!G$56</f>
        <v>0</v>
      </c>
      <c r="D37" s="203">
        <f t="shared" si="0"/>
        <v>5371.5290999999997</v>
      </c>
      <c r="E37" s="199">
        <f>'DIA 29'!K$49</f>
        <v>0</v>
      </c>
      <c r="F37" s="199">
        <f>'DIA 29'!K$56</f>
        <v>0</v>
      </c>
      <c r="G37" s="206">
        <f t="shared" si="1"/>
        <v>5371.5290999999997</v>
      </c>
      <c r="H37" s="206">
        <f t="shared" si="1"/>
        <v>0</v>
      </c>
    </row>
    <row r="38" spans="1:8" x14ac:dyDescent="0.25">
      <c r="A38" s="46">
        <f>'DIA 30'!B$6</f>
        <v>44772</v>
      </c>
      <c r="B38" s="199">
        <f>'DIA 30'!G$49</f>
        <v>5666.2420499999998</v>
      </c>
      <c r="C38" s="199">
        <f>'DIA 30'!G$56</f>
        <v>517.48215517241374</v>
      </c>
      <c r="D38" s="203">
        <f t="shared" si="0"/>
        <v>6183.7242051724133</v>
      </c>
      <c r="E38" s="199">
        <f>'DIA 30'!K$49</f>
        <v>0</v>
      </c>
      <c r="F38" s="199">
        <f>'DIA 30'!K$56</f>
        <v>0</v>
      </c>
      <c r="G38" s="206">
        <f t="shared" si="1"/>
        <v>5666.2420499999998</v>
      </c>
      <c r="H38" s="206">
        <f t="shared" si="1"/>
        <v>517.48215517241374</v>
      </c>
    </row>
    <row r="39" spans="1:8" x14ac:dyDescent="0.25">
      <c r="A39" s="46">
        <f>'DIA 31'!B$6</f>
        <v>44773</v>
      </c>
      <c r="B39" s="199">
        <f>'DIA 31'!G$49</f>
        <v>4673.3351249999996</v>
      </c>
      <c r="C39" s="199">
        <f>'DIA 31'!G$56</f>
        <v>11.220034482758619</v>
      </c>
      <c r="D39" s="203">
        <f t="shared" si="0"/>
        <v>4684.5551594827584</v>
      </c>
      <c r="E39" s="199">
        <f>'DIA 31'!K$49</f>
        <v>0</v>
      </c>
      <c r="F39" s="199">
        <f>'DIA 31'!K$56</f>
        <v>0</v>
      </c>
      <c r="G39" s="206">
        <f t="shared" si="1"/>
        <v>4673.3351249999996</v>
      </c>
      <c r="H39" s="206">
        <f t="shared" si="1"/>
        <v>11.220034482758619</v>
      </c>
    </row>
    <row r="40" spans="1:8" x14ac:dyDescent="0.25">
      <c r="A40" s="53" t="s">
        <v>38</v>
      </c>
      <c r="B40" s="133">
        <f>SUM(B9:B39)</f>
        <v>143073.90697500002</v>
      </c>
      <c r="C40" s="133">
        <f>SUM(C9:C38)</f>
        <v>2144.6946810344825</v>
      </c>
      <c r="D40" s="133">
        <f>SUM(D9:D38)</f>
        <v>140545.26653103449</v>
      </c>
    </row>
    <row r="47" spans="1:8" x14ac:dyDescent="0.25">
      <c r="B47" s="224">
        <v>3391.174</v>
      </c>
    </row>
    <row r="48" spans="1:8" x14ac:dyDescent="0.25">
      <c r="B48" s="224">
        <v>3449.2650250000002</v>
      </c>
    </row>
    <row r="49" spans="2:2" x14ac:dyDescent="0.25">
      <c r="B49" s="224">
        <v>4025.5303749999998</v>
      </c>
    </row>
    <row r="50" spans="2:2" x14ac:dyDescent="0.25">
      <c r="B50" s="224">
        <v>4523.2691250000007</v>
      </c>
    </row>
    <row r="51" spans="2:2" x14ac:dyDescent="0.25">
      <c r="B51" s="224">
        <v>3859.6240750000002</v>
      </c>
    </row>
    <row r="52" spans="2:2" x14ac:dyDescent="0.25">
      <c r="B52" s="224">
        <v>3599.4799000000003</v>
      </c>
    </row>
    <row r="53" spans="2:2" x14ac:dyDescent="0.25">
      <c r="B53" s="224">
        <v>3545.0115000000001</v>
      </c>
    </row>
    <row r="54" spans="2:2" x14ac:dyDescent="0.25">
      <c r="B54" s="224">
        <v>3288.2616750000002</v>
      </c>
    </row>
    <row r="55" spans="2:2" x14ac:dyDescent="0.25">
      <c r="B55" s="224">
        <v>4055.9703500000001</v>
      </c>
    </row>
    <row r="56" spans="2:2" x14ac:dyDescent="0.25">
      <c r="B56" s="224">
        <v>5332.4543750000003</v>
      </c>
    </row>
    <row r="57" spans="2:2" x14ac:dyDescent="0.25">
      <c r="B57" s="224">
        <v>4892.360025</v>
      </c>
    </row>
    <row r="58" spans="2:2" x14ac:dyDescent="0.25">
      <c r="B58" s="224">
        <v>4937.6577249999991</v>
      </c>
    </row>
    <row r="59" spans="2:2" x14ac:dyDescent="0.25">
      <c r="B59" s="224">
        <v>2484.7138249999998</v>
      </c>
    </row>
    <row r="60" spans="2:2" x14ac:dyDescent="0.25">
      <c r="B60" s="224">
        <v>4132.601275</v>
      </c>
    </row>
    <row r="61" spans="2:2" x14ac:dyDescent="0.25">
      <c r="B61" s="224">
        <v>5736.2530000000006</v>
      </c>
    </row>
    <row r="62" spans="2:2" x14ac:dyDescent="0.25">
      <c r="B62" s="224">
        <v>5004.5323749999998</v>
      </c>
    </row>
    <row r="63" spans="2:2" x14ac:dyDescent="0.25">
      <c r="B63" s="224">
        <v>4694.9220000000005</v>
      </c>
    </row>
    <row r="64" spans="2:2" x14ac:dyDescent="0.25">
      <c r="B64" s="224">
        <v>4280.8311499999991</v>
      </c>
    </row>
    <row r="65" spans="2:2" x14ac:dyDescent="0.25">
      <c r="B65" s="224">
        <v>4885.114775</v>
      </c>
    </row>
    <row r="66" spans="2:2" x14ac:dyDescent="0.25">
      <c r="B66" s="224">
        <v>2605.9278500000005</v>
      </c>
    </row>
    <row r="67" spans="2:2" x14ac:dyDescent="0.25">
      <c r="B67" s="224">
        <v>4632.8708999999999</v>
      </c>
    </row>
    <row r="68" spans="2:2" x14ac:dyDescent="0.25">
      <c r="B68" s="224">
        <v>4966.122625</v>
      </c>
    </row>
    <row r="69" spans="2:2" x14ac:dyDescent="0.25">
      <c r="B69" s="224">
        <v>5929.0163500000008</v>
      </c>
    </row>
    <row r="70" spans="2:2" x14ac:dyDescent="0.25">
      <c r="B70" s="224">
        <v>5064.4992249999996</v>
      </c>
    </row>
    <row r="71" spans="2:2" x14ac:dyDescent="0.25">
      <c r="B71" s="224">
        <v>5424.1018249999997</v>
      </c>
    </row>
    <row r="72" spans="2:2" x14ac:dyDescent="0.25">
      <c r="B72" s="224">
        <v>5223.9741250000006</v>
      </c>
    </row>
    <row r="73" spans="2:2" x14ac:dyDescent="0.25">
      <c r="B73" s="224">
        <v>3591.8674249999999</v>
      </c>
    </row>
    <row r="74" spans="2:2" x14ac:dyDescent="0.25">
      <c r="B74" s="224">
        <v>4291.7188749999996</v>
      </c>
    </row>
    <row r="75" spans="2:2" x14ac:dyDescent="0.25">
      <c r="B75" s="224">
        <v>5779.2381750000004</v>
      </c>
    </row>
    <row r="76" spans="2:2" x14ac:dyDescent="0.25">
      <c r="B76" s="224">
        <v>5923.706474999999</v>
      </c>
    </row>
    <row r="77" spans="2:2" x14ac:dyDescent="0.25">
      <c r="B77" s="224">
        <f>SUM(B47:B76)</f>
        <v>133552.07040000003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0" priority="5" operator="greaterThan">
      <formula>" Bs.  0"</formula>
    </cfRule>
    <cfRule type="cellIs" dxfId="69" priority="6" operator="lessThan">
      <formula>" Bs.  -2,00 "</formula>
    </cfRule>
  </conditionalFormatting>
  <conditionalFormatting sqref="G9:G39">
    <cfRule type="expression" dxfId="68" priority="4">
      <formula>G9=0</formula>
    </cfRule>
  </conditionalFormatting>
  <conditionalFormatting sqref="H9:H39">
    <cfRule type="cellIs" dxfId="67" priority="2" operator="greaterThan">
      <formula>" Bs.  0"</formula>
    </cfRule>
    <cfRule type="cellIs" dxfId="66" priority="3" operator="lessThan">
      <formula>" Bs.  -2,00 "</formula>
    </cfRule>
  </conditionalFormatting>
  <conditionalFormatting sqref="H9:H39">
    <cfRule type="expression" dxfId="65" priority="1">
      <formula>H9=0</formula>
    </cfRule>
  </conditionalFormatting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topLeftCell="A4" workbookViewId="0">
      <selection activeCell="E9" sqref="E9"/>
    </sheetView>
  </sheetViews>
  <sheetFormatPr baseColWidth="10" defaultRowHeight="15" x14ac:dyDescent="0.25"/>
  <cols>
    <col min="1" max="1" width="19.7109375" bestFit="1" customWidth="1"/>
    <col min="2" max="2" width="21.7109375" customWidth="1"/>
    <col min="3" max="3" width="18.140625" customWidth="1"/>
    <col min="4" max="4" width="19.140625" customWidth="1"/>
    <col min="5" max="5" width="21.7109375" customWidth="1"/>
    <col min="6" max="6" width="22.140625" customWidth="1"/>
  </cols>
  <sheetData>
    <row r="1" spans="1:6" s="2" customFormat="1" ht="16.5" customHeight="1" x14ac:dyDescent="0.25">
      <c r="A1" s="298"/>
      <c r="B1" s="299"/>
      <c r="C1" s="300"/>
      <c r="D1" s="300"/>
      <c r="E1" s="300"/>
      <c r="F1" s="301"/>
    </row>
    <row r="2" spans="1:6" s="2" customFormat="1" ht="16.5" customHeight="1" x14ac:dyDescent="0.35">
      <c r="A2" s="298"/>
      <c r="B2" s="302" t="s">
        <v>12</v>
      </c>
      <c r="C2" s="303"/>
      <c r="D2" s="303"/>
      <c r="E2" s="303"/>
      <c r="F2" s="304"/>
    </row>
    <row r="3" spans="1:6" s="2" customFormat="1" ht="16.5" customHeight="1" x14ac:dyDescent="0.25">
      <c r="A3" s="298"/>
      <c r="B3" s="305" t="s">
        <v>32</v>
      </c>
      <c r="C3" s="306"/>
      <c r="D3" s="306"/>
      <c r="E3" s="306"/>
      <c r="F3" s="307"/>
    </row>
    <row r="4" spans="1:6" x14ac:dyDescent="0.25">
      <c r="A4" s="291" t="s">
        <v>51</v>
      </c>
      <c r="B4" s="291"/>
      <c r="C4" s="291"/>
      <c r="D4" s="291"/>
      <c r="E4" s="291"/>
      <c r="F4" s="291"/>
    </row>
    <row r="7" spans="1:6" ht="27" customHeight="1" x14ac:dyDescent="0.25">
      <c r="A7" s="4" t="s">
        <v>29</v>
      </c>
      <c r="B7" s="4" t="s">
        <v>30</v>
      </c>
      <c r="C7" s="26"/>
      <c r="D7" s="4" t="s">
        <v>31</v>
      </c>
      <c r="E7" s="3" t="s">
        <v>15</v>
      </c>
    </row>
    <row r="8" spans="1:6" x14ac:dyDescent="0.25">
      <c r="A8" s="46">
        <f>'DIA 1'!B$6</f>
        <v>44774</v>
      </c>
      <c r="B8" s="199">
        <f>+'DIA 1'!B$59</f>
        <v>0</v>
      </c>
      <c r="C8" s="27"/>
      <c r="D8" s="1"/>
      <c r="E8" s="135">
        <f>D8-B8</f>
        <v>0</v>
      </c>
    </row>
    <row r="9" spans="1:6" x14ac:dyDescent="0.25">
      <c r="A9" s="46">
        <f>'DIA 2'!B$6</f>
        <v>44775</v>
      </c>
      <c r="B9" s="199">
        <f>'DIA 2'!B$59</f>
        <v>0</v>
      </c>
      <c r="C9" s="27"/>
      <c r="D9" s="1"/>
      <c r="E9" s="135">
        <f t="shared" ref="E9:E38" si="0">D9-B9</f>
        <v>0</v>
      </c>
    </row>
    <row r="10" spans="1:6" x14ac:dyDescent="0.25">
      <c r="A10" s="46">
        <f>'DIA 3'!B$6</f>
        <v>44776</v>
      </c>
      <c r="B10" s="199">
        <f>'DIA 3'!B$59</f>
        <v>0</v>
      </c>
      <c r="C10" s="28"/>
      <c r="D10" s="1"/>
      <c r="E10" s="135">
        <f t="shared" si="0"/>
        <v>0</v>
      </c>
    </row>
    <row r="11" spans="1:6" x14ac:dyDescent="0.25">
      <c r="A11" s="46">
        <f>'DIA 4'!B$6</f>
        <v>44777</v>
      </c>
      <c r="B11" s="199">
        <f>'DIA 4'!B$59</f>
        <v>0</v>
      </c>
      <c r="C11" s="28"/>
      <c r="D11" s="1"/>
      <c r="E11" s="135">
        <f t="shared" si="0"/>
        <v>0</v>
      </c>
    </row>
    <row r="12" spans="1:6" x14ac:dyDescent="0.25">
      <c r="A12" s="46">
        <f>'DIA 5'!B$6</f>
        <v>44778</v>
      </c>
      <c r="B12" s="199">
        <f>'DIA 5'!B$59</f>
        <v>0</v>
      </c>
      <c r="C12" s="28"/>
      <c r="D12" s="1"/>
      <c r="E12" s="135">
        <f t="shared" si="0"/>
        <v>0</v>
      </c>
    </row>
    <row r="13" spans="1:6" x14ac:dyDescent="0.25">
      <c r="A13" s="46">
        <f>'DIA 6'!B$6</f>
        <v>44779</v>
      </c>
      <c r="B13" s="199">
        <f>'DIA 6'!B$59</f>
        <v>0</v>
      </c>
      <c r="C13" s="28"/>
      <c r="D13" s="1"/>
      <c r="E13" s="135">
        <f t="shared" si="0"/>
        <v>0</v>
      </c>
    </row>
    <row r="14" spans="1:6" x14ac:dyDescent="0.25">
      <c r="A14" s="46">
        <f>'DIA 7'!B$6</f>
        <v>44780</v>
      </c>
      <c r="B14" s="199">
        <f>'DIA 7'!B$59</f>
        <v>0</v>
      </c>
      <c r="C14" s="28"/>
      <c r="D14" s="1"/>
      <c r="E14" s="135">
        <f t="shared" si="0"/>
        <v>0</v>
      </c>
    </row>
    <row r="15" spans="1:6" x14ac:dyDescent="0.25">
      <c r="A15" s="46">
        <f>'DIA 8'!B$6</f>
        <v>44781</v>
      </c>
      <c r="B15" s="199">
        <f>'DIA 8'!B$59</f>
        <v>0</v>
      </c>
      <c r="C15" s="28"/>
      <c r="D15" s="1"/>
      <c r="E15" s="135">
        <f t="shared" si="0"/>
        <v>0</v>
      </c>
    </row>
    <row r="16" spans="1:6" x14ac:dyDescent="0.25">
      <c r="A16" s="46">
        <f>'DIA 9'!B$6</f>
        <v>44782</v>
      </c>
      <c r="B16" s="199">
        <f>'DIA 9'!B$59</f>
        <v>0</v>
      </c>
      <c r="C16" s="28"/>
      <c r="D16" s="1"/>
      <c r="E16" s="135">
        <f t="shared" si="0"/>
        <v>0</v>
      </c>
    </row>
    <row r="17" spans="1:5" x14ac:dyDescent="0.25">
      <c r="A17" s="46">
        <f>'DIA 10'!B$6</f>
        <v>44783</v>
      </c>
      <c r="B17" s="199">
        <f>'DIA 10'!B$59</f>
        <v>0</v>
      </c>
      <c r="C17" s="28"/>
      <c r="D17" s="1"/>
      <c r="E17" s="135">
        <f t="shared" si="0"/>
        <v>0</v>
      </c>
    </row>
    <row r="18" spans="1:5" x14ac:dyDescent="0.25">
      <c r="A18" s="46">
        <f>'DIA 11'!B$6</f>
        <v>44784</v>
      </c>
      <c r="B18" s="199">
        <f>'DIA 11'!B$59</f>
        <v>0</v>
      </c>
      <c r="C18" s="28"/>
      <c r="D18" s="1"/>
      <c r="E18" s="135">
        <f t="shared" si="0"/>
        <v>0</v>
      </c>
    </row>
    <row r="19" spans="1:5" x14ac:dyDescent="0.25">
      <c r="A19" s="46">
        <f>'DIA 12'!B$6</f>
        <v>44785</v>
      </c>
      <c r="B19" s="199">
        <f>'DIA 12'!B$59</f>
        <v>0</v>
      </c>
      <c r="C19" s="28"/>
      <c r="D19" s="1"/>
      <c r="E19" s="135">
        <f t="shared" si="0"/>
        <v>0</v>
      </c>
    </row>
    <row r="20" spans="1:5" x14ac:dyDescent="0.25">
      <c r="A20" s="46">
        <f>'DIA 13'!B$6</f>
        <v>44786</v>
      </c>
      <c r="B20" s="199">
        <f>'DIA 13'!B$59</f>
        <v>0</v>
      </c>
      <c r="C20" s="28"/>
      <c r="D20" s="1"/>
      <c r="E20" s="135">
        <f t="shared" si="0"/>
        <v>0</v>
      </c>
    </row>
    <row r="21" spans="1:5" x14ac:dyDescent="0.25">
      <c r="A21" s="46">
        <f>'DIA 14'!B$6</f>
        <v>44787</v>
      </c>
      <c r="B21" s="199">
        <f>'DIA 14'!B$59</f>
        <v>0</v>
      </c>
      <c r="C21" s="28"/>
      <c r="D21" s="1"/>
      <c r="E21" s="135">
        <f t="shared" si="0"/>
        <v>0</v>
      </c>
    </row>
    <row r="22" spans="1:5" x14ac:dyDescent="0.25">
      <c r="A22" s="46">
        <f>'DIA 15'!B$6</f>
        <v>44788</v>
      </c>
      <c r="B22" s="199">
        <f>'DIA 15'!B$59</f>
        <v>0</v>
      </c>
      <c r="C22" s="28"/>
      <c r="D22" s="1"/>
      <c r="E22" s="135">
        <f t="shared" si="0"/>
        <v>0</v>
      </c>
    </row>
    <row r="23" spans="1:5" x14ac:dyDescent="0.25">
      <c r="A23" s="46">
        <f>'DIA 16'!B$6</f>
        <v>44758</v>
      </c>
      <c r="B23" s="199">
        <f>'DIA 16'!B$59</f>
        <v>0</v>
      </c>
      <c r="C23" s="28"/>
      <c r="D23" s="1"/>
      <c r="E23" s="135">
        <f t="shared" si="0"/>
        <v>0</v>
      </c>
    </row>
    <row r="24" spans="1:5" x14ac:dyDescent="0.25">
      <c r="A24" s="46">
        <f>'DIA 17'!B$6</f>
        <v>44759</v>
      </c>
      <c r="B24" s="199">
        <f>'DIA 17'!B$59</f>
        <v>0</v>
      </c>
      <c r="C24" s="28"/>
      <c r="D24" s="1"/>
      <c r="E24" s="135">
        <f t="shared" si="0"/>
        <v>0</v>
      </c>
    </row>
    <row r="25" spans="1:5" x14ac:dyDescent="0.25">
      <c r="A25" s="46">
        <f>'DIA 18'!B$6</f>
        <v>44760</v>
      </c>
      <c r="B25" s="199">
        <f>'DIA 18'!B$59</f>
        <v>0</v>
      </c>
      <c r="C25" s="28"/>
      <c r="D25" s="1"/>
      <c r="E25" s="135">
        <f t="shared" si="0"/>
        <v>0</v>
      </c>
    </row>
    <row r="26" spans="1:5" x14ac:dyDescent="0.25">
      <c r="A26" s="46">
        <f>'DIA 19'!B$6</f>
        <v>44761</v>
      </c>
      <c r="B26" s="199">
        <f>'DIA 19'!B$59</f>
        <v>0</v>
      </c>
      <c r="C26" s="28"/>
      <c r="D26" s="1"/>
      <c r="E26" s="135">
        <f t="shared" si="0"/>
        <v>0</v>
      </c>
    </row>
    <row r="27" spans="1:5" x14ac:dyDescent="0.25">
      <c r="A27" s="46">
        <f>'DIA 20'!B$6</f>
        <v>44732</v>
      </c>
      <c r="B27" s="199">
        <f>'DIA 20'!B$59</f>
        <v>0</v>
      </c>
      <c r="C27" s="28"/>
      <c r="D27" s="1"/>
      <c r="E27" s="135">
        <f t="shared" si="0"/>
        <v>0</v>
      </c>
    </row>
    <row r="28" spans="1:5" x14ac:dyDescent="0.25">
      <c r="A28" s="46">
        <f>'DIA 21'!B$6</f>
        <v>44763</v>
      </c>
      <c r="B28" s="199">
        <f>'DIA 21'!B$59</f>
        <v>0</v>
      </c>
      <c r="C28" s="28"/>
      <c r="D28" s="1"/>
      <c r="E28" s="135">
        <f t="shared" si="0"/>
        <v>0</v>
      </c>
    </row>
    <row r="29" spans="1:5" x14ac:dyDescent="0.25">
      <c r="A29" s="46">
        <f>'DIA 22'!B$6</f>
        <v>44764</v>
      </c>
      <c r="B29" s="199">
        <f>'DIA 22'!B$59</f>
        <v>0</v>
      </c>
      <c r="C29" s="28"/>
      <c r="D29" s="1"/>
      <c r="E29" s="135">
        <f t="shared" si="0"/>
        <v>0</v>
      </c>
    </row>
    <row r="30" spans="1:5" x14ac:dyDescent="0.25">
      <c r="A30" s="46">
        <f>'DIA 23'!B$6</f>
        <v>44765</v>
      </c>
      <c r="B30" s="199">
        <f>'DIA 23'!B$59</f>
        <v>0</v>
      </c>
      <c r="C30" s="28"/>
      <c r="D30" s="1"/>
      <c r="E30" s="135">
        <f t="shared" si="0"/>
        <v>0</v>
      </c>
    </row>
    <row r="31" spans="1:5" x14ac:dyDescent="0.25">
      <c r="A31" s="46">
        <f>'DIA 24'!B$6</f>
        <v>44766</v>
      </c>
      <c r="B31" s="199">
        <f>'DIA 24'!B$59</f>
        <v>0</v>
      </c>
      <c r="C31" s="28"/>
      <c r="D31" s="1"/>
      <c r="E31" s="135">
        <f t="shared" si="0"/>
        <v>0</v>
      </c>
    </row>
    <row r="32" spans="1:5" x14ac:dyDescent="0.25">
      <c r="A32" s="46">
        <f>'DIA 25'!B$6</f>
        <v>44767</v>
      </c>
      <c r="B32" s="199">
        <f>'DIA 25'!B$59</f>
        <v>0</v>
      </c>
      <c r="C32" s="28"/>
      <c r="D32" s="1"/>
      <c r="E32" s="135">
        <f t="shared" si="0"/>
        <v>0</v>
      </c>
    </row>
    <row r="33" spans="1:5" x14ac:dyDescent="0.25">
      <c r="A33" s="46">
        <f>'DIA 26'!B$6</f>
        <v>44768</v>
      </c>
      <c r="B33" s="199">
        <f>'DIA 26'!B$59</f>
        <v>0</v>
      </c>
      <c r="C33" s="28"/>
      <c r="D33" s="1"/>
      <c r="E33" s="135">
        <f t="shared" si="0"/>
        <v>0</v>
      </c>
    </row>
    <row r="34" spans="1:5" x14ac:dyDescent="0.25">
      <c r="A34" s="46">
        <f>'DIA 27'!B$6</f>
        <v>44769</v>
      </c>
      <c r="B34" s="199">
        <f>'DIA 27'!B$59</f>
        <v>0</v>
      </c>
      <c r="C34" s="28"/>
      <c r="D34" s="1"/>
      <c r="E34" s="135">
        <f t="shared" si="0"/>
        <v>0</v>
      </c>
    </row>
    <row r="35" spans="1:5" x14ac:dyDescent="0.25">
      <c r="A35" s="46">
        <f>'DIA 28'!B$6</f>
        <v>44770</v>
      </c>
      <c r="B35" s="199">
        <f>'DIA 28'!B$59</f>
        <v>0</v>
      </c>
      <c r="C35" s="28"/>
      <c r="D35" s="1"/>
      <c r="E35" s="135">
        <f t="shared" si="0"/>
        <v>0</v>
      </c>
    </row>
    <row r="36" spans="1:5" x14ac:dyDescent="0.25">
      <c r="A36" s="46">
        <f>'DIA 29'!B$6</f>
        <v>44771</v>
      </c>
      <c r="B36" s="199">
        <f>'DIA 29'!B$59</f>
        <v>0</v>
      </c>
      <c r="C36" s="28"/>
      <c r="D36" s="1"/>
      <c r="E36" s="135">
        <f t="shared" si="0"/>
        <v>0</v>
      </c>
    </row>
    <row r="37" spans="1:5" x14ac:dyDescent="0.25">
      <c r="A37" s="46">
        <f>'DIA 30'!B$6</f>
        <v>44772</v>
      </c>
      <c r="B37" s="199">
        <f>'DIA 30'!B$59</f>
        <v>0</v>
      </c>
      <c r="C37" s="28"/>
      <c r="D37" s="1"/>
      <c r="E37" s="135">
        <f t="shared" si="0"/>
        <v>0</v>
      </c>
    </row>
    <row r="38" spans="1:5" x14ac:dyDescent="0.25">
      <c r="A38" s="46">
        <f>'DIA 31'!B$6</f>
        <v>44773</v>
      </c>
      <c r="B38" s="199">
        <f>'DIA 31'!B$59</f>
        <v>0</v>
      </c>
      <c r="C38" s="28"/>
      <c r="D38" s="1"/>
      <c r="E38" s="135">
        <f t="shared" si="0"/>
        <v>0</v>
      </c>
    </row>
    <row r="39" spans="1:5" x14ac:dyDescent="0.25">
      <c r="A39" s="32" t="s">
        <v>43</v>
      </c>
      <c r="B39" s="134">
        <f>SUM(B8:B38)</f>
        <v>0</v>
      </c>
      <c r="C39" s="33"/>
      <c r="D39" s="134">
        <f>SUM(D8:D38)</f>
        <v>0</v>
      </c>
      <c r="E39" s="134">
        <f>SUM(E8:E38)</f>
        <v>0</v>
      </c>
    </row>
    <row r="41" spans="1:5" ht="15.75" thickBot="1" x14ac:dyDescent="0.3"/>
    <row r="42" spans="1:5" x14ac:dyDescent="0.25">
      <c r="A42" s="34" t="s">
        <v>44</v>
      </c>
      <c r="B42" s="35">
        <f>'RESUMEN GENERAL DE VENTAS'!B39</f>
        <v>295093.73</v>
      </c>
    </row>
    <row r="43" spans="1:5" x14ac:dyDescent="0.25">
      <c r="A43" s="36" t="s">
        <v>49</v>
      </c>
      <c r="B43" s="37">
        <f>B39/B42</f>
        <v>0</v>
      </c>
    </row>
    <row r="44" spans="1:5" x14ac:dyDescent="0.25">
      <c r="A44" s="36" t="s">
        <v>45</v>
      </c>
      <c r="B44" s="38"/>
    </row>
    <row r="45" spans="1:5" ht="15.75" thickBot="1" x14ac:dyDescent="0.3">
      <c r="A45" s="39" t="s">
        <v>46</v>
      </c>
      <c r="B45" s="40"/>
    </row>
  </sheetData>
  <mergeCells count="5">
    <mergeCell ref="A1:A3"/>
    <mergeCell ref="B1:F1"/>
    <mergeCell ref="B2:F2"/>
    <mergeCell ref="B3:F3"/>
    <mergeCell ref="A4:F4"/>
  </mergeCells>
  <conditionalFormatting sqref="E8:E38">
    <cfRule type="cellIs" dxfId="64" priority="2" operator="greaterThan">
      <formula>" Bs.  0"</formula>
    </cfRule>
    <cfRule type="cellIs" dxfId="63" priority="3" operator="lessThan">
      <formula>" Bs.  -2,00 "</formula>
    </cfRule>
  </conditionalFormatting>
  <conditionalFormatting sqref="E8:E38">
    <cfRule type="expression" dxfId="62" priority="1">
      <formula>E8=0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topLeftCell="A6" workbookViewId="0">
      <selection activeCell="F34" sqref="F34"/>
    </sheetView>
  </sheetViews>
  <sheetFormatPr baseColWidth="10" defaultRowHeight="15" x14ac:dyDescent="0.25"/>
  <cols>
    <col min="1" max="1" width="19.7109375" bestFit="1" customWidth="1"/>
    <col min="2" max="2" width="13.7109375" customWidth="1"/>
    <col min="3" max="3" width="18.140625" customWidth="1"/>
    <col min="4" max="4" width="13.5703125" customWidth="1"/>
    <col min="5" max="5" width="21.7109375" customWidth="1"/>
    <col min="6" max="6" width="11.42578125" customWidth="1"/>
    <col min="7" max="7" width="18.140625" customWidth="1"/>
    <col min="8" max="8" width="12.140625" customWidth="1"/>
    <col min="9" max="9" width="17.7109375" customWidth="1"/>
  </cols>
  <sheetData>
    <row r="1" spans="1:9" s="2" customFormat="1" ht="16.5" customHeight="1" x14ac:dyDescent="0.25">
      <c r="A1" s="298"/>
      <c r="B1" s="299"/>
      <c r="C1" s="300"/>
      <c r="D1" s="300"/>
      <c r="E1" s="300"/>
      <c r="F1" s="301"/>
    </row>
    <row r="2" spans="1:9" s="2" customFormat="1" ht="16.5" customHeight="1" x14ac:dyDescent="0.35">
      <c r="A2" s="298"/>
      <c r="B2" s="302" t="s">
        <v>12</v>
      </c>
      <c r="C2" s="303"/>
      <c r="D2" s="303"/>
      <c r="E2" s="303"/>
      <c r="F2" s="304"/>
    </row>
    <row r="3" spans="1:9" s="2" customFormat="1" ht="16.5" customHeight="1" x14ac:dyDescent="0.25">
      <c r="A3" s="298"/>
      <c r="B3" s="305" t="s">
        <v>32</v>
      </c>
      <c r="C3" s="306"/>
      <c r="D3" s="306"/>
      <c r="E3" s="306"/>
      <c r="F3" s="307"/>
    </row>
    <row r="4" spans="1:9" x14ac:dyDescent="0.25">
      <c r="A4" s="291" t="s">
        <v>51</v>
      </c>
      <c r="B4" s="291"/>
      <c r="C4" s="291"/>
      <c r="D4" s="291"/>
      <c r="E4" s="291"/>
      <c r="F4" s="291"/>
    </row>
    <row r="7" spans="1:9" ht="27" customHeight="1" x14ac:dyDescent="0.25">
      <c r="A7" s="4" t="s">
        <v>29</v>
      </c>
      <c r="B7" s="4" t="s">
        <v>160</v>
      </c>
      <c r="C7" s="4" t="s">
        <v>161</v>
      </c>
      <c r="D7" s="4" t="s">
        <v>157</v>
      </c>
      <c r="E7" s="4" t="s">
        <v>87</v>
      </c>
      <c r="F7" s="3" t="s">
        <v>158</v>
      </c>
      <c r="G7" s="4" t="s">
        <v>91</v>
      </c>
      <c r="H7" s="207" t="s">
        <v>159</v>
      </c>
      <c r="I7" s="207" t="s">
        <v>162</v>
      </c>
    </row>
    <row r="8" spans="1:9" x14ac:dyDescent="0.25">
      <c r="A8" s="46">
        <f>'DIA 1'!B$6</f>
        <v>44774</v>
      </c>
      <c r="B8" s="208">
        <f>'DIA 1'!B$19</f>
        <v>403</v>
      </c>
      <c r="C8" s="209">
        <f>'DIA 1'!B$20</f>
        <v>2333.37</v>
      </c>
      <c r="D8" s="209">
        <f>'DIA 1'!B$27</f>
        <v>0</v>
      </c>
      <c r="E8" s="209">
        <f>'DIA 1'!B$28</f>
        <v>0</v>
      </c>
      <c r="F8" s="209">
        <f>'DIA 1'!B$35</f>
        <v>0</v>
      </c>
      <c r="G8" s="209">
        <f>'DIA 1'!B$36</f>
        <v>0</v>
      </c>
      <c r="H8" s="209">
        <f>'DIA 1'!B$43</f>
        <v>0</v>
      </c>
      <c r="I8" s="209">
        <f>'DIA 1'!B$44</f>
        <v>0</v>
      </c>
    </row>
    <row r="9" spans="1:9" x14ac:dyDescent="0.25">
      <c r="A9" s="46">
        <f>'DIA 2'!B$6</f>
        <v>44775</v>
      </c>
      <c r="B9" s="208">
        <f>'DIA 2'!B$19</f>
        <v>248</v>
      </c>
      <c r="C9" s="209">
        <f>'DIA 2'!B$20</f>
        <v>1433.48</v>
      </c>
      <c r="D9" s="209">
        <f>'DIA 2'!B$27</f>
        <v>0</v>
      </c>
      <c r="E9" s="209">
        <f>'DIA 2'!B$28</f>
        <v>0</v>
      </c>
      <c r="F9" s="209">
        <f>'DIA 2'!B$35</f>
        <v>0</v>
      </c>
      <c r="G9" s="209">
        <f>'DIA 2'!B$36</f>
        <v>0</v>
      </c>
      <c r="H9" s="209">
        <f>'DIA 2'!B$43</f>
        <v>0</v>
      </c>
      <c r="I9" s="209">
        <f>'DIA 2'!B$44</f>
        <v>0</v>
      </c>
    </row>
    <row r="10" spans="1:9" x14ac:dyDescent="0.25">
      <c r="A10" s="46">
        <f>'DIA 3'!B$6</f>
        <v>44776</v>
      </c>
      <c r="B10" s="208">
        <f>'DIA 3'!B$19</f>
        <v>377</v>
      </c>
      <c r="C10" s="209">
        <f>'DIA 3'!B$20</f>
        <v>2186.6</v>
      </c>
      <c r="D10" s="209">
        <f>'DIA 3'!B$27</f>
        <v>0</v>
      </c>
      <c r="E10" s="209">
        <f>'DIA 3'!B$28</f>
        <v>0</v>
      </c>
      <c r="F10" s="209">
        <f>'DIA 3'!B$35</f>
        <v>0</v>
      </c>
      <c r="G10" s="209">
        <f>'DIA 3'!B$36</f>
        <v>0</v>
      </c>
      <c r="H10" s="209">
        <f>'DIA 3'!B$43</f>
        <v>0</v>
      </c>
      <c r="I10" s="209">
        <f>'DIA 3'!B$44</f>
        <v>0</v>
      </c>
    </row>
    <row r="11" spans="1:9" x14ac:dyDescent="0.25">
      <c r="A11" s="46">
        <f>'DIA 4'!B$6</f>
        <v>44777</v>
      </c>
      <c r="B11" s="208">
        <f>'DIA 4'!B$19</f>
        <v>239</v>
      </c>
      <c r="C11" s="209">
        <f>'DIA 4'!B$20</f>
        <v>1382.96</v>
      </c>
      <c r="D11" s="209">
        <f>'DIA 4'!B$27</f>
        <v>0</v>
      </c>
      <c r="E11" s="209">
        <f>'DIA 4'!B$28</f>
        <v>0</v>
      </c>
      <c r="F11" s="209">
        <f>'DIA 4'!B$35</f>
        <v>0</v>
      </c>
      <c r="G11" s="209">
        <f>'DIA 4'!B$36</f>
        <v>0</v>
      </c>
      <c r="H11" s="209">
        <f>'DIA 4'!B$43</f>
        <v>0</v>
      </c>
      <c r="I11" s="209">
        <f>'DIA 4'!B$44</f>
        <v>0</v>
      </c>
    </row>
    <row r="12" spans="1:9" x14ac:dyDescent="0.25">
      <c r="A12" s="46">
        <f>'DIA 5'!B$6</f>
        <v>44778</v>
      </c>
      <c r="B12" s="208">
        <f>'DIA 5'!B$19</f>
        <v>401</v>
      </c>
      <c r="C12" s="209">
        <f>'DIA 5'!B$20</f>
        <v>2347.7799999999997</v>
      </c>
      <c r="D12" s="209">
        <f>'DIA 5'!B$27</f>
        <v>0</v>
      </c>
      <c r="E12" s="209">
        <f>'DIA 5'!B$28</f>
        <v>0</v>
      </c>
      <c r="F12" s="209">
        <f>'DIA 5'!B$35</f>
        <v>0</v>
      </c>
      <c r="G12" s="209">
        <f>'DIA 5'!B$36</f>
        <v>0</v>
      </c>
      <c r="H12" s="209">
        <f>'DIA 5'!B$43</f>
        <v>0</v>
      </c>
      <c r="I12" s="209">
        <f>'DIA 5'!B$44</f>
        <v>0</v>
      </c>
    </row>
    <row r="13" spans="1:9" x14ac:dyDescent="0.25">
      <c r="A13" s="46">
        <f>'DIA 6'!B$6</f>
        <v>44779</v>
      </c>
      <c r="B13" s="208">
        <f>'DIA 6'!B$19</f>
        <v>605</v>
      </c>
      <c r="C13" s="209">
        <f>'DIA 6'!B$20</f>
        <v>3551.35</v>
      </c>
      <c r="D13" s="209">
        <f>'DIA 6'!B$27</f>
        <v>0</v>
      </c>
      <c r="E13" s="209">
        <f>'DIA 6'!B$28</f>
        <v>0</v>
      </c>
      <c r="F13" s="209">
        <f>'DIA 6'!B$35</f>
        <v>0</v>
      </c>
      <c r="G13" s="209">
        <f>'DIA 6'!B$36</f>
        <v>0</v>
      </c>
      <c r="H13" s="209">
        <f>'DIA 6'!B$43</f>
        <v>19.760000000000002</v>
      </c>
      <c r="I13" s="209">
        <f>'DIA 6'!B$44</f>
        <v>115.99120000000001</v>
      </c>
    </row>
    <row r="14" spans="1:9" x14ac:dyDescent="0.25">
      <c r="A14" s="46">
        <f>'DIA 7'!B$6</f>
        <v>44780</v>
      </c>
      <c r="B14" s="208">
        <f>'DIA 7'!B$19</f>
        <v>753</v>
      </c>
      <c r="C14" s="209">
        <f>'DIA 7'!B$20</f>
        <v>4420.1099999999997</v>
      </c>
      <c r="D14" s="209">
        <f>'DIA 7'!B$27</f>
        <v>0</v>
      </c>
      <c r="E14" s="209">
        <f>'DIA 7'!B$28</f>
        <v>0</v>
      </c>
      <c r="F14" s="209">
        <f>'DIA 7'!B$35</f>
        <v>0</v>
      </c>
      <c r="G14" s="209">
        <f>'DIA 7'!B$36</f>
        <v>0</v>
      </c>
      <c r="H14" s="209">
        <f>'DIA 7'!B$43</f>
        <v>44.51</v>
      </c>
      <c r="I14" s="209">
        <f>'DIA 7'!B$44</f>
        <v>261.27370000000002</v>
      </c>
    </row>
    <row r="15" spans="1:9" x14ac:dyDescent="0.25">
      <c r="A15" s="46">
        <f>'DIA 8'!B$6</f>
        <v>44781</v>
      </c>
      <c r="B15" s="208">
        <f>'DIA 8'!B$19</f>
        <v>522</v>
      </c>
      <c r="C15" s="209">
        <f>'DIA 8'!B$20</f>
        <v>3064.14</v>
      </c>
      <c r="D15" s="209">
        <f>'DIA 8'!B$27</f>
        <v>0</v>
      </c>
      <c r="E15" s="209">
        <f>'DIA 8'!B$28</f>
        <v>0</v>
      </c>
      <c r="F15" s="209">
        <f>'DIA 8'!B$35</f>
        <v>0</v>
      </c>
      <c r="G15" s="209">
        <f>'DIA 8'!B$36</f>
        <v>0</v>
      </c>
      <c r="H15" s="209">
        <f>'DIA 8'!B$43</f>
        <v>0</v>
      </c>
      <c r="I15" s="209">
        <f>'DIA 8'!B$44</f>
        <v>0</v>
      </c>
    </row>
    <row r="16" spans="1:9" x14ac:dyDescent="0.25">
      <c r="A16" s="46">
        <f>'DIA 9'!B$6</f>
        <v>44782</v>
      </c>
      <c r="B16" s="208">
        <f>'DIA 9'!B$19</f>
        <v>283</v>
      </c>
      <c r="C16" s="209">
        <f>'DIA 9'!B$20</f>
        <v>1663.88</v>
      </c>
      <c r="D16" s="209">
        <f>'DIA 9'!B$27</f>
        <v>0</v>
      </c>
      <c r="E16" s="209">
        <f>'DIA 9'!B$28</f>
        <v>0</v>
      </c>
      <c r="F16" s="209">
        <f>'DIA 9'!B$35</f>
        <v>0</v>
      </c>
      <c r="G16" s="209">
        <f>'DIA 9'!B$36</f>
        <v>0</v>
      </c>
      <c r="H16" s="209">
        <f>'DIA 9'!B$43</f>
        <v>71.650000000000006</v>
      </c>
      <c r="I16" s="209">
        <f>'DIA 9'!B$44</f>
        <v>420.58550000000002</v>
      </c>
    </row>
    <row r="17" spans="1:9" x14ac:dyDescent="0.25">
      <c r="A17" s="46">
        <f>'DIA 10'!B$6</f>
        <v>44783</v>
      </c>
      <c r="B17" s="208">
        <f>'DIA 10'!B$19</f>
        <v>257</v>
      </c>
      <c r="C17" s="209">
        <f>'DIA 10'!B$20</f>
        <v>1516.3000000000002</v>
      </c>
      <c r="D17" s="209">
        <f>'DIA 10'!B$27</f>
        <v>0</v>
      </c>
      <c r="E17" s="209">
        <f>'DIA 10'!B$28</f>
        <v>0</v>
      </c>
      <c r="F17" s="209">
        <f>'DIA 10'!B$35</f>
        <v>0</v>
      </c>
      <c r="G17" s="209">
        <f>'DIA 10'!B$36</f>
        <v>0</v>
      </c>
      <c r="H17" s="209">
        <f>'DIA 10'!B$43</f>
        <v>0</v>
      </c>
      <c r="I17" s="209">
        <f>'DIA 10'!B$44</f>
        <v>0</v>
      </c>
    </row>
    <row r="18" spans="1:9" x14ac:dyDescent="0.25">
      <c r="A18" s="46">
        <f>'DIA 11'!B$6</f>
        <v>44784</v>
      </c>
      <c r="B18" s="208">
        <f>'DIA 11'!B$19</f>
        <v>344</v>
      </c>
      <c r="C18" s="209">
        <f>'DIA 11'!B$20</f>
        <v>2039.06</v>
      </c>
      <c r="D18" s="209">
        <f>'DIA 11'!B$27</f>
        <v>0</v>
      </c>
      <c r="E18" s="209">
        <f>'DIA 11'!B$28</f>
        <v>0</v>
      </c>
      <c r="F18" s="209">
        <f>'DIA 11'!B$35</f>
        <v>0</v>
      </c>
      <c r="G18" s="209">
        <f>'DIA 11'!B$36</f>
        <v>0</v>
      </c>
      <c r="H18" s="209">
        <f>'DIA 11'!B$43</f>
        <v>0</v>
      </c>
      <c r="I18" s="209">
        <f>'DIA 11'!B$44</f>
        <v>0</v>
      </c>
    </row>
    <row r="19" spans="1:9" x14ac:dyDescent="0.25">
      <c r="A19" s="46">
        <f>'DIA 12'!B$6</f>
        <v>44785</v>
      </c>
      <c r="B19" s="208">
        <f>'DIA 12'!B$19</f>
        <v>466</v>
      </c>
      <c r="C19" s="209">
        <f>'DIA 12'!B$20</f>
        <v>2783.38</v>
      </c>
      <c r="D19" s="209">
        <f>'DIA 12'!B$27</f>
        <v>0</v>
      </c>
      <c r="E19" s="209">
        <f>'DIA 12'!B$28</f>
        <v>0</v>
      </c>
      <c r="F19" s="209">
        <f>'DIA 12'!B$35</f>
        <v>0</v>
      </c>
      <c r="G19" s="209">
        <f>'DIA 12'!B$36</f>
        <v>0</v>
      </c>
      <c r="H19" s="209">
        <f>'DIA 12'!B$43</f>
        <v>0</v>
      </c>
      <c r="I19" s="209">
        <f>'DIA 12'!B$44</f>
        <v>0</v>
      </c>
    </row>
    <row r="20" spans="1:9" x14ac:dyDescent="0.25">
      <c r="A20" s="46">
        <f>'DIA 13'!B$6</f>
        <v>44786</v>
      </c>
      <c r="B20" s="208">
        <f>'DIA 13'!B$19</f>
        <v>706</v>
      </c>
      <c r="C20" s="209">
        <f>'DIA 13'!B$20</f>
        <v>4221.88</v>
      </c>
      <c r="D20" s="209">
        <f>'DIA 13'!B$27</f>
        <v>0</v>
      </c>
      <c r="E20" s="209">
        <f>'DIA 13'!B$28</f>
        <v>0</v>
      </c>
      <c r="F20" s="209">
        <f>'DIA 13'!B$35</f>
        <v>0</v>
      </c>
      <c r="G20" s="209">
        <f>'DIA 13'!B$36</f>
        <v>0</v>
      </c>
      <c r="H20" s="209">
        <f>'DIA 13'!B$43</f>
        <v>0</v>
      </c>
      <c r="I20" s="209">
        <f>'DIA 13'!B$44</f>
        <v>0</v>
      </c>
    </row>
    <row r="21" spans="1:9" x14ac:dyDescent="0.25">
      <c r="A21" s="46">
        <f>'DIA 14'!B$6</f>
        <v>44787</v>
      </c>
      <c r="B21" s="208">
        <f>'DIA 14'!B$19</f>
        <v>507</v>
      </c>
      <c r="C21" s="209">
        <f>'DIA 14'!B$20</f>
        <v>3031.86</v>
      </c>
      <c r="D21" s="209">
        <f>'DIA 14'!B$27</f>
        <v>2</v>
      </c>
      <c r="E21" s="209">
        <f>'DIA 14'!B$28</f>
        <v>12.24</v>
      </c>
      <c r="F21" s="209">
        <f>'DIA 14'!B$35</f>
        <v>0</v>
      </c>
      <c r="G21" s="209">
        <f>'DIA 14'!B$36</f>
        <v>0</v>
      </c>
      <c r="H21" s="209">
        <f>'DIA 14'!B$43</f>
        <v>57.573</v>
      </c>
      <c r="I21" s="209">
        <f>'DIA 14'!B$44</f>
        <v>344.28654</v>
      </c>
    </row>
    <row r="22" spans="1:9" x14ac:dyDescent="0.25">
      <c r="A22" s="46">
        <f>'DIA 15'!B$6</f>
        <v>44788</v>
      </c>
      <c r="B22" s="208">
        <f>'DIA 15'!B$19</f>
        <v>252</v>
      </c>
      <c r="C22" s="209">
        <f>'DIA 15'!B$20</f>
        <v>1506.96</v>
      </c>
      <c r="D22" s="209">
        <f>'DIA 15'!B$27</f>
        <v>0</v>
      </c>
      <c r="E22" s="209">
        <f>'DIA 15'!B$28</f>
        <v>0</v>
      </c>
      <c r="F22" s="209">
        <f>'DIA 15'!B$35</f>
        <v>0</v>
      </c>
      <c r="G22" s="209">
        <f>'DIA 15'!B$36</f>
        <v>0</v>
      </c>
      <c r="H22" s="209">
        <f>'DIA 15'!B$43</f>
        <v>33.159999999999997</v>
      </c>
      <c r="I22" s="209">
        <f>'DIA 15'!B$44</f>
        <v>198.29679999999999</v>
      </c>
    </row>
    <row r="23" spans="1:9" x14ac:dyDescent="0.25">
      <c r="A23" s="46">
        <f>'DIA 16'!B$6</f>
        <v>44758</v>
      </c>
      <c r="B23" s="208">
        <f>'DIA 16'!B$19</f>
        <v>728</v>
      </c>
      <c r="C23" s="209">
        <f>'DIA 16'!B$20</f>
        <v>4149.6000000000004</v>
      </c>
      <c r="D23" s="209">
        <f>'DIA 16'!B$27</f>
        <v>0</v>
      </c>
      <c r="E23" s="209">
        <f>'DIA 16'!B$28</f>
        <v>0</v>
      </c>
      <c r="F23" s="209">
        <f>'DIA 16'!B$35</f>
        <v>0</v>
      </c>
      <c r="G23" s="209">
        <f>'DIA 16'!B$36</f>
        <v>0</v>
      </c>
      <c r="H23" s="209">
        <f>'DIA 16'!B$43</f>
        <v>8.5</v>
      </c>
      <c r="I23" s="209">
        <f>'DIA 16'!B$44</f>
        <v>48.45</v>
      </c>
    </row>
    <row r="24" spans="1:9" x14ac:dyDescent="0.25">
      <c r="A24" s="46">
        <f>'DIA 17'!B$6</f>
        <v>44759</v>
      </c>
      <c r="B24" s="208">
        <f>'DIA 17'!B$19</f>
        <v>929</v>
      </c>
      <c r="C24" s="209">
        <f>'DIA 17'!B$20</f>
        <v>5295.3</v>
      </c>
      <c r="D24" s="209">
        <f>'DIA 17'!B$27</f>
        <v>0</v>
      </c>
      <c r="E24" s="209">
        <f>'DIA 17'!B$28</f>
        <v>0</v>
      </c>
      <c r="F24" s="209">
        <f>'DIA 17'!B$35</f>
        <v>0</v>
      </c>
      <c r="G24" s="209">
        <f>'DIA 17'!B$36</f>
        <v>0</v>
      </c>
      <c r="H24" s="209">
        <f>'DIA 17'!B$43</f>
        <v>63.29</v>
      </c>
      <c r="I24" s="209">
        <f>'DIA 17'!B$44</f>
        <v>360.75299999999999</v>
      </c>
    </row>
    <row r="25" spans="1:9" x14ac:dyDescent="0.25">
      <c r="A25" s="46">
        <f>'DIA 18'!B$6</f>
        <v>44760</v>
      </c>
      <c r="B25" s="208">
        <f>'DIA 18'!B$19</f>
        <v>369</v>
      </c>
      <c r="C25" s="209">
        <f>'DIA 18'!B$20</f>
        <v>2103.3000000000002</v>
      </c>
      <c r="D25" s="209">
        <f>'DIA 18'!B$27</f>
        <v>0</v>
      </c>
      <c r="E25" s="209">
        <f>'DIA 18'!B$28</f>
        <v>0</v>
      </c>
      <c r="F25" s="209">
        <f>'DIA 18'!B$35</f>
        <v>0</v>
      </c>
      <c r="G25" s="209">
        <f>'DIA 18'!B$36</f>
        <v>0</v>
      </c>
      <c r="H25" s="209">
        <f>'DIA 18'!B$43</f>
        <v>23.9</v>
      </c>
      <c r="I25" s="209">
        <f>'DIA 18'!B$44</f>
        <v>136.22999999999999</v>
      </c>
    </row>
    <row r="26" spans="1:9" x14ac:dyDescent="0.25">
      <c r="A26" s="46">
        <f>'DIA 19'!B$6</f>
        <v>44761</v>
      </c>
      <c r="B26" s="208">
        <f>'DIA 19'!B$19</f>
        <v>394</v>
      </c>
      <c r="C26" s="209">
        <f>'DIA 19'!B$20</f>
        <v>2245.8000000000002</v>
      </c>
      <c r="D26" s="209">
        <f>'DIA 19'!B$27</f>
        <v>0</v>
      </c>
      <c r="E26" s="209">
        <f>'DIA 19'!B$28</f>
        <v>0</v>
      </c>
      <c r="F26" s="209">
        <f>'DIA 19'!B$35</f>
        <v>0</v>
      </c>
      <c r="G26" s="209">
        <f>'DIA 19'!B$36</f>
        <v>0</v>
      </c>
      <c r="H26" s="209">
        <f>'DIA 19'!B$43</f>
        <v>0</v>
      </c>
      <c r="I26" s="209">
        <f>'DIA 19'!B$44</f>
        <v>0</v>
      </c>
    </row>
    <row r="27" spans="1:9" x14ac:dyDescent="0.25">
      <c r="A27" s="46">
        <f>'DIA 20'!B$6</f>
        <v>44732</v>
      </c>
      <c r="B27" s="208">
        <f>'DIA 20'!B$19</f>
        <v>408</v>
      </c>
      <c r="C27" s="209">
        <f>'DIA 20'!B$20</f>
        <v>2332.02</v>
      </c>
      <c r="D27" s="209">
        <f>'DIA 20'!B$27</f>
        <v>0</v>
      </c>
      <c r="E27" s="209">
        <f>'DIA 20'!B$28</f>
        <v>0</v>
      </c>
      <c r="F27" s="209">
        <f>'DIA 20'!B$35</f>
        <v>0</v>
      </c>
      <c r="G27" s="209">
        <f>'DIA 20'!B$36</f>
        <v>0</v>
      </c>
      <c r="H27" s="209">
        <f>'DIA 20'!B$43</f>
        <v>0</v>
      </c>
      <c r="I27" s="209">
        <f>'DIA 20'!B$44</f>
        <v>0</v>
      </c>
    </row>
    <row r="28" spans="1:9" x14ac:dyDescent="0.25">
      <c r="A28" s="46">
        <f>'DIA 21'!B$6</f>
        <v>44763</v>
      </c>
      <c r="B28" s="208">
        <f>'DIA 21'!B$19</f>
        <v>400</v>
      </c>
      <c r="C28" s="209">
        <f>'DIA 21'!B$20</f>
        <v>2292</v>
      </c>
      <c r="D28" s="209">
        <f>'DIA 21'!B$27</f>
        <v>0</v>
      </c>
      <c r="E28" s="209">
        <f>'DIA 21'!B$28</f>
        <v>0</v>
      </c>
      <c r="F28" s="209">
        <f>'DIA 21'!B$35</f>
        <v>0</v>
      </c>
      <c r="G28" s="209">
        <f>'DIA 21'!B$36</f>
        <v>0</v>
      </c>
      <c r="H28" s="209">
        <f>'DIA 21'!B$43</f>
        <v>0</v>
      </c>
      <c r="I28" s="209">
        <f>'DIA 21'!B$44</f>
        <v>0</v>
      </c>
    </row>
    <row r="29" spans="1:9" x14ac:dyDescent="0.25">
      <c r="A29" s="46">
        <f>'DIA 22'!B$6</f>
        <v>44764</v>
      </c>
      <c r="B29" s="208">
        <f>'DIA 22'!B$19</f>
        <v>376</v>
      </c>
      <c r="C29" s="209">
        <f>'DIA 22'!B$20</f>
        <v>2154.48</v>
      </c>
      <c r="D29" s="209">
        <f>'DIA 22'!B$27</f>
        <v>0</v>
      </c>
      <c r="E29" s="209">
        <f>'DIA 22'!B$28</f>
        <v>0</v>
      </c>
      <c r="F29" s="209">
        <f>'DIA 22'!B$35</f>
        <v>0</v>
      </c>
      <c r="G29" s="209">
        <f>'DIA 22'!B$36</f>
        <v>0</v>
      </c>
      <c r="H29" s="209">
        <f>'DIA 22'!B$43</f>
        <v>17.260000000000002</v>
      </c>
      <c r="I29" s="209">
        <f>'DIA 22'!B$44</f>
        <v>98.899800000000013</v>
      </c>
    </row>
    <row r="30" spans="1:9" x14ac:dyDescent="0.25">
      <c r="A30" s="46">
        <f>'DIA 23'!B$6</f>
        <v>44765</v>
      </c>
      <c r="B30" s="208">
        <f>'DIA 23'!B$19</f>
        <v>564</v>
      </c>
      <c r="C30" s="209">
        <f>'DIA 23'!B$20</f>
        <v>3231.7200000000003</v>
      </c>
      <c r="D30" s="209">
        <f>'DIA 23'!B$27</f>
        <v>0</v>
      </c>
      <c r="E30" s="209">
        <f>'DIA 23'!B$28</f>
        <v>0</v>
      </c>
      <c r="F30" s="209">
        <f>'DIA 23'!B$35</f>
        <v>0</v>
      </c>
      <c r="G30" s="209">
        <f>'DIA 23'!B$36</f>
        <v>0</v>
      </c>
      <c r="H30" s="209">
        <f>'DIA 23'!B$43</f>
        <v>0</v>
      </c>
      <c r="I30" s="209">
        <f>'DIA 23'!B$44</f>
        <v>0</v>
      </c>
    </row>
    <row r="31" spans="1:9" x14ac:dyDescent="0.25">
      <c r="A31" s="46">
        <f>'DIA 24'!B$6</f>
        <v>44766</v>
      </c>
      <c r="B31" s="208">
        <f>'DIA 24'!B$19</f>
        <v>662</v>
      </c>
      <c r="C31" s="209">
        <f>'DIA 24'!B$20</f>
        <v>3793.26</v>
      </c>
      <c r="D31" s="209">
        <f>'DIA 24'!B$27</f>
        <v>0</v>
      </c>
      <c r="E31" s="209">
        <f>'DIA 24'!B$28</f>
        <v>0</v>
      </c>
      <c r="F31" s="209">
        <f>'DIA 24'!B$35</f>
        <v>10.55</v>
      </c>
      <c r="G31" s="209">
        <f>'DIA 24'!B$36</f>
        <v>60.45150000000001</v>
      </c>
      <c r="H31" s="209">
        <f>'DIA 24'!B$43</f>
        <v>65.900000000000006</v>
      </c>
      <c r="I31" s="209">
        <f>'DIA 24'!B$44</f>
        <v>377.60700000000008</v>
      </c>
    </row>
    <row r="32" spans="1:9" x14ac:dyDescent="0.25">
      <c r="A32" s="46">
        <f>'DIA 25'!B$6</f>
        <v>44767</v>
      </c>
      <c r="B32" s="208">
        <f>'DIA 25'!B$19</f>
        <v>391</v>
      </c>
      <c r="C32" s="209">
        <f>'DIA 25'!B$20</f>
        <v>2240.4300000000003</v>
      </c>
      <c r="D32" s="209">
        <f>'DIA 25'!B$27</f>
        <v>0</v>
      </c>
      <c r="E32" s="209">
        <f>'DIA 25'!B$28</f>
        <v>0</v>
      </c>
      <c r="F32" s="209">
        <f>'DIA 25'!B$35</f>
        <v>0</v>
      </c>
      <c r="G32" s="209">
        <f>'DIA 25'!B$36</f>
        <v>0</v>
      </c>
      <c r="H32" s="209">
        <f>'DIA 25'!B$43</f>
        <v>0</v>
      </c>
      <c r="I32" s="209">
        <f>'DIA 25'!B$44</f>
        <v>0</v>
      </c>
    </row>
    <row r="33" spans="1:9" x14ac:dyDescent="0.25">
      <c r="A33" s="46">
        <f>'DIA 26'!B$6</f>
        <v>44768</v>
      </c>
      <c r="B33" s="208">
        <f>'DIA 26'!B$19</f>
        <v>346</v>
      </c>
      <c r="C33" s="209">
        <f>'DIA 26'!B$20</f>
        <v>1986.06</v>
      </c>
      <c r="D33" s="209">
        <f>'DIA 26'!B$27</f>
        <v>0</v>
      </c>
      <c r="E33" s="209">
        <f>'DIA 26'!B$28</f>
        <v>0</v>
      </c>
      <c r="F33" s="209">
        <f>'DIA 26'!B$35</f>
        <v>0</v>
      </c>
      <c r="G33" s="209">
        <f>'DIA 26'!B$36</f>
        <v>0</v>
      </c>
      <c r="H33" s="209">
        <f>'DIA 26'!B$43</f>
        <v>35.159999999999997</v>
      </c>
      <c r="I33" s="209">
        <f>'DIA 26'!B$44</f>
        <v>201.46680000000001</v>
      </c>
    </row>
    <row r="34" spans="1:9" x14ac:dyDescent="0.25">
      <c r="A34" s="46">
        <f>'DIA 27'!B$6</f>
        <v>44769</v>
      </c>
      <c r="B34" s="208">
        <f>'DIA 27'!B$19</f>
        <v>328</v>
      </c>
      <c r="C34" s="209">
        <f>'DIA 27'!B$20</f>
        <v>1886</v>
      </c>
      <c r="D34" s="209">
        <f>'DIA 27'!B$27</f>
        <v>0</v>
      </c>
      <c r="E34" s="209">
        <f>'DIA 27'!B$28</f>
        <v>0</v>
      </c>
      <c r="F34" s="209">
        <f>'DIA 27'!B$35</f>
        <v>0</v>
      </c>
      <c r="G34" s="209">
        <f>'DIA 27'!B$36</f>
        <v>0</v>
      </c>
      <c r="H34" s="209">
        <f>'DIA 27'!B$43</f>
        <v>0</v>
      </c>
      <c r="I34" s="209">
        <f>'DIA 27'!B$44</f>
        <v>0</v>
      </c>
    </row>
    <row r="35" spans="1:9" x14ac:dyDescent="0.25">
      <c r="A35" s="46">
        <f>'DIA 28'!B$6</f>
        <v>44770</v>
      </c>
      <c r="B35" s="208">
        <f>'DIA 28'!B$19</f>
        <v>373</v>
      </c>
      <c r="C35" s="209">
        <f>'DIA 28'!B$20</f>
        <v>2154.69</v>
      </c>
      <c r="D35" s="209">
        <f>'DIA 28'!B$27</f>
        <v>0</v>
      </c>
      <c r="E35" s="209">
        <f>'DIA 28'!B$28</f>
        <v>0</v>
      </c>
      <c r="F35" s="209">
        <f>'DIA 28'!B$35</f>
        <v>0</v>
      </c>
      <c r="G35" s="209">
        <f>'DIA 28'!B$36</f>
        <v>0</v>
      </c>
      <c r="H35" s="209">
        <f>'DIA 28'!B$43</f>
        <v>0</v>
      </c>
      <c r="I35" s="209">
        <f>'DIA 28'!B$44</f>
        <v>0</v>
      </c>
    </row>
    <row r="36" spans="1:9" x14ac:dyDescent="0.25">
      <c r="A36" s="46">
        <f>'DIA 29'!B$6</f>
        <v>44771</v>
      </c>
      <c r="B36" s="208">
        <f>'DIA 29'!B$19</f>
        <v>316</v>
      </c>
      <c r="C36" s="209">
        <f>'DIA 29'!B$20</f>
        <v>1828.0700000000002</v>
      </c>
      <c r="D36" s="209">
        <f>'DIA 29'!B$27</f>
        <v>0</v>
      </c>
      <c r="E36" s="209">
        <f>'DIA 29'!B$28</f>
        <v>0</v>
      </c>
      <c r="F36" s="209">
        <f>'DIA 29'!B$35</f>
        <v>20</v>
      </c>
      <c r="G36" s="209">
        <f>'DIA 29'!B$36</f>
        <v>115.60000000000001</v>
      </c>
      <c r="H36" s="209">
        <f>'DIA 29'!B$43</f>
        <v>0</v>
      </c>
      <c r="I36" s="209">
        <f>'DIA 29'!B$44</f>
        <v>0</v>
      </c>
    </row>
    <row r="37" spans="1:9" x14ac:dyDescent="0.25">
      <c r="A37" s="46">
        <f>'DIA 30'!B$6</f>
        <v>44772</v>
      </c>
      <c r="B37" s="208">
        <f>'DIA 30'!B$19</f>
        <v>640</v>
      </c>
      <c r="C37" s="209">
        <f>'DIA 30'!B$20</f>
        <v>3705.6</v>
      </c>
      <c r="D37" s="209">
        <f>'DIA 30'!B$27</f>
        <v>0</v>
      </c>
      <c r="E37" s="209">
        <f>'DIA 30'!B$28</f>
        <v>0</v>
      </c>
      <c r="F37" s="209">
        <f>'DIA 30'!B$35</f>
        <v>0</v>
      </c>
      <c r="G37" s="209">
        <f>'DIA 30'!B$36</f>
        <v>0</v>
      </c>
      <c r="H37" s="209">
        <f>'DIA 30'!B$43</f>
        <v>27.72</v>
      </c>
      <c r="I37" s="209">
        <f>'DIA 30'!B$44</f>
        <v>160.49879999999999</v>
      </c>
    </row>
    <row r="38" spans="1:9" x14ac:dyDescent="0.25">
      <c r="A38" s="46">
        <f>'DIA 31'!B$6</f>
        <v>44773</v>
      </c>
      <c r="B38" s="208">
        <f>'DIA 31'!B$19</f>
        <v>530</v>
      </c>
      <c r="C38" s="209">
        <f>'DIA 31'!B$20</f>
        <v>3068.7</v>
      </c>
      <c r="D38" s="209">
        <f>'DIA 31'!B$27</f>
        <v>0</v>
      </c>
      <c r="E38" s="209">
        <f>'DIA 31'!B$28</f>
        <v>0</v>
      </c>
      <c r="F38" s="209">
        <f>'DIA 31'!B$35</f>
        <v>0</v>
      </c>
      <c r="G38" s="209">
        <f>'DIA 31'!B$36</f>
        <v>0</v>
      </c>
      <c r="H38" s="209">
        <f>'DIA 31'!B$43</f>
        <v>53.84</v>
      </c>
      <c r="I38" s="209">
        <f>'DIA 31'!B$44</f>
        <v>311.73360000000002</v>
      </c>
    </row>
    <row r="39" spans="1:9" x14ac:dyDescent="0.25">
      <c r="A39" s="32" t="s">
        <v>43</v>
      </c>
      <c r="B39" s="134">
        <f>SUM(B8:B38)</f>
        <v>14117</v>
      </c>
      <c r="C39" s="134"/>
      <c r="D39" s="134">
        <f>SUM(D8:D38)</f>
        <v>2</v>
      </c>
      <c r="E39" s="134">
        <f>SUM(F8:F38)</f>
        <v>30.55</v>
      </c>
      <c r="H39" s="254">
        <f>SUM(H8:H38)</f>
        <v>522.22300000000007</v>
      </c>
    </row>
    <row r="41" spans="1:9" ht="15.75" thickBot="1" x14ac:dyDescent="0.3"/>
    <row r="42" spans="1:9" x14ac:dyDescent="0.25">
      <c r="A42" s="34" t="s">
        <v>44</v>
      </c>
      <c r="B42" s="35">
        <f>'RESUMEN GENERAL DE VENTAS'!B39</f>
        <v>295093.73</v>
      </c>
    </row>
    <row r="43" spans="1:9" x14ac:dyDescent="0.25">
      <c r="A43" s="36" t="s">
        <v>49</v>
      </c>
      <c r="B43" s="37">
        <f>B39/B42</f>
        <v>4.7839037447525573E-2</v>
      </c>
    </row>
    <row r="44" spans="1:9" x14ac:dyDescent="0.25">
      <c r="A44" s="36" t="s">
        <v>45</v>
      </c>
      <c r="B44" s="38"/>
    </row>
    <row r="45" spans="1:9" ht="15.75" thickBot="1" x14ac:dyDescent="0.3">
      <c r="A45" s="39" t="s">
        <v>46</v>
      </c>
      <c r="B45" s="40"/>
    </row>
  </sheetData>
  <mergeCells count="5">
    <mergeCell ref="A1:A3"/>
    <mergeCell ref="B1:F1"/>
    <mergeCell ref="B2:F2"/>
    <mergeCell ref="B3:F3"/>
    <mergeCell ref="A4:F4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23" zoomScale="90" zoomScaleNormal="90" workbookViewId="0">
      <selection activeCell="K44" sqref="K44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88"/>
      <c r="B1" s="315"/>
      <c r="C1" s="315"/>
      <c r="D1" s="315"/>
      <c r="E1" s="315"/>
      <c r="F1" s="315"/>
      <c r="G1" s="315"/>
      <c r="H1" s="315"/>
      <c r="M1" s="76"/>
      <c r="N1" s="71"/>
    </row>
    <row r="2" spans="1:28" s="84" customFormat="1" ht="16.5" customHeight="1" x14ac:dyDescent="0.35">
      <c r="A2" s="288"/>
      <c r="B2" s="315" t="s">
        <v>12</v>
      </c>
      <c r="C2" s="315"/>
      <c r="D2" s="315"/>
      <c r="E2" s="315"/>
      <c r="F2" s="315"/>
      <c r="G2" s="315"/>
      <c r="H2" s="315"/>
      <c r="M2" s="76"/>
      <c r="N2" s="71"/>
    </row>
    <row r="3" spans="1:28" s="84" customFormat="1" ht="21.75" customHeight="1" x14ac:dyDescent="0.25">
      <c r="A3" s="288"/>
      <c r="B3" s="316" t="s">
        <v>21</v>
      </c>
      <c r="C3" s="316"/>
      <c r="D3" s="316"/>
      <c r="E3" s="316"/>
      <c r="F3" s="316"/>
      <c r="G3" s="316"/>
      <c r="H3" s="316"/>
      <c r="M3" s="76"/>
      <c r="N3" s="71"/>
    </row>
    <row r="4" spans="1:28" x14ac:dyDescent="0.25">
      <c r="B4" s="317" t="s">
        <v>186</v>
      </c>
      <c r="C4" s="317"/>
      <c r="D4" s="317"/>
      <c r="E4" s="317"/>
      <c r="F4" s="317"/>
      <c r="G4" s="317"/>
      <c r="H4" s="317"/>
    </row>
    <row r="6" spans="1:28" x14ac:dyDescent="0.25">
      <c r="A6" s="7" t="s">
        <v>22</v>
      </c>
      <c r="B6" s="72">
        <v>44774</v>
      </c>
      <c r="D6" s="85" t="s">
        <v>23</v>
      </c>
      <c r="E6" s="8" t="s">
        <v>163</v>
      </c>
      <c r="F6" s="9"/>
      <c r="G6" s="9"/>
    </row>
    <row r="8" spans="1:28" x14ac:dyDescent="0.25">
      <c r="A8" s="7" t="s">
        <v>77</v>
      </c>
      <c r="B8" s="108">
        <v>5.79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742.5</v>
      </c>
      <c r="C12" s="15"/>
      <c r="D12" s="56"/>
      <c r="E12" s="16"/>
      <c r="F12" s="56"/>
      <c r="G12" s="56"/>
      <c r="H12" s="17"/>
      <c r="I12" s="83">
        <v>742.5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267" t="s">
        <v>216</v>
      </c>
      <c r="P12" s="268"/>
      <c r="Q12" s="268">
        <v>101</v>
      </c>
      <c r="R12" s="269">
        <v>7.7</v>
      </c>
      <c r="S12" s="270"/>
      <c r="T12" s="270">
        <v>17.77</v>
      </c>
      <c r="U12" s="189">
        <f>((T12/U$10)*U$9)</f>
        <v>0.76594827586206904</v>
      </c>
      <c r="V12" s="189">
        <f>R12*V$10</f>
        <v>5.7749999999999996E-2</v>
      </c>
      <c r="W12" s="189">
        <f>+S12*V$10</f>
        <v>0</v>
      </c>
      <c r="X12" s="189">
        <f>+T12*X$10</f>
        <v>0.44425000000000003</v>
      </c>
      <c r="Y12" s="189">
        <f>R12-V12</f>
        <v>7.6422499999999998</v>
      </c>
      <c r="Z12" s="189">
        <f>S12-W12</f>
        <v>0</v>
      </c>
      <c r="AA12" s="189">
        <f>T12-U12-X12</f>
        <v>16.55980172413793</v>
      </c>
      <c r="AB12" s="156"/>
    </row>
    <row r="13" spans="1:28" ht="15.75" x14ac:dyDescent="0.25">
      <c r="A13" s="86" t="s">
        <v>76</v>
      </c>
      <c r="B13" s="89">
        <f>15+46+142+200</f>
        <v>403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403</v>
      </c>
      <c r="K13" s="75"/>
      <c r="L13" s="186">
        <f t="shared" ref="L13:L28" si="1">+G13-K13</f>
        <v>0</v>
      </c>
      <c r="M13" s="106"/>
      <c r="N13" s="104">
        <v>2</v>
      </c>
      <c r="O13" s="267" t="s">
        <v>216</v>
      </c>
      <c r="P13" s="268"/>
      <c r="Q13" s="268"/>
      <c r="R13" s="269">
        <v>36.950000000000003</v>
      </c>
      <c r="S13" s="270"/>
      <c r="T13" s="271">
        <v>143.52000000000001</v>
      </c>
      <c r="U13" s="189">
        <f t="shared" ref="U13:U41" si="2">((T13/U$10)*U$9)</f>
        <v>6.1862068965517256</v>
      </c>
      <c r="V13" s="189">
        <f t="shared" ref="V13:V41" si="3">R13*V$10</f>
        <v>0.27712500000000001</v>
      </c>
      <c r="W13" s="189">
        <f t="shared" ref="W13:W41" si="4">+S13*V$10</f>
        <v>0</v>
      </c>
      <c r="X13" s="189">
        <f t="shared" ref="X13:X41" si="5">+T13*X$10</f>
        <v>3.5880000000000005</v>
      </c>
      <c r="Y13" s="189">
        <f t="shared" ref="Y13:Y41" si="6">R13-V13</f>
        <v>36.672875000000005</v>
      </c>
      <c r="Z13" s="189">
        <f t="shared" ref="Z13:Z41" si="7">S13-W13</f>
        <v>0</v>
      </c>
      <c r="AA13" s="189">
        <f t="shared" ref="AA13:AA41" si="8">T13-U13-X13</f>
        <v>133.74579310344828</v>
      </c>
      <c r="AB13" s="156"/>
    </row>
    <row r="14" spans="1:28" ht="15.75" x14ac:dyDescent="0.25">
      <c r="A14" s="86" t="s">
        <v>83</v>
      </c>
      <c r="B14" s="57">
        <f>B13*B8</f>
        <v>2333.37</v>
      </c>
      <c r="C14" s="15"/>
      <c r="D14" s="56"/>
      <c r="E14" s="16"/>
      <c r="F14" s="56"/>
      <c r="G14" s="56"/>
      <c r="H14" s="17"/>
      <c r="I14" s="83"/>
      <c r="J14" s="81">
        <f t="shared" si="0"/>
        <v>2333.37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7"/>
        <v>0</v>
      </c>
      <c r="AA14" s="189">
        <f t="shared" si="8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7"/>
        <v>0</v>
      </c>
      <c r="AA15" s="189">
        <f t="shared" si="8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7"/>
        <v>0</v>
      </c>
      <c r="AA16" s="189">
        <f t="shared" si="8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7"/>
        <v>0</v>
      </c>
      <c r="AA17" s="189">
        <f t="shared" si="8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7"/>
        <v>0</v>
      </c>
      <c r="AA18" s="189">
        <f t="shared" si="8"/>
        <v>0</v>
      </c>
      <c r="AB18" s="156"/>
    </row>
    <row r="19" spans="1:28" ht="15.75" x14ac:dyDescent="0.25">
      <c r="A19" s="93" t="s">
        <v>81</v>
      </c>
      <c r="B19" s="97">
        <f>+B13+B15+B17</f>
        <v>403</v>
      </c>
      <c r="C19" s="95"/>
      <c r="D19" s="94"/>
      <c r="E19" s="96"/>
      <c r="F19" s="94"/>
      <c r="G19" s="94"/>
      <c r="H19" s="98"/>
      <c r="I19" s="99">
        <v>403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7"/>
        <v>0</v>
      </c>
      <c r="AA19" s="189">
        <f t="shared" si="8"/>
        <v>0</v>
      </c>
      <c r="AB19" s="156"/>
    </row>
    <row r="20" spans="1:28" ht="15.75" x14ac:dyDescent="0.25">
      <c r="A20" s="93" t="s">
        <v>82</v>
      </c>
      <c r="B20" s="97">
        <f>+B14+B16+B18</f>
        <v>2333.37</v>
      </c>
      <c r="C20" s="95"/>
      <c r="D20" s="94"/>
      <c r="E20" s="96"/>
      <c r="F20" s="94"/>
      <c r="G20" s="94"/>
      <c r="H20" s="98"/>
      <c r="I20" s="99">
        <v>2333.37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7"/>
        <v>0</v>
      </c>
      <c r="AA20" s="189">
        <f t="shared" si="8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7"/>
        <v>0</v>
      </c>
      <c r="AA21" s="189">
        <f t="shared" si="8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7"/>
        <v>0</v>
      </c>
      <c r="AA22" s="189">
        <f t="shared" si="8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7"/>
        <v>0</v>
      </c>
      <c r="AA23" s="189">
        <f t="shared" si="8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7"/>
        <v>0</v>
      </c>
      <c r="AA24" s="189">
        <f t="shared" si="8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7"/>
        <v>0</v>
      </c>
      <c r="AA25" s="189">
        <f t="shared" si="8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7"/>
        <v>0</v>
      </c>
      <c r="AA26" s="189">
        <f t="shared" si="8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7"/>
        <v>0</v>
      </c>
      <c r="AA27" s="189">
        <f t="shared" si="8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7"/>
        <v>0</v>
      </c>
      <c r="AA28" s="189">
        <f t="shared" si="8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ref="L29:L42" si="9">+G29-K29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7"/>
        <v>0</v>
      </c>
      <c r="AA29" s="189">
        <f t="shared" si="8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9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7"/>
        <v>0</v>
      </c>
      <c r="AA30" s="189">
        <f t="shared" si="8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9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7"/>
        <v>0</v>
      </c>
      <c r="AA31" s="189">
        <f t="shared" si="8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9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7"/>
        <v>0</v>
      </c>
      <c r="AA32" s="189">
        <f t="shared" si="8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9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7"/>
        <v>0</v>
      </c>
      <c r="AA33" s="189">
        <f t="shared" si="8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9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7"/>
        <v>0</v>
      </c>
      <c r="AA34" s="189">
        <f t="shared" si="8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9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7"/>
        <v>0</v>
      </c>
      <c r="AA35" s="189">
        <f t="shared" si="8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9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7"/>
        <v>0</v>
      </c>
      <c r="AA36" s="189">
        <f t="shared" si="8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>K37-B37</f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7"/>
        <v>0</v>
      </c>
      <c r="AA37" s="189">
        <f t="shared" si="8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>K38-B38</f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7"/>
        <v>0</v>
      </c>
      <c r="AA38" s="189">
        <f t="shared" si="8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>K39-B39</f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7"/>
        <v>0</v>
      </c>
      <c r="AA39" s="189">
        <f t="shared" si="8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>K40-B40</f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7"/>
        <v>0</v>
      </c>
      <c r="AA40" s="189">
        <f t="shared" si="8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9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7"/>
        <v>0</v>
      </c>
      <c r="AA41" s="189">
        <f t="shared" si="8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9"/>
        <v>0</v>
      </c>
      <c r="M42" s="107"/>
      <c r="N42" s="310" t="s">
        <v>107</v>
      </c>
      <c r="O42" s="311"/>
      <c r="P42" s="311"/>
      <c r="Q42" s="312"/>
      <c r="R42" s="190">
        <f t="shared" ref="R42:Y42" si="10">SUM(R12:R41)</f>
        <v>44.650000000000006</v>
      </c>
      <c r="S42" s="190">
        <f t="shared" si="10"/>
        <v>0</v>
      </c>
      <c r="T42" s="190">
        <f t="shared" si="10"/>
        <v>161.29000000000002</v>
      </c>
      <c r="U42" s="190">
        <f t="shared" si="10"/>
        <v>6.9521551724137947</v>
      </c>
      <c r="V42" s="190">
        <f t="shared" si="10"/>
        <v>0.33487500000000003</v>
      </c>
      <c r="W42" s="190">
        <f t="shared" si="10"/>
        <v>0</v>
      </c>
      <c r="X42" s="190">
        <f t="shared" si="10"/>
        <v>4.0322500000000003</v>
      </c>
      <c r="Y42" s="190">
        <f t="shared" si="10"/>
        <v>44.315125000000002</v>
      </c>
      <c r="Z42" s="190">
        <f t="shared" ref="Z42" si="11">SUM(Z12:Z41)</f>
        <v>0</v>
      </c>
      <c r="AA42" s="190">
        <f t="shared" ref="AA42" si="12">SUM(AA12:AA41)</f>
        <v>150.30559482758622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>K43-B43</f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60"/>
      <c r="U43" s="189">
        <f t="shared" ref="U43" si="13">((T43/U$10)*U$9)</f>
        <v>0</v>
      </c>
      <c r="V43" s="189">
        <f t="shared" ref="V43" si="14">R43*V$10</f>
        <v>0</v>
      </c>
      <c r="W43" s="189">
        <f t="shared" ref="W43" si="15">+S43*V$10</f>
        <v>0</v>
      </c>
      <c r="X43" s="189">
        <f t="shared" ref="X43" si="16">+T43*X$10</f>
        <v>0</v>
      </c>
      <c r="Y43" s="189">
        <f t="shared" ref="Y43" si="17">R43-V43</f>
        <v>0</v>
      </c>
      <c r="Z43" s="189">
        <f t="shared" ref="Z43" si="18">S43-W43</f>
        <v>0</v>
      </c>
      <c r="AA43" s="189">
        <f t="shared" ref="AA43" si="19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>K44-B44</f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60"/>
      <c r="U44" s="189">
        <f t="shared" ref="U44:U62" si="20">((T44/U$10)*U$9)</f>
        <v>0</v>
      </c>
      <c r="V44" s="189">
        <f t="shared" ref="V44:V62" si="21">R44*V$10</f>
        <v>0</v>
      </c>
      <c r="W44" s="189">
        <f t="shared" ref="W44:W62" si="22">+S44*V$10</f>
        <v>0</v>
      </c>
      <c r="X44" s="189">
        <f t="shared" ref="X44:X62" si="23">+T44*X$10</f>
        <v>0</v>
      </c>
      <c r="Y44" s="189">
        <f t="shared" ref="Y44:Y62" si="24">R44-V44</f>
        <v>0</v>
      </c>
      <c r="Z44" s="189">
        <f t="shared" ref="Z44:Z62" si="25">S44-W44</f>
        <v>0</v>
      </c>
      <c r="AA44" s="189">
        <f t="shared" ref="AA44:AA62" si="26">T44-U44-X44</f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60"/>
      <c r="U45" s="189">
        <f t="shared" si="20"/>
        <v>0</v>
      </c>
      <c r="V45" s="189">
        <f t="shared" si="21"/>
        <v>0</v>
      </c>
      <c r="W45" s="189">
        <f t="shared" si="22"/>
        <v>0</v>
      </c>
      <c r="X45" s="189">
        <f t="shared" si="23"/>
        <v>0</v>
      </c>
      <c r="Y45" s="189">
        <f t="shared" si="24"/>
        <v>0</v>
      </c>
      <c r="Z45" s="189">
        <f t="shared" si="25"/>
        <v>0</v>
      </c>
      <c r="AA45" s="189">
        <f t="shared" si="26"/>
        <v>0</v>
      </c>
      <c r="AB45" s="156"/>
    </row>
    <row r="46" spans="1:28" ht="15.75" x14ac:dyDescent="0.25">
      <c r="A46" s="115" t="s">
        <v>215</v>
      </c>
      <c r="B46" s="117">
        <f>R42</f>
        <v>44.650000000000006</v>
      </c>
      <c r="C46" s="116">
        <v>7.4999999999999997E-3</v>
      </c>
      <c r="D46" s="117">
        <f>B46*C46</f>
        <v>0.33487500000000003</v>
      </c>
      <c r="E46" s="172">
        <v>0</v>
      </c>
      <c r="F46" s="117">
        <f t="shared" ref="F46:F49" si="27">D46*E46</f>
        <v>0</v>
      </c>
      <c r="G46" s="117">
        <f t="shared" ref="G46:G51" si="28">B46-D46-F46</f>
        <v>44.315125000000009</v>
      </c>
      <c r="H46" s="173">
        <f>B$6+1</f>
        <v>44775</v>
      </c>
      <c r="I46" s="174"/>
      <c r="J46" s="81">
        <f t="shared" si="0"/>
        <v>44.650000000000006</v>
      </c>
      <c r="K46" s="80">
        <v>44.32</v>
      </c>
      <c r="L46" s="186">
        <f>K46-G46</f>
        <v>4.874999999991303E-3</v>
      </c>
      <c r="M46" s="107"/>
      <c r="N46" s="104">
        <v>4</v>
      </c>
      <c r="O46" s="167" t="s">
        <v>70</v>
      </c>
      <c r="P46" s="158"/>
      <c r="Q46" s="158"/>
      <c r="R46" s="160"/>
      <c r="S46" s="160"/>
      <c r="T46" s="160"/>
      <c r="U46" s="189">
        <f t="shared" si="20"/>
        <v>0</v>
      </c>
      <c r="V46" s="189">
        <f t="shared" si="21"/>
        <v>0</v>
      </c>
      <c r="W46" s="189">
        <f t="shared" si="22"/>
        <v>0</v>
      </c>
      <c r="X46" s="189">
        <f t="shared" si="23"/>
        <v>0</v>
      </c>
      <c r="Y46" s="189">
        <f t="shared" si="24"/>
        <v>0</v>
      </c>
      <c r="Z46" s="189">
        <f t="shared" si="25"/>
        <v>0</v>
      </c>
      <c r="AA46" s="189">
        <f t="shared" si="26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29">B47*C47</f>
        <v>0</v>
      </c>
      <c r="E47" s="172">
        <v>0</v>
      </c>
      <c r="F47" s="117">
        <f t="shared" si="27"/>
        <v>0</v>
      </c>
      <c r="G47" s="117">
        <f t="shared" si="28"/>
        <v>0</v>
      </c>
      <c r="H47" s="173">
        <f>B$6+1</f>
        <v>44775</v>
      </c>
      <c r="I47" s="175"/>
      <c r="J47" s="81">
        <f t="shared" si="0"/>
        <v>0</v>
      </c>
      <c r="K47" s="80"/>
      <c r="L47" s="186">
        <f t="shared" ref="L47:L64" si="30">+G47-K47</f>
        <v>0</v>
      </c>
      <c r="M47" s="107"/>
      <c r="N47" s="104">
        <v>5</v>
      </c>
      <c r="O47" s="167" t="s">
        <v>70</v>
      </c>
      <c r="P47" s="158"/>
      <c r="Q47" s="158"/>
      <c r="R47" s="160"/>
      <c r="S47" s="160"/>
      <c r="T47" s="160"/>
      <c r="U47" s="189">
        <f t="shared" si="20"/>
        <v>0</v>
      </c>
      <c r="V47" s="189">
        <f t="shared" si="21"/>
        <v>0</v>
      </c>
      <c r="W47" s="189">
        <f t="shared" si="22"/>
        <v>0</v>
      </c>
      <c r="X47" s="189">
        <f t="shared" si="23"/>
        <v>0</v>
      </c>
      <c r="Y47" s="189">
        <f t="shared" si="24"/>
        <v>0</v>
      </c>
      <c r="Z47" s="189">
        <f t="shared" si="25"/>
        <v>0</v>
      </c>
      <c r="AA47" s="189">
        <f t="shared" si="26"/>
        <v>0</v>
      </c>
      <c r="AB47" s="156"/>
    </row>
    <row r="48" spans="1:28" ht="15.75" x14ac:dyDescent="0.25">
      <c r="A48" s="115" t="s">
        <v>175</v>
      </c>
      <c r="B48" s="117">
        <f>R69</f>
        <v>0</v>
      </c>
      <c r="C48" s="116">
        <v>7.4999999999999997E-3</v>
      </c>
      <c r="D48" s="117">
        <f t="shared" si="29"/>
        <v>0</v>
      </c>
      <c r="E48" s="172">
        <v>0</v>
      </c>
      <c r="F48" s="117">
        <f t="shared" si="27"/>
        <v>0</v>
      </c>
      <c r="G48" s="117">
        <f t="shared" si="28"/>
        <v>0</v>
      </c>
      <c r="H48" s="173">
        <f t="shared" ref="H48:H61" si="31">B$6+1</f>
        <v>44775</v>
      </c>
      <c r="I48" s="176"/>
      <c r="J48" s="81">
        <f t="shared" si="0"/>
        <v>0</v>
      </c>
      <c r="K48" s="80"/>
      <c r="L48" s="186">
        <f t="shared" si="30"/>
        <v>0</v>
      </c>
      <c r="M48" s="107"/>
      <c r="N48" s="104">
        <v>6</v>
      </c>
      <c r="O48" s="167" t="s">
        <v>70</v>
      </c>
      <c r="P48" s="158"/>
      <c r="Q48" s="158"/>
      <c r="R48" s="160"/>
      <c r="S48" s="160"/>
      <c r="T48" s="160"/>
      <c r="U48" s="189">
        <f t="shared" si="20"/>
        <v>0</v>
      </c>
      <c r="V48" s="189">
        <f t="shared" si="21"/>
        <v>0</v>
      </c>
      <c r="W48" s="189">
        <f t="shared" si="22"/>
        <v>0</v>
      </c>
      <c r="X48" s="189">
        <f t="shared" si="23"/>
        <v>0</v>
      </c>
      <c r="Y48" s="189">
        <f t="shared" si="24"/>
        <v>0</v>
      </c>
      <c r="Z48" s="189">
        <f t="shared" si="25"/>
        <v>0</v>
      </c>
      <c r="AA48" s="189">
        <f t="shared" si="26"/>
        <v>0</v>
      </c>
      <c r="AB48" s="156"/>
    </row>
    <row r="49" spans="1:28" ht="15.75" x14ac:dyDescent="0.25">
      <c r="A49" s="115" t="s">
        <v>173</v>
      </c>
      <c r="B49" s="117">
        <f>R75</f>
        <v>4103.09</v>
      </c>
      <c r="C49" s="116">
        <v>7.4999999999999997E-3</v>
      </c>
      <c r="D49" s="117">
        <f t="shared" si="29"/>
        <v>30.773174999999998</v>
      </c>
      <c r="E49" s="172">
        <v>0</v>
      </c>
      <c r="F49" s="117">
        <f t="shared" si="27"/>
        <v>0</v>
      </c>
      <c r="G49" s="117">
        <f t="shared" si="28"/>
        <v>4072.3168250000003</v>
      </c>
      <c r="H49" s="173">
        <f t="shared" si="31"/>
        <v>44775</v>
      </c>
      <c r="I49" s="176">
        <f>44.65+2224.89</f>
        <v>2269.54</v>
      </c>
      <c r="J49" s="81">
        <f t="shared" si="0"/>
        <v>1833.5500000000002</v>
      </c>
      <c r="K49" s="80">
        <v>4072.32</v>
      </c>
      <c r="L49" s="186">
        <f t="shared" si="30"/>
        <v>-3.1749999998282874E-3</v>
      </c>
      <c r="M49" s="107"/>
      <c r="N49" s="104">
        <v>7</v>
      </c>
      <c r="O49" s="167" t="s">
        <v>70</v>
      </c>
      <c r="P49" s="158"/>
      <c r="Q49" s="158"/>
      <c r="R49" s="160"/>
      <c r="S49" s="155"/>
      <c r="T49" s="155"/>
      <c r="U49" s="189">
        <f t="shared" si="20"/>
        <v>0</v>
      </c>
      <c r="V49" s="189">
        <f t="shared" si="21"/>
        <v>0</v>
      </c>
      <c r="W49" s="189">
        <f t="shared" si="22"/>
        <v>0</v>
      </c>
      <c r="X49" s="189">
        <f t="shared" si="23"/>
        <v>0</v>
      </c>
      <c r="Y49" s="189">
        <f t="shared" si="24"/>
        <v>0</v>
      </c>
      <c r="Z49" s="189">
        <f t="shared" si="25"/>
        <v>0</v>
      </c>
      <c r="AA49" s="189">
        <f t="shared" si="26"/>
        <v>0</v>
      </c>
      <c r="AB49" s="156"/>
    </row>
    <row r="50" spans="1:28" ht="15.75" x14ac:dyDescent="0.25">
      <c r="A50" s="115" t="s">
        <v>62</v>
      </c>
      <c r="B50" s="171">
        <f>P98+Q98</f>
        <v>130.74</v>
      </c>
      <c r="C50" s="116">
        <v>7.4999999999999997E-3</v>
      </c>
      <c r="D50" s="117">
        <f t="shared" si="29"/>
        <v>0.98055000000000003</v>
      </c>
      <c r="E50" s="172">
        <v>0</v>
      </c>
      <c r="F50" s="117">
        <f>D50*E50</f>
        <v>0</v>
      </c>
      <c r="G50" s="117">
        <f t="shared" si="28"/>
        <v>129.75945000000002</v>
      </c>
      <c r="H50" s="173">
        <f t="shared" si="31"/>
        <v>44775</v>
      </c>
      <c r="I50" s="175">
        <v>2243.27</v>
      </c>
      <c r="J50" s="81">
        <f t="shared" si="0"/>
        <v>-2112.5299999999997</v>
      </c>
      <c r="K50" s="80"/>
      <c r="L50" s="186">
        <f t="shared" si="30"/>
        <v>129.75945000000002</v>
      </c>
      <c r="M50" s="107"/>
      <c r="N50" s="104">
        <v>8</v>
      </c>
      <c r="O50" s="167" t="s">
        <v>70</v>
      </c>
      <c r="P50" s="158"/>
      <c r="Q50" s="158"/>
      <c r="R50" s="160"/>
      <c r="S50" s="155"/>
      <c r="T50" s="155"/>
      <c r="U50" s="189">
        <f t="shared" si="20"/>
        <v>0</v>
      </c>
      <c r="V50" s="189">
        <f t="shared" si="21"/>
        <v>0</v>
      </c>
      <c r="W50" s="189">
        <f t="shared" si="22"/>
        <v>0</v>
      </c>
      <c r="X50" s="189">
        <f t="shared" si="23"/>
        <v>0</v>
      </c>
      <c r="Y50" s="189">
        <f t="shared" si="24"/>
        <v>0</v>
      </c>
      <c r="Z50" s="189">
        <f t="shared" si="25"/>
        <v>0</v>
      </c>
      <c r="AA50" s="189">
        <f t="shared" si="26"/>
        <v>0</v>
      </c>
      <c r="AB50" s="156"/>
    </row>
    <row r="51" spans="1:28" ht="15.75" x14ac:dyDescent="0.25">
      <c r="A51" s="115" t="s">
        <v>68</v>
      </c>
      <c r="B51" s="117">
        <f>U98+V98</f>
        <v>235.01999999999998</v>
      </c>
      <c r="C51" s="116">
        <v>1.4999999999999999E-2</v>
      </c>
      <c r="D51" s="117">
        <f>+B51*C51</f>
        <v>3.5252999999999997</v>
      </c>
      <c r="E51" s="172">
        <v>0</v>
      </c>
      <c r="F51" s="117">
        <f>D51*E51</f>
        <v>0</v>
      </c>
      <c r="G51" s="117">
        <f t="shared" si="28"/>
        <v>231.49469999999999</v>
      </c>
      <c r="H51" s="173">
        <f t="shared" si="31"/>
        <v>44775</v>
      </c>
      <c r="I51" s="175"/>
      <c r="J51" s="81">
        <f t="shared" si="0"/>
        <v>235.01999999999998</v>
      </c>
      <c r="K51" s="80"/>
      <c r="L51" s="186">
        <f t="shared" si="30"/>
        <v>231.49469999999999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20"/>
        <v>0</v>
      </c>
      <c r="V51" s="189">
        <f t="shared" si="21"/>
        <v>0</v>
      </c>
      <c r="W51" s="189">
        <f t="shared" si="22"/>
        <v>0</v>
      </c>
      <c r="X51" s="189">
        <f t="shared" si="23"/>
        <v>0</v>
      </c>
      <c r="Y51" s="189">
        <f t="shared" si="24"/>
        <v>0</v>
      </c>
      <c r="Z51" s="189">
        <f t="shared" si="25"/>
        <v>0</v>
      </c>
      <c r="AA51" s="189">
        <f t="shared" si="26"/>
        <v>0</v>
      </c>
      <c r="AB51" s="156"/>
    </row>
    <row r="52" spans="1:28" ht="15.75" x14ac:dyDescent="0.25">
      <c r="A52" s="115" t="s">
        <v>210</v>
      </c>
      <c r="B52" s="117">
        <f>T42</f>
        <v>161.29000000000002</v>
      </c>
      <c r="C52" s="116">
        <v>2.5000000000000001E-2</v>
      </c>
      <c r="D52" s="117">
        <f>B52*C52</f>
        <v>4.0322500000000003</v>
      </c>
      <c r="E52" s="172">
        <v>0.05</v>
      </c>
      <c r="F52" s="117">
        <f>(B52/E$10)*E52</f>
        <v>6.9521551724137955</v>
      </c>
      <c r="G52" s="117">
        <f>B52-D52-F52</f>
        <v>150.30559482758622</v>
      </c>
      <c r="H52" s="188">
        <f t="shared" si="31"/>
        <v>44775</v>
      </c>
      <c r="I52" s="176"/>
      <c r="J52" s="81">
        <f t="shared" si="0"/>
        <v>161.29000000000002</v>
      </c>
      <c r="K52" s="80">
        <v>150.31</v>
      </c>
      <c r="L52" s="186">
        <f>K52-G52</f>
        <v>4.4051724137830206E-3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20"/>
        <v>0</v>
      </c>
      <c r="V52" s="189">
        <f t="shared" si="21"/>
        <v>0</v>
      </c>
      <c r="W52" s="189">
        <f t="shared" si="22"/>
        <v>0</v>
      </c>
      <c r="X52" s="189">
        <f t="shared" si="23"/>
        <v>0</v>
      </c>
      <c r="Y52" s="189">
        <f t="shared" si="24"/>
        <v>0</v>
      </c>
      <c r="Z52" s="189">
        <f t="shared" si="25"/>
        <v>0</v>
      </c>
      <c r="AA52" s="189">
        <f t="shared" si="26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32">B53*C53</f>
        <v>0</v>
      </c>
      <c r="E53" s="172">
        <v>0.05</v>
      </c>
      <c r="F53" s="117">
        <f t="shared" ref="F53:F56" si="33">(B53/E$10)*E53</f>
        <v>0</v>
      </c>
      <c r="G53" s="117">
        <f t="shared" ref="G53:G58" si="34">B53-D53-F53</f>
        <v>0</v>
      </c>
      <c r="H53" s="188">
        <f t="shared" si="31"/>
        <v>44775</v>
      </c>
      <c r="I53" s="176"/>
      <c r="J53" s="81">
        <f t="shared" si="0"/>
        <v>0</v>
      </c>
      <c r="K53" s="80"/>
      <c r="L53" s="186">
        <f t="shared" si="30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20"/>
        <v>0</v>
      </c>
      <c r="V53" s="189">
        <f t="shared" si="21"/>
        <v>0</v>
      </c>
      <c r="W53" s="189">
        <f t="shared" si="22"/>
        <v>0</v>
      </c>
      <c r="X53" s="189">
        <f t="shared" si="23"/>
        <v>0</v>
      </c>
      <c r="Y53" s="189">
        <f t="shared" si="24"/>
        <v>0</v>
      </c>
      <c r="Z53" s="189">
        <f t="shared" si="25"/>
        <v>0</v>
      </c>
      <c r="AA53" s="189">
        <f t="shared" si="26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32"/>
        <v>0</v>
      </c>
      <c r="E54" s="172">
        <v>0.05</v>
      </c>
      <c r="F54" s="117">
        <f t="shared" si="33"/>
        <v>0</v>
      </c>
      <c r="G54" s="117">
        <f t="shared" si="34"/>
        <v>0</v>
      </c>
      <c r="H54" s="173">
        <f t="shared" si="31"/>
        <v>44775</v>
      </c>
      <c r="I54" s="176"/>
      <c r="J54" s="81">
        <f t="shared" si="0"/>
        <v>0</v>
      </c>
      <c r="K54" s="80"/>
      <c r="L54" s="186">
        <f t="shared" si="30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20"/>
        <v>0</v>
      </c>
      <c r="V54" s="189">
        <f t="shared" si="21"/>
        <v>0</v>
      </c>
      <c r="W54" s="189">
        <f t="shared" si="22"/>
        <v>0</v>
      </c>
      <c r="X54" s="189">
        <f t="shared" si="23"/>
        <v>0</v>
      </c>
      <c r="Y54" s="189">
        <f t="shared" si="24"/>
        <v>0</v>
      </c>
      <c r="Z54" s="189">
        <f t="shared" si="25"/>
        <v>0</v>
      </c>
      <c r="AA54" s="189">
        <f t="shared" si="26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32"/>
        <v>0</v>
      </c>
      <c r="E55" s="172">
        <v>0.05</v>
      </c>
      <c r="F55" s="117">
        <f t="shared" si="33"/>
        <v>0</v>
      </c>
      <c r="G55" s="117">
        <f t="shared" si="34"/>
        <v>0</v>
      </c>
      <c r="H55" s="173">
        <f t="shared" si="31"/>
        <v>44775</v>
      </c>
      <c r="I55" s="176"/>
      <c r="J55" s="81">
        <f t="shared" si="0"/>
        <v>0</v>
      </c>
      <c r="K55" s="80"/>
      <c r="L55" s="186">
        <f t="shared" si="30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20"/>
        <v>0</v>
      </c>
      <c r="V55" s="189">
        <f t="shared" si="21"/>
        <v>0</v>
      </c>
      <c r="W55" s="189">
        <f t="shared" si="22"/>
        <v>0</v>
      </c>
      <c r="X55" s="189">
        <f t="shared" si="23"/>
        <v>0</v>
      </c>
      <c r="Y55" s="189">
        <f t="shared" si="24"/>
        <v>0</v>
      </c>
      <c r="Z55" s="189">
        <f t="shared" si="25"/>
        <v>0</v>
      </c>
      <c r="AA55" s="189">
        <f t="shared" si="26"/>
        <v>0</v>
      </c>
      <c r="AB55" s="156"/>
    </row>
    <row r="56" spans="1:28" ht="15.75" x14ac:dyDescent="0.25">
      <c r="A56" s="115" t="s">
        <v>187</v>
      </c>
      <c r="B56" s="117">
        <f>T75</f>
        <v>37.369999999999997</v>
      </c>
      <c r="C56" s="116">
        <v>2.5000000000000001E-2</v>
      </c>
      <c r="D56" s="117">
        <f t="shared" si="32"/>
        <v>0.93425000000000002</v>
      </c>
      <c r="E56" s="172">
        <v>0.05</v>
      </c>
      <c r="F56" s="117">
        <f t="shared" si="33"/>
        <v>1.6107758620689656</v>
      </c>
      <c r="G56" s="117">
        <f t="shared" si="34"/>
        <v>34.824974137931036</v>
      </c>
      <c r="H56" s="173">
        <f t="shared" si="31"/>
        <v>44775</v>
      </c>
      <c r="I56" s="176">
        <v>198.66</v>
      </c>
      <c r="J56" s="81">
        <f t="shared" si="0"/>
        <v>-161.29</v>
      </c>
      <c r="K56" s="80">
        <v>34.82</v>
      </c>
      <c r="L56" s="186">
        <f t="shared" si="30"/>
        <v>4.9741379310361822E-3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20"/>
        <v>0</v>
      </c>
      <c r="V56" s="189">
        <f t="shared" si="21"/>
        <v>0</v>
      </c>
      <c r="W56" s="189">
        <f t="shared" si="22"/>
        <v>0</v>
      </c>
      <c r="X56" s="189">
        <f t="shared" si="23"/>
        <v>0</v>
      </c>
      <c r="Y56" s="189">
        <f t="shared" si="24"/>
        <v>0</v>
      </c>
      <c r="Z56" s="189">
        <f t="shared" si="25"/>
        <v>0</v>
      </c>
      <c r="AA56" s="189">
        <f t="shared" si="26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34"/>
        <v>0</v>
      </c>
      <c r="H57" s="173">
        <f>B6+3</f>
        <v>44777</v>
      </c>
      <c r="I57" s="175"/>
      <c r="J57" s="81">
        <f t="shared" si="0"/>
        <v>0</v>
      </c>
      <c r="K57" s="80"/>
      <c r="L57" s="186">
        <f t="shared" si="30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20"/>
        <v>0</v>
      </c>
      <c r="V57" s="189">
        <f t="shared" si="21"/>
        <v>0</v>
      </c>
      <c r="W57" s="189">
        <f t="shared" si="22"/>
        <v>0</v>
      </c>
      <c r="X57" s="189">
        <f t="shared" si="23"/>
        <v>0</v>
      </c>
      <c r="Y57" s="189">
        <f t="shared" si="24"/>
        <v>0</v>
      </c>
      <c r="Z57" s="189">
        <f t="shared" si="25"/>
        <v>0</v>
      </c>
      <c r="AA57" s="189">
        <f t="shared" si="26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34"/>
        <v>0</v>
      </c>
      <c r="H58" s="173">
        <f>B$6+5</f>
        <v>44779</v>
      </c>
      <c r="I58" s="175"/>
      <c r="J58" s="81">
        <f t="shared" si="0"/>
        <v>0</v>
      </c>
      <c r="K58" s="80"/>
      <c r="L58" s="186">
        <f t="shared" si="30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20"/>
        <v>0</v>
      </c>
      <c r="V58" s="189">
        <f t="shared" si="21"/>
        <v>0</v>
      </c>
      <c r="W58" s="189">
        <f t="shared" si="22"/>
        <v>0</v>
      </c>
      <c r="X58" s="189">
        <f t="shared" si="23"/>
        <v>0</v>
      </c>
      <c r="Y58" s="189">
        <f t="shared" si="24"/>
        <v>0</v>
      </c>
      <c r="Z58" s="189">
        <f t="shared" si="25"/>
        <v>0</v>
      </c>
      <c r="AA58" s="189">
        <f t="shared" si="26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30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20"/>
        <v>0</v>
      </c>
      <c r="V59" s="189">
        <f t="shared" si="21"/>
        <v>0</v>
      </c>
      <c r="W59" s="189">
        <f t="shared" si="22"/>
        <v>0</v>
      </c>
      <c r="X59" s="189">
        <f t="shared" si="23"/>
        <v>0</v>
      </c>
      <c r="Y59" s="189">
        <f t="shared" si="24"/>
        <v>0</v>
      </c>
      <c r="Z59" s="189">
        <f t="shared" si="25"/>
        <v>0</v>
      </c>
      <c r="AA59" s="189">
        <f t="shared" si="26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35">B60-D60-F60</f>
        <v>0</v>
      </c>
      <c r="H60" s="173">
        <f>B6+30</f>
        <v>44804</v>
      </c>
      <c r="I60" s="175"/>
      <c r="J60" s="81">
        <f t="shared" si="0"/>
        <v>0</v>
      </c>
      <c r="K60" s="80"/>
      <c r="L60" s="186">
        <f t="shared" si="30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20"/>
        <v>0</v>
      </c>
      <c r="V60" s="189">
        <f t="shared" si="21"/>
        <v>0</v>
      </c>
      <c r="W60" s="189">
        <f t="shared" si="22"/>
        <v>0</v>
      </c>
      <c r="X60" s="189">
        <f t="shared" si="23"/>
        <v>0</v>
      </c>
      <c r="Y60" s="189">
        <f t="shared" si="24"/>
        <v>0</v>
      </c>
      <c r="Z60" s="189">
        <f t="shared" si="25"/>
        <v>0</v>
      </c>
      <c r="AA60" s="189">
        <f t="shared" si="26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40.580399999999997</v>
      </c>
      <c r="E61" s="177"/>
      <c r="F61" s="57">
        <f>SUM(F46:F58)</f>
        <v>8.5629310344827605</v>
      </c>
      <c r="G61" s="57">
        <f>SUM(G46:G58)</f>
        <v>4663.016668965518</v>
      </c>
      <c r="H61" s="173">
        <f t="shared" si="31"/>
        <v>44775</v>
      </c>
      <c r="I61" s="175"/>
      <c r="J61" s="81">
        <f t="shared" si="0"/>
        <v>0</v>
      </c>
      <c r="K61" s="80"/>
      <c r="L61" s="186">
        <f t="shared" si="30"/>
        <v>4663.016668965518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20"/>
        <v>0</v>
      </c>
      <c r="V61" s="189">
        <f t="shared" si="21"/>
        <v>0</v>
      </c>
      <c r="W61" s="189">
        <f t="shared" si="22"/>
        <v>0</v>
      </c>
      <c r="X61" s="189">
        <f t="shared" si="23"/>
        <v>0</v>
      </c>
      <c r="Y61" s="189">
        <f t="shared" si="24"/>
        <v>0</v>
      </c>
      <c r="Z61" s="189">
        <f t="shared" si="25"/>
        <v>0</v>
      </c>
      <c r="AA61" s="189">
        <f t="shared" si="26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44775</v>
      </c>
      <c r="I62" s="176"/>
      <c r="J62" s="81">
        <f t="shared" si="0"/>
        <v>0</v>
      </c>
      <c r="K62" s="80"/>
      <c r="L62" s="186">
        <f t="shared" si="30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20"/>
        <v>0</v>
      </c>
      <c r="V62" s="189">
        <f t="shared" si="21"/>
        <v>0</v>
      </c>
      <c r="W62" s="189">
        <f t="shared" si="22"/>
        <v>0</v>
      </c>
      <c r="X62" s="189">
        <f t="shared" si="23"/>
        <v>0</v>
      </c>
      <c r="Y62" s="189">
        <f t="shared" si="24"/>
        <v>0</v>
      </c>
      <c r="Z62" s="189">
        <f t="shared" si="25"/>
        <v>0</v>
      </c>
      <c r="AA62" s="189">
        <f t="shared" si="26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313" t="s">
        <v>109</v>
      </c>
      <c r="O63" s="313"/>
      <c r="P63" s="313"/>
      <c r="Q63" s="313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W63" si="36">SUM(U43:U62)</f>
        <v>0</v>
      </c>
      <c r="V63" s="191">
        <f t="shared" si="36"/>
        <v>0</v>
      </c>
      <c r="W63" s="191">
        <f t="shared" si="36"/>
        <v>0</v>
      </c>
      <c r="X63" s="191">
        <f t="shared" ref="X63" si="37">SUM(X43:X62)</f>
        <v>0</v>
      </c>
      <c r="Y63" s="191">
        <f>SUM(Y43:Y62)</f>
        <v>0</v>
      </c>
      <c r="Z63" s="191">
        <f t="shared" ref="Z63:AA63" si="38">SUM(Z43:Z62)</f>
        <v>0</v>
      </c>
      <c r="AA63" s="191">
        <f t="shared" si="38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9326.0333379310359</v>
      </c>
      <c r="H64" s="184"/>
      <c r="I64" s="175"/>
      <c r="J64" s="81">
        <f t="shared" si="0"/>
        <v>0</v>
      </c>
      <c r="K64" s="80"/>
      <c r="L64" s="186">
        <f t="shared" si="30"/>
        <v>9326.0333379310359</v>
      </c>
      <c r="M64" s="130"/>
      <c r="N64" s="87">
        <v>1</v>
      </c>
      <c r="O64" s="122" t="s">
        <v>195</v>
      </c>
      <c r="P64" s="87"/>
      <c r="Q64" s="87"/>
      <c r="R64" s="137"/>
      <c r="S64" s="87"/>
      <c r="T64" s="87"/>
      <c r="U64" s="189">
        <f t="shared" ref="U64" si="39">((T64/U$10)*U$9)</f>
        <v>0</v>
      </c>
      <c r="V64" s="189">
        <f t="shared" ref="V64" si="40">R64*V$10</f>
        <v>0</v>
      </c>
      <c r="W64" s="189">
        <f t="shared" ref="W64" si="41">+S64*V$10</f>
        <v>0</v>
      </c>
      <c r="X64" s="189">
        <f t="shared" ref="X64" si="42">+T64*X$10</f>
        <v>0</v>
      </c>
      <c r="Y64" s="189">
        <f t="shared" ref="Y64" si="43">R64-V64</f>
        <v>0</v>
      </c>
      <c r="Z64" s="189">
        <f t="shared" ref="Z64" si="44">S64-W64</f>
        <v>0</v>
      </c>
      <c r="AA64" s="189">
        <f t="shared" ref="AA64" si="45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7788.0300000000007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ref="U65:U68" si="46">((T65/U$10)*U$9)</f>
        <v>0</v>
      </c>
      <c r="V65" s="189">
        <f t="shared" ref="V65:V68" si="47">R65*V$10</f>
        <v>0</v>
      </c>
      <c r="W65" s="189">
        <f t="shared" ref="W65:W68" si="48">+S65*V$10</f>
        <v>0</v>
      </c>
      <c r="X65" s="189">
        <f t="shared" ref="X65:X68" si="49">+T65*X$10</f>
        <v>0</v>
      </c>
      <c r="Y65" s="189">
        <f t="shared" ref="Y65:Y68" si="50">R65-V65</f>
        <v>0</v>
      </c>
      <c r="Z65" s="189">
        <f t="shared" ref="Z65:Z68" si="51">S65-W65</f>
        <v>0</v>
      </c>
      <c r="AA65" s="189">
        <f t="shared" ref="AA65:AA68" si="52">T65-U65-X65</f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46"/>
        <v>0</v>
      </c>
      <c r="V66" s="189">
        <f t="shared" si="47"/>
        <v>0</v>
      </c>
      <c r="W66" s="189">
        <f t="shared" si="48"/>
        <v>0</v>
      </c>
      <c r="X66" s="189">
        <f t="shared" si="49"/>
        <v>0</v>
      </c>
      <c r="Y66" s="189">
        <f t="shared" si="50"/>
        <v>0</v>
      </c>
      <c r="Z66" s="189">
        <f t="shared" si="51"/>
        <v>0</v>
      </c>
      <c r="AA66" s="189">
        <f t="shared" si="52"/>
        <v>0</v>
      </c>
      <c r="AB66" s="87"/>
    </row>
    <row r="67" spans="1:30" ht="15.75" x14ac:dyDescent="0.25">
      <c r="A67" s="318" t="s">
        <v>20</v>
      </c>
      <c r="B67" s="319"/>
      <c r="F67" s="320" t="s">
        <v>136</v>
      </c>
      <c r="G67" s="320"/>
      <c r="H67" s="320"/>
      <c r="I67" s="321" t="s">
        <v>138</v>
      </c>
      <c r="J67" s="322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46"/>
        <v>0</v>
      </c>
      <c r="V67" s="189">
        <f t="shared" si="47"/>
        <v>0</v>
      </c>
      <c r="W67" s="189">
        <f t="shared" si="48"/>
        <v>0</v>
      </c>
      <c r="X67" s="189">
        <f t="shared" si="49"/>
        <v>0</v>
      </c>
      <c r="Y67" s="189">
        <f t="shared" si="50"/>
        <v>0</v>
      </c>
      <c r="Z67" s="189">
        <f t="shared" si="51"/>
        <v>0</v>
      </c>
      <c r="AA67" s="189">
        <f t="shared" si="52"/>
        <v>0</v>
      </c>
      <c r="AB67" s="87"/>
    </row>
    <row r="68" spans="1:30" ht="15.75" x14ac:dyDescent="0.25">
      <c r="A68" s="23" t="s">
        <v>19</v>
      </c>
      <c r="B68" s="77">
        <v>7779.54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46"/>
        <v>0</v>
      </c>
      <c r="V68" s="189">
        <f t="shared" si="47"/>
        <v>0</v>
      </c>
      <c r="W68" s="189">
        <f t="shared" si="48"/>
        <v>0</v>
      </c>
      <c r="X68" s="189">
        <f t="shared" si="49"/>
        <v>0</v>
      </c>
      <c r="Y68" s="189">
        <f t="shared" si="50"/>
        <v>0</v>
      </c>
      <c r="Z68" s="189">
        <f t="shared" si="51"/>
        <v>0</v>
      </c>
      <c r="AA68" s="189">
        <f t="shared" si="52"/>
        <v>0</v>
      </c>
      <c r="AB68" s="87"/>
    </row>
    <row r="69" spans="1:30" ht="16.5" thickBot="1" x14ac:dyDescent="0.3">
      <c r="A69" s="24" t="s">
        <v>5</v>
      </c>
      <c r="B69" s="62">
        <v>7719.41</v>
      </c>
      <c r="C69" s="59"/>
      <c r="F69" s="87" t="s">
        <v>129</v>
      </c>
      <c r="G69" s="22">
        <f>+G46</f>
        <v>44.315125000000009</v>
      </c>
      <c r="H69" s="89">
        <f>+G52</f>
        <v>150.30559482758622</v>
      </c>
      <c r="I69" s="136"/>
      <c r="J69" s="136">
        <f>K52</f>
        <v>150.31</v>
      </c>
      <c r="N69" s="313" t="s">
        <v>110</v>
      </c>
      <c r="O69" s="313"/>
      <c r="P69" s="314"/>
      <c r="Q69" s="314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53">SUM(V64:V68)</f>
        <v>0</v>
      </c>
      <c r="W69" s="192">
        <f t="shared" si="53"/>
        <v>0</v>
      </c>
      <c r="X69" s="192">
        <f t="shared" si="53"/>
        <v>0</v>
      </c>
      <c r="Y69" s="192">
        <f t="shared" si="53"/>
        <v>0</v>
      </c>
      <c r="Z69" s="192">
        <f t="shared" si="53"/>
        <v>0</v>
      </c>
      <c r="AA69" s="193">
        <f t="shared" si="53"/>
        <v>0</v>
      </c>
      <c r="AB69" s="103"/>
    </row>
    <row r="70" spans="1:30" ht="26.25" customHeight="1" thickBot="1" x14ac:dyDescent="0.3">
      <c r="A70" s="25" t="s">
        <v>58</v>
      </c>
      <c r="B70" s="170">
        <f>B68-B69</f>
        <v>60.130000000000109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216</v>
      </c>
      <c r="P70" s="228"/>
      <c r="Q70" s="228"/>
      <c r="R70" s="262"/>
      <c r="S70" s="261"/>
      <c r="T70" s="261"/>
      <c r="U70" s="189">
        <f t="shared" ref="U70:U74" si="54">((T70/U$10)*U$9)</f>
        <v>0</v>
      </c>
      <c r="V70" s="189">
        <f t="shared" ref="V70:V74" si="55">R70*V$10</f>
        <v>0</v>
      </c>
      <c r="W70" s="189">
        <f t="shared" ref="W70:W74" si="56">+S70*V$10</f>
        <v>0</v>
      </c>
      <c r="X70" s="189">
        <f t="shared" ref="X70:X74" si="57">+T70*X$10</f>
        <v>0</v>
      </c>
      <c r="Y70" s="189">
        <f t="shared" ref="Y70:Y74" si="58">R70-V70</f>
        <v>0</v>
      </c>
      <c r="Z70" s="189">
        <f t="shared" ref="Z70:Z74" si="59">S70-W70</f>
        <v>0</v>
      </c>
      <c r="AA70" s="189">
        <f t="shared" ref="AA70:AA74" si="60">T70-U70-X70</f>
        <v>0</v>
      </c>
      <c r="AB70" s="87"/>
    </row>
    <row r="71" spans="1:30" ht="28.5" customHeight="1" thickBot="1" x14ac:dyDescent="0.3">
      <c r="A71" s="25" t="s">
        <v>57</v>
      </c>
      <c r="B71" s="70">
        <f>B65-B68</f>
        <v>8.4900000000006912</v>
      </c>
      <c r="C71" s="64"/>
      <c r="F71" s="87" t="s">
        <v>131</v>
      </c>
      <c r="G71" s="137"/>
      <c r="H71" s="87"/>
      <c r="I71" s="81">
        <f>+I69-G69-G70-G71-G72-G73</f>
        <v>-44.315125000000009</v>
      </c>
      <c r="J71" s="81">
        <f>+J69-H69-H70-H71-H72-H73</f>
        <v>4.4051724137830206E-3</v>
      </c>
      <c r="N71" s="87">
        <v>2</v>
      </c>
      <c r="O71" s="122" t="s">
        <v>216</v>
      </c>
      <c r="P71" s="228"/>
      <c r="Q71" s="228"/>
      <c r="R71" s="262"/>
      <c r="S71" s="261"/>
      <c r="T71" s="261"/>
      <c r="U71" s="189">
        <f t="shared" si="54"/>
        <v>0</v>
      </c>
      <c r="V71" s="189">
        <f t="shared" si="55"/>
        <v>0</v>
      </c>
      <c r="W71" s="189">
        <f t="shared" si="56"/>
        <v>0</v>
      </c>
      <c r="X71" s="189">
        <f t="shared" si="57"/>
        <v>0</v>
      </c>
      <c r="Y71" s="189">
        <f t="shared" si="58"/>
        <v>0</v>
      </c>
      <c r="Z71" s="189">
        <f t="shared" si="59"/>
        <v>0</v>
      </c>
      <c r="AA71" s="189">
        <f t="shared" si="60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172</v>
      </c>
      <c r="P72" s="228"/>
      <c r="Q72" s="228">
        <v>62</v>
      </c>
      <c r="R72" s="262">
        <f>190.47+1877.57</f>
        <v>2068.04</v>
      </c>
      <c r="S72" s="261"/>
      <c r="T72" s="261"/>
      <c r="U72" s="189">
        <f t="shared" si="54"/>
        <v>0</v>
      </c>
      <c r="V72" s="189">
        <f t="shared" si="55"/>
        <v>15.510299999999999</v>
      </c>
      <c r="W72" s="189">
        <f t="shared" si="56"/>
        <v>0</v>
      </c>
      <c r="X72" s="189">
        <f t="shared" si="57"/>
        <v>0</v>
      </c>
      <c r="Y72" s="189">
        <f t="shared" si="58"/>
        <v>2052.5297</v>
      </c>
      <c r="Z72" s="189">
        <f t="shared" si="59"/>
        <v>0</v>
      </c>
      <c r="AA72" s="189">
        <f t="shared" si="60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172</v>
      </c>
      <c r="P73" s="228"/>
      <c r="Q73" s="228">
        <v>760</v>
      </c>
      <c r="R73" s="262">
        <v>1457.35</v>
      </c>
      <c r="S73" s="261"/>
      <c r="T73" s="261">
        <v>37.369999999999997</v>
      </c>
      <c r="U73" s="189">
        <f t="shared" si="54"/>
        <v>1.6107758620689656</v>
      </c>
      <c r="V73" s="189">
        <f t="shared" si="55"/>
        <v>10.930124999999999</v>
      </c>
      <c r="W73" s="189">
        <f t="shared" si="56"/>
        <v>0</v>
      </c>
      <c r="X73" s="189">
        <f t="shared" si="57"/>
        <v>0.93425000000000002</v>
      </c>
      <c r="Y73" s="189">
        <f t="shared" si="58"/>
        <v>1446.4198749999998</v>
      </c>
      <c r="Z73" s="189">
        <f t="shared" si="59"/>
        <v>0</v>
      </c>
      <c r="AA73" s="189">
        <f t="shared" si="60"/>
        <v>34.824974137931036</v>
      </c>
      <c r="AB73" s="87"/>
    </row>
    <row r="74" spans="1:30" ht="15.75" x14ac:dyDescent="0.25">
      <c r="F74" s="87" t="s">
        <v>43</v>
      </c>
      <c r="G74" s="89">
        <f>+G69+G70+G71+G72+G73</f>
        <v>44.315125000000009</v>
      </c>
      <c r="H74" s="89">
        <f t="shared" ref="H74" si="61">+H69+H70+H71+H72+H73</f>
        <v>150.30559482758622</v>
      </c>
      <c r="N74" s="87">
        <v>5</v>
      </c>
      <c r="O74" s="122" t="s">
        <v>172</v>
      </c>
      <c r="P74" s="228"/>
      <c r="Q74" s="228">
        <v>761</v>
      </c>
      <c r="R74" s="262">
        <v>577.70000000000005</v>
      </c>
      <c r="S74" s="261"/>
      <c r="T74" s="261"/>
      <c r="U74" s="189">
        <f t="shared" si="54"/>
        <v>0</v>
      </c>
      <c r="V74" s="189">
        <f t="shared" si="55"/>
        <v>4.3327499999999999</v>
      </c>
      <c r="W74" s="189">
        <f t="shared" si="56"/>
        <v>0</v>
      </c>
      <c r="X74" s="189">
        <f t="shared" si="57"/>
        <v>0</v>
      </c>
      <c r="Y74" s="189">
        <f t="shared" si="58"/>
        <v>573.36725000000001</v>
      </c>
      <c r="Z74" s="189">
        <f t="shared" si="59"/>
        <v>0</v>
      </c>
      <c r="AA74" s="189">
        <f t="shared" si="60"/>
        <v>0</v>
      </c>
      <c r="AB74" s="87"/>
    </row>
    <row r="75" spans="1:30" ht="15.75" x14ac:dyDescent="0.25">
      <c r="N75" s="313" t="s">
        <v>128</v>
      </c>
      <c r="O75" s="313"/>
      <c r="P75" s="314"/>
      <c r="Q75" s="314"/>
      <c r="R75" s="192">
        <f>SUM(R70:R74)</f>
        <v>4103.09</v>
      </c>
      <c r="S75" s="192"/>
      <c r="T75" s="192">
        <f>SUM(T70:T74)</f>
        <v>37.369999999999997</v>
      </c>
      <c r="U75" s="192">
        <f>SUM(U70:U74)</f>
        <v>1.6107758620689656</v>
      </c>
      <c r="V75" s="192">
        <f t="shared" ref="V75" si="62">SUM(V70:V74)</f>
        <v>30.773174999999998</v>
      </c>
      <c r="W75" s="192">
        <f t="shared" ref="W75" si="63">SUM(W70:W74)</f>
        <v>0</v>
      </c>
      <c r="X75" s="192">
        <f t="shared" ref="X75" si="64">SUM(X70:X74)</f>
        <v>0.93425000000000002</v>
      </c>
      <c r="Y75" s="192">
        <f t="shared" ref="Y75" si="65">SUM(Y70:Y74)</f>
        <v>4072.3168249999999</v>
      </c>
      <c r="Z75" s="192">
        <f t="shared" ref="Z75" si="66">SUM(Z70:Z74)</f>
        <v>0</v>
      </c>
      <c r="AA75" s="193">
        <f t="shared" ref="AA75" si="67">SUM(AA70:AA74)</f>
        <v>34.824974137931036</v>
      </c>
      <c r="AB75" s="103"/>
    </row>
    <row r="76" spans="1:30" ht="15.75" x14ac:dyDescent="0.25">
      <c r="N76" s="326" t="s">
        <v>73</v>
      </c>
      <c r="O76" s="328" t="s">
        <v>67</v>
      </c>
      <c r="P76" s="313" t="s">
        <v>62</v>
      </c>
      <c r="Q76" s="313"/>
      <c r="R76" s="313"/>
      <c r="S76" s="313"/>
      <c r="T76" s="313"/>
      <c r="U76" s="330" t="s">
        <v>68</v>
      </c>
      <c r="V76" s="331"/>
      <c r="W76" s="331"/>
      <c r="X76" s="331"/>
      <c r="Y76" s="332"/>
      <c r="Z76" s="323" t="s">
        <v>54</v>
      </c>
      <c r="AA76" s="323" t="s">
        <v>64</v>
      </c>
      <c r="AB76" s="323" t="s">
        <v>124</v>
      </c>
      <c r="AC76" s="324" t="s">
        <v>127</v>
      </c>
      <c r="AD76" s="325" t="s">
        <v>65</v>
      </c>
    </row>
    <row r="77" spans="1:30" ht="60" x14ac:dyDescent="0.25">
      <c r="F77" s="308" t="s">
        <v>140</v>
      </c>
      <c r="G77" s="309"/>
      <c r="H77" s="141" t="s">
        <v>142</v>
      </c>
      <c r="N77" s="327"/>
      <c r="O77" s="329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323"/>
      <c r="AA77" s="323"/>
      <c r="AB77" s="323"/>
      <c r="AC77" s="324" t="s">
        <v>127</v>
      </c>
      <c r="AD77" s="325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216">
        <f>+(P78+Q78)*R78</f>
        <v>0</v>
      </c>
      <c r="T78" s="258">
        <f>+(P78+Q78)-S78</f>
        <v>0</v>
      </c>
      <c r="U78" s="112"/>
      <c r="V78" s="112"/>
      <c r="W78" s="113">
        <v>1.4999999999999999E-2</v>
      </c>
      <c r="X78" s="196">
        <f>+(U78+V78)*W78</f>
        <v>0</v>
      </c>
      <c r="Y78" s="246">
        <f>+(U78+V78)-X78</f>
        <v>0</v>
      </c>
      <c r="Z78" s="87"/>
      <c r="AA78" s="189">
        <f t="shared" ref="AA78:AA97" si="68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>
        <f>31.68+59.36</f>
        <v>91.039999999999992</v>
      </c>
      <c r="R79" s="82">
        <v>7.4999999999999997E-3</v>
      </c>
      <c r="S79" s="216">
        <f t="shared" ref="S79:S97" si="69">+(P79+Q79)*R79</f>
        <v>0.68279999999999996</v>
      </c>
      <c r="T79" s="258">
        <f t="shared" ref="T79:T97" si="70">+(P79+Q79)-S79</f>
        <v>90.357199999999992</v>
      </c>
      <c r="U79" s="211">
        <f>68.02+93.68</f>
        <v>161.69999999999999</v>
      </c>
      <c r="V79" s="112"/>
      <c r="W79" s="113">
        <v>1.4999999999999999E-2</v>
      </c>
      <c r="X79" s="196">
        <f t="shared" ref="X79:X97" si="71">+(U79+V79)*W79</f>
        <v>2.4254999999999995</v>
      </c>
      <c r="Y79" s="246">
        <f t="shared" ref="Y79:Y97" si="72">+(U79+V79)-X79</f>
        <v>159.27449999999999</v>
      </c>
      <c r="Z79" s="87"/>
      <c r="AA79" s="189">
        <f t="shared" si="68"/>
        <v>0</v>
      </c>
      <c r="AB79" s="189">
        <f t="shared" ref="AB79:AB97" si="73">+Z79*X$10</f>
        <v>0</v>
      </c>
      <c r="AC79" s="189">
        <f t="shared" ref="AC79:AC97" si="74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/>
      <c r="Q80" s="137">
        <f>16.5+23.2</f>
        <v>39.700000000000003</v>
      </c>
      <c r="R80" s="82">
        <v>7.4999999999999997E-3</v>
      </c>
      <c r="S80" s="216">
        <f t="shared" si="69"/>
        <v>0.29775000000000001</v>
      </c>
      <c r="T80" s="246">
        <f t="shared" si="70"/>
        <v>39.402250000000002</v>
      </c>
      <c r="U80" s="211">
        <v>73.319999999999993</v>
      </c>
      <c r="V80" s="112"/>
      <c r="W80" s="113">
        <v>1.4999999999999999E-2</v>
      </c>
      <c r="X80" s="196">
        <f t="shared" si="71"/>
        <v>1.0997999999999999</v>
      </c>
      <c r="Y80" s="213">
        <f t="shared" si="72"/>
        <v>72.220199999999991</v>
      </c>
      <c r="Z80" s="87"/>
      <c r="AA80" s="189">
        <f t="shared" si="68"/>
        <v>0</v>
      </c>
      <c r="AB80" s="189">
        <f t="shared" si="73"/>
        <v>0</v>
      </c>
      <c r="AC80" s="189">
        <f t="shared" si="74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137"/>
      <c r="R81" s="82">
        <v>7.4999999999999997E-3</v>
      </c>
      <c r="S81" s="194">
        <f t="shared" si="69"/>
        <v>0</v>
      </c>
      <c r="T81" s="219">
        <f t="shared" si="70"/>
        <v>0</v>
      </c>
      <c r="U81" s="211"/>
      <c r="V81" s="112"/>
      <c r="W81" s="113">
        <v>1.4999999999999999E-2</v>
      </c>
      <c r="X81" s="196">
        <f t="shared" si="71"/>
        <v>0</v>
      </c>
      <c r="Y81" s="213">
        <f t="shared" si="72"/>
        <v>0</v>
      </c>
      <c r="Z81" s="87"/>
      <c r="AA81" s="189">
        <f t="shared" si="68"/>
        <v>0</v>
      </c>
      <c r="AB81" s="189">
        <f t="shared" si="73"/>
        <v>0</v>
      </c>
      <c r="AC81" s="189">
        <f t="shared" si="74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69"/>
        <v>0</v>
      </c>
      <c r="T82" s="219">
        <f t="shared" si="70"/>
        <v>0</v>
      </c>
      <c r="U82" s="112"/>
      <c r="V82" s="112"/>
      <c r="W82" s="113">
        <v>1.4999999999999999E-2</v>
      </c>
      <c r="X82" s="196">
        <f t="shared" si="71"/>
        <v>0</v>
      </c>
      <c r="Y82" s="217">
        <f t="shared" si="72"/>
        <v>0</v>
      </c>
      <c r="Z82" s="87"/>
      <c r="AA82" s="189">
        <f t="shared" si="68"/>
        <v>0</v>
      </c>
      <c r="AB82" s="189">
        <f t="shared" si="73"/>
        <v>0</v>
      </c>
      <c r="AC82" s="189">
        <f t="shared" si="74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69"/>
        <v>0</v>
      </c>
      <c r="T83" s="219">
        <f t="shared" si="70"/>
        <v>0</v>
      </c>
      <c r="U83" s="112"/>
      <c r="V83" s="112"/>
      <c r="W83" s="113">
        <v>1.4999999999999999E-2</v>
      </c>
      <c r="X83" s="196">
        <f t="shared" si="71"/>
        <v>0</v>
      </c>
      <c r="Y83" s="217">
        <f t="shared" si="72"/>
        <v>0</v>
      </c>
      <c r="Z83" s="87"/>
      <c r="AA83" s="189">
        <f t="shared" si="68"/>
        <v>0</v>
      </c>
      <c r="AB83" s="189">
        <f t="shared" si="73"/>
        <v>0</v>
      </c>
      <c r="AC83" s="189">
        <f t="shared" si="74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69"/>
        <v>0</v>
      </c>
      <c r="T84" s="194">
        <f t="shared" si="70"/>
        <v>0</v>
      </c>
      <c r="U84" s="112"/>
      <c r="V84" s="112"/>
      <c r="W84" s="113">
        <v>1.4999999999999999E-2</v>
      </c>
      <c r="X84" s="196">
        <f t="shared" si="71"/>
        <v>0</v>
      </c>
      <c r="Y84" s="196">
        <f t="shared" si="72"/>
        <v>0</v>
      </c>
      <c r="Z84" s="87"/>
      <c r="AA84" s="189">
        <f t="shared" si="68"/>
        <v>0</v>
      </c>
      <c r="AB84" s="189">
        <f t="shared" si="73"/>
        <v>0</v>
      </c>
      <c r="AC84" s="189">
        <f t="shared" si="74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69"/>
        <v>0</v>
      </c>
      <c r="T85" s="194">
        <f t="shared" si="70"/>
        <v>0</v>
      </c>
      <c r="U85" s="112"/>
      <c r="V85" s="112"/>
      <c r="W85" s="113">
        <v>1.4999999999999999E-2</v>
      </c>
      <c r="X85" s="196">
        <f t="shared" si="71"/>
        <v>0</v>
      </c>
      <c r="Y85" s="196">
        <f t="shared" si="72"/>
        <v>0</v>
      </c>
      <c r="Z85" s="87"/>
      <c r="AA85" s="189">
        <f t="shared" si="68"/>
        <v>0</v>
      </c>
      <c r="AB85" s="189">
        <f t="shared" si="73"/>
        <v>0</v>
      </c>
      <c r="AC85" s="189">
        <f t="shared" si="74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69"/>
        <v>0</v>
      </c>
      <c r="T86" s="194">
        <f t="shared" si="70"/>
        <v>0</v>
      </c>
      <c r="U86" s="112"/>
      <c r="V86" s="112"/>
      <c r="W86" s="113">
        <v>1.4999999999999999E-2</v>
      </c>
      <c r="X86" s="196">
        <f t="shared" si="71"/>
        <v>0</v>
      </c>
      <c r="Y86" s="196">
        <f t="shared" si="72"/>
        <v>0</v>
      </c>
      <c r="Z86" s="87"/>
      <c r="AA86" s="189">
        <f t="shared" si="68"/>
        <v>0</v>
      </c>
      <c r="AB86" s="189">
        <f t="shared" si="73"/>
        <v>0</v>
      </c>
      <c r="AC86" s="189">
        <f t="shared" si="74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69"/>
        <v>0</v>
      </c>
      <c r="T87" s="194">
        <f t="shared" si="70"/>
        <v>0</v>
      </c>
      <c r="U87" s="112"/>
      <c r="V87" s="112"/>
      <c r="W87" s="113">
        <v>1.4999999999999999E-2</v>
      </c>
      <c r="X87" s="196">
        <f t="shared" si="71"/>
        <v>0</v>
      </c>
      <c r="Y87" s="196">
        <f t="shared" si="72"/>
        <v>0</v>
      </c>
      <c r="Z87" s="87"/>
      <c r="AA87" s="189">
        <f t="shared" si="68"/>
        <v>0</v>
      </c>
      <c r="AB87" s="189">
        <f t="shared" si="73"/>
        <v>0</v>
      </c>
      <c r="AC87" s="189">
        <f t="shared" si="74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69"/>
        <v>0</v>
      </c>
      <c r="T88" s="194">
        <f t="shared" si="70"/>
        <v>0</v>
      </c>
      <c r="U88" s="112"/>
      <c r="V88" s="112"/>
      <c r="W88" s="113">
        <v>1.4999999999999999E-2</v>
      </c>
      <c r="X88" s="196">
        <f t="shared" si="71"/>
        <v>0</v>
      </c>
      <c r="Y88" s="196">
        <f t="shared" si="72"/>
        <v>0</v>
      </c>
      <c r="Z88" s="87"/>
      <c r="AA88" s="189">
        <f t="shared" si="68"/>
        <v>0</v>
      </c>
      <c r="AB88" s="189">
        <f t="shared" si="73"/>
        <v>0</v>
      </c>
      <c r="AC88" s="189">
        <f t="shared" si="74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69"/>
        <v>0</v>
      </c>
      <c r="T89" s="194">
        <f t="shared" si="70"/>
        <v>0</v>
      </c>
      <c r="U89" s="112"/>
      <c r="V89" s="112"/>
      <c r="W89" s="113">
        <v>1.4999999999999999E-2</v>
      </c>
      <c r="X89" s="196">
        <f t="shared" si="71"/>
        <v>0</v>
      </c>
      <c r="Y89" s="196">
        <f t="shared" si="72"/>
        <v>0</v>
      </c>
      <c r="Z89" s="87"/>
      <c r="AA89" s="189">
        <f t="shared" si="68"/>
        <v>0</v>
      </c>
      <c r="AB89" s="189">
        <f t="shared" si="73"/>
        <v>0</v>
      </c>
      <c r="AC89" s="189">
        <f t="shared" si="74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69"/>
        <v>0</v>
      </c>
      <c r="T90" s="194">
        <f t="shared" si="70"/>
        <v>0</v>
      </c>
      <c r="U90" s="112"/>
      <c r="V90" s="112"/>
      <c r="W90" s="113">
        <v>1.4999999999999999E-2</v>
      </c>
      <c r="X90" s="196">
        <f t="shared" si="71"/>
        <v>0</v>
      </c>
      <c r="Y90" s="196">
        <f t="shared" si="72"/>
        <v>0</v>
      </c>
      <c r="Z90" s="87"/>
      <c r="AA90" s="189">
        <f t="shared" si="68"/>
        <v>0</v>
      </c>
      <c r="AB90" s="189">
        <f t="shared" si="73"/>
        <v>0</v>
      </c>
      <c r="AC90" s="189">
        <f t="shared" si="74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69"/>
        <v>0</v>
      </c>
      <c r="T91" s="194">
        <f t="shared" si="70"/>
        <v>0</v>
      </c>
      <c r="U91" s="112"/>
      <c r="V91" s="112"/>
      <c r="W91" s="113">
        <v>1.4999999999999999E-2</v>
      </c>
      <c r="X91" s="196">
        <f t="shared" si="71"/>
        <v>0</v>
      </c>
      <c r="Y91" s="196">
        <f t="shared" si="72"/>
        <v>0</v>
      </c>
      <c r="Z91" s="87"/>
      <c r="AA91" s="189">
        <f t="shared" si="68"/>
        <v>0</v>
      </c>
      <c r="AB91" s="189">
        <f t="shared" si="73"/>
        <v>0</v>
      </c>
      <c r="AC91" s="189">
        <f t="shared" si="74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69"/>
        <v>0</v>
      </c>
      <c r="T92" s="194">
        <f t="shared" si="70"/>
        <v>0</v>
      </c>
      <c r="U92" s="112"/>
      <c r="V92" s="112"/>
      <c r="W92" s="113">
        <v>1.4999999999999999E-2</v>
      </c>
      <c r="X92" s="196">
        <f t="shared" si="71"/>
        <v>0</v>
      </c>
      <c r="Y92" s="196">
        <f t="shared" si="72"/>
        <v>0</v>
      </c>
      <c r="Z92" s="87"/>
      <c r="AA92" s="189">
        <f t="shared" si="68"/>
        <v>0</v>
      </c>
      <c r="AB92" s="189">
        <f t="shared" si="73"/>
        <v>0</v>
      </c>
      <c r="AC92" s="189">
        <f t="shared" si="74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69"/>
        <v>0</v>
      </c>
      <c r="T93" s="194">
        <f t="shared" si="70"/>
        <v>0</v>
      </c>
      <c r="U93" s="112"/>
      <c r="V93" s="112"/>
      <c r="W93" s="113">
        <v>1.4999999999999999E-2</v>
      </c>
      <c r="X93" s="196">
        <f t="shared" si="71"/>
        <v>0</v>
      </c>
      <c r="Y93" s="196">
        <f t="shared" si="72"/>
        <v>0</v>
      </c>
      <c r="Z93" s="87"/>
      <c r="AA93" s="189">
        <f t="shared" si="68"/>
        <v>0</v>
      </c>
      <c r="AB93" s="189">
        <f t="shared" si="73"/>
        <v>0</v>
      </c>
      <c r="AC93" s="189">
        <f t="shared" si="74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69"/>
        <v>0</v>
      </c>
      <c r="T94" s="194">
        <f t="shared" si="70"/>
        <v>0</v>
      </c>
      <c r="U94" s="112"/>
      <c r="V94" s="112"/>
      <c r="W94" s="113">
        <v>1.4999999999999999E-2</v>
      </c>
      <c r="X94" s="196">
        <f t="shared" si="71"/>
        <v>0</v>
      </c>
      <c r="Y94" s="196">
        <f t="shared" si="72"/>
        <v>0</v>
      </c>
      <c r="Z94" s="87"/>
      <c r="AA94" s="189">
        <f t="shared" si="68"/>
        <v>0</v>
      </c>
      <c r="AB94" s="189">
        <f t="shared" si="73"/>
        <v>0</v>
      </c>
      <c r="AC94" s="189">
        <f t="shared" si="74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69"/>
        <v>0</v>
      </c>
      <c r="T95" s="194">
        <f t="shared" si="70"/>
        <v>0</v>
      </c>
      <c r="U95" s="112"/>
      <c r="V95" s="112"/>
      <c r="W95" s="113">
        <v>1.4999999999999999E-2</v>
      </c>
      <c r="X95" s="196">
        <f t="shared" si="71"/>
        <v>0</v>
      </c>
      <c r="Y95" s="196">
        <f t="shared" si="72"/>
        <v>0</v>
      </c>
      <c r="Z95" s="87"/>
      <c r="AA95" s="189">
        <f t="shared" si="68"/>
        <v>0</v>
      </c>
      <c r="AB95" s="189">
        <f t="shared" si="73"/>
        <v>0</v>
      </c>
      <c r="AC95" s="189">
        <f t="shared" si="74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69"/>
        <v>0</v>
      </c>
      <c r="T96" s="194">
        <f t="shared" si="70"/>
        <v>0</v>
      </c>
      <c r="U96" s="112"/>
      <c r="V96" s="112"/>
      <c r="W96" s="113">
        <v>1.4999999999999999E-2</v>
      </c>
      <c r="X96" s="196">
        <f t="shared" si="71"/>
        <v>0</v>
      </c>
      <c r="Y96" s="196">
        <f t="shared" si="72"/>
        <v>0</v>
      </c>
      <c r="Z96" s="87"/>
      <c r="AA96" s="189">
        <f t="shared" si="68"/>
        <v>0</v>
      </c>
      <c r="AB96" s="189">
        <f t="shared" si="73"/>
        <v>0</v>
      </c>
      <c r="AC96" s="189">
        <f t="shared" si="74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69"/>
        <v>0</v>
      </c>
      <c r="T97" s="194">
        <f t="shared" si="70"/>
        <v>0</v>
      </c>
      <c r="U97" s="112"/>
      <c r="V97" s="112"/>
      <c r="W97" s="113">
        <v>1.4999999999999999E-2</v>
      </c>
      <c r="X97" s="196">
        <f t="shared" si="71"/>
        <v>0</v>
      </c>
      <c r="Y97" s="196">
        <f t="shared" si="72"/>
        <v>0</v>
      </c>
      <c r="Z97" s="87"/>
      <c r="AA97" s="189">
        <f t="shared" si="68"/>
        <v>0</v>
      </c>
      <c r="AB97" s="189">
        <f t="shared" si="73"/>
        <v>0</v>
      </c>
      <c r="AC97" s="189">
        <f t="shared" si="74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130.74</v>
      </c>
      <c r="R98" s="111"/>
      <c r="S98" s="195">
        <f>SUM(S78:S97)</f>
        <v>0.98055000000000003</v>
      </c>
      <c r="T98" s="195">
        <f>SUM(T78:T97)</f>
        <v>129.75944999999999</v>
      </c>
      <c r="U98" s="114">
        <f>SUM(U78:U97)</f>
        <v>235.01999999999998</v>
      </c>
      <c r="V98" s="114">
        <f>SUM(V78:V97)</f>
        <v>0</v>
      </c>
      <c r="W98" s="112"/>
      <c r="X98" s="197">
        <f>SUM(X78:X97)</f>
        <v>3.5252999999999997</v>
      </c>
      <c r="Y98" s="197">
        <f>SUM(Y78:Y97)</f>
        <v>231.49469999999997</v>
      </c>
      <c r="Z98" s="63">
        <f>SUM(Z78:Z97)</f>
        <v>0</v>
      </c>
      <c r="AA98" s="198">
        <f t="shared" ref="AA98:AB98" si="75">SUM(AA78:AA97)</f>
        <v>0</v>
      </c>
      <c r="AB98" s="198">
        <f t="shared" si="75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0</v>
      </c>
    </row>
    <row r="101" spans="14:30" x14ac:dyDescent="0.25">
      <c r="N101" s="85"/>
      <c r="P101" s="212">
        <f>P79+Q79+U79</f>
        <v>252.73999999999998</v>
      </c>
    </row>
    <row r="102" spans="14:30" x14ac:dyDescent="0.25">
      <c r="N102" s="85"/>
      <c r="P102" s="212">
        <f>P80+Q80+U80</f>
        <v>113.02</v>
      </c>
    </row>
    <row r="103" spans="14:30" x14ac:dyDescent="0.25">
      <c r="N103" s="85"/>
      <c r="P103" s="212">
        <f>P81+Q81+U81</f>
        <v>0</v>
      </c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A76:AA77"/>
    <mergeCell ref="AB76:AB77"/>
    <mergeCell ref="AC76:AC77"/>
    <mergeCell ref="AD76:AD77"/>
    <mergeCell ref="N75:Q75"/>
    <mergeCell ref="N76:N77"/>
    <mergeCell ref="O76:O77"/>
    <mergeCell ref="U76:Y76"/>
    <mergeCell ref="P76:T76"/>
    <mergeCell ref="Z76:Z77"/>
    <mergeCell ref="F77:G77"/>
    <mergeCell ref="N42:Q42"/>
    <mergeCell ref="N63:Q63"/>
    <mergeCell ref="N69:Q69"/>
    <mergeCell ref="A1:A3"/>
    <mergeCell ref="B1:H1"/>
    <mergeCell ref="B2:H2"/>
    <mergeCell ref="B3:H3"/>
    <mergeCell ref="B4:H4"/>
    <mergeCell ref="A67:B67"/>
    <mergeCell ref="F67:H67"/>
    <mergeCell ref="I67:J67"/>
  </mergeCells>
  <conditionalFormatting sqref="B70">
    <cfRule type="cellIs" dxfId="61" priority="1" operator="greaterThan">
      <formula>0</formula>
    </cfRule>
    <cfRule type="cellIs" dxfId="6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31</vt:i4>
      </vt:variant>
    </vt:vector>
  </HeadingPairs>
  <TitlesOfParts>
    <vt:vector size="70" baseType="lpstr">
      <vt:lpstr>RESUMEN GENERAL DE VENTAS</vt:lpstr>
      <vt:lpstr>PROVINCIAL</vt:lpstr>
      <vt:lpstr>BANESCO</vt:lpstr>
      <vt:lpstr>VENEZUELA</vt:lpstr>
      <vt:lpstr>PLAZA</vt:lpstr>
      <vt:lpstr>BANCRECER</vt:lpstr>
      <vt:lpstr>VENTAS A CREDITO</vt:lpstr>
      <vt:lpstr>DIVISAS Y TRANSFERENCIAS</vt:lpstr>
      <vt:lpstr>DIA 1</vt:lpstr>
      <vt:lpstr>DIA 2</vt:lpstr>
      <vt:lpstr>DIA 3</vt:lpstr>
      <vt:lpstr>DIA 4</vt:lpstr>
      <vt:lpstr>DIA 5</vt:lpstr>
      <vt:lpstr>DIA 6</vt:lpstr>
      <vt:lpstr>DIA 7</vt:lpstr>
      <vt:lpstr>DIA 8</vt:lpstr>
      <vt:lpstr>DIA 9</vt:lpstr>
      <vt:lpstr>DIA 10</vt:lpstr>
      <vt:lpstr>DIA 11</vt:lpstr>
      <vt:lpstr>DIA 12</vt:lpstr>
      <vt:lpstr>DIA 13</vt:lpstr>
      <vt:lpstr>DIA 14</vt:lpstr>
      <vt:lpstr>DIA 15</vt:lpstr>
      <vt:lpstr>DIA 16</vt:lpstr>
      <vt:lpstr>DIA 17</vt:lpstr>
      <vt:lpstr>DIA 18</vt:lpstr>
      <vt:lpstr>DIA 19</vt:lpstr>
      <vt:lpstr>DIA 20</vt:lpstr>
      <vt:lpstr>DIA 21</vt:lpstr>
      <vt:lpstr>DIA 22</vt:lpstr>
      <vt:lpstr>DIA 23</vt:lpstr>
      <vt:lpstr>DIA 24</vt:lpstr>
      <vt:lpstr>DIA 25</vt:lpstr>
      <vt:lpstr>DIA 26</vt:lpstr>
      <vt:lpstr>DIA 27</vt:lpstr>
      <vt:lpstr>DIA 28</vt:lpstr>
      <vt:lpstr>DIA 29</vt:lpstr>
      <vt:lpstr>DIA 30</vt:lpstr>
      <vt:lpstr>DIA 31</vt:lpstr>
      <vt:lpstr>'DIA 1'!Área_de_impresión</vt:lpstr>
      <vt:lpstr>'DIA 10'!Área_de_impresión</vt:lpstr>
      <vt:lpstr>'DIA 11'!Área_de_impresión</vt:lpstr>
      <vt:lpstr>'DIA 12'!Área_de_impresión</vt:lpstr>
      <vt:lpstr>'DIA 13'!Área_de_impresión</vt:lpstr>
      <vt:lpstr>'DIA 14'!Área_de_impresión</vt:lpstr>
      <vt:lpstr>'DIA 15'!Área_de_impresión</vt:lpstr>
      <vt:lpstr>'DIA 16'!Área_de_impresión</vt:lpstr>
      <vt:lpstr>'DIA 17'!Área_de_impresión</vt:lpstr>
      <vt:lpstr>'DIA 18'!Área_de_impresión</vt:lpstr>
      <vt:lpstr>'DIA 19'!Área_de_impresión</vt:lpstr>
      <vt:lpstr>'DIA 2'!Área_de_impresión</vt:lpstr>
      <vt:lpstr>'DIA 20'!Área_de_impresión</vt:lpstr>
      <vt:lpstr>'DIA 21'!Área_de_impresión</vt:lpstr>
      <vt:lpstr>'DIA 22'!Área_de_impresión</vt:lpstr>
      <vt:lpstr>'DIA 23'!Área_de_impresión</vt:lpstr>
      <vt:lpstr>'DIA 24'!Área_de_impresión</vt:lpstr>
      <vt:lpstr>'DIA 25'!Área_de_impresión</vt:lpstr>
      <vt:lpstr>'DIA 26'!Área_de_impresión</vt:lpstr>
      <vt:lpstr>'DIA 27'!Área_de_impresión</vt:lpstr>
      <vt:lpstr>'DIA 28'!Área_de_impresión</vt:lpstr>
      <vt:lpstr>'DIA 29'!Área_de_impresión</vt:lpstr>
      <vt:lpstr>'DIA 3'!Área_de_impresión</vt:lpstr>
      <vt:lpstr>'DIA 30'!Área_de_impresión</vt:lpstr>
      <vt:lpstr>'DIA 31'!Área_de_impresión</vt:lpstr>
      <vt:lpstr>'DIA 4'!Área_de_impresión</vt:lpstr>
      <vt:lpstr>'DIA 5'!Área_de_impresión</vt:lpstr>
      <vt:lpstr>'DIA 6'!Área_de_impresión</vt:lpstr>
      <vt:lpstr>'DIA 7'!Área_de_impresión</vt:lpstr>
      <vt:lpstr>'DIA 8'!Área_de_impresión</vt:lpstr>
      <vt:lpstr>'DIA 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2022-07-05T13:20:35Z</cp:lastPrinted>
  <dcterms:created xsi:type="dcterms:W3CDTF">2013-07-24T18:56:16Z</dcterms:created>
  <dcterms:modified xsi:type="dcterms:W3CDTF">2022-08-19T17:22:45Z</dcterms:modified>
</cp:coreProperties>
</file>