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RME AUDITORIA 2022 KEYLA\LEIBYS CAPOTE\INFORME AUDITORIA MES DE JUlIO  2022\"/>
    </mc:Choice>
  </mc:AlternateContent>
  <bookViews>
    <workbookView xWindow="-15" yWindow="-15" windowWidth="7890" windowHeight="10860" tabRatio="599" firstSheet="36" activeTab="36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LAZA" sheetId="142" r:id="rId5"/>
    <sheet name="TESORO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0" sheetId="138" r:id="rId38"/>
    <sheet name="DIA 31" sheetId="139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7">'DIA 30'!$A$1:$H$71</definedName>
    <definedName name="_xlnm.Print_Area" localSheetId="38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</workbook>
</file>

<file path=xl/calcChain.xml><?xml version="1.0" encoding="utf-8"?>
<calcChain xmlns="http://schemas.openxmlformats.org/spreadsheetml/2006/main">
  <c r="B71" i="139" l="1"/>
  <c r="B29" i="139"/>
  <c r="B13" i="139"/>
  <c r="B12" i="139"/>
  <c r="U80" i="139"/>
  <c r="Q80" i="139"/>
  <c r="U79" i="139"/>
  <c r="Q79" i="139"/>
  <c r="U78" i="139"/>
  <c r="Q78" i="139"/>
  <c r="B71" i="138"/>
  <c r="U80" i="138" l="1"/>
  <c r="Q80" i="138"/>
  <c r="U79" i="138"/>
  <c r="Q79" i="138"/>
  <c r="U78" i="138"/>
  <c r="Q78" i="138"/>
  <c r="Q79" i="137" l="1"/>
  <c r="B70" i="137"/>
  <c r="U79" i="137"/>
  <c r="Q80" i="137"/>
  <c r="B71" i="136" l="1"/>
  <c r="U80" i="137"/>
  <c r="U78" i="137"/>
  <c r="Q78" i="137"/>
  <c r="B70" i="136"/>
  <c r="Q80" i="136" l="1"/>
  <c r="U79" i="136"/>
  <c r="Q79" i="136"/>
  <c r="U78" i="136"/>
  <c r="Q78" i="136"/>
  <c r="B71" i="135" l="1"/>
  <c r="Q78" i="135"/>
  <c r="Q79" i="135" l="1"/>
  <c r="U79" i="135"/>
  <c r="U78" i="135"/>
  <c r="L44" i="134" l="1"/>
  <c r="L43" i="134"/>
  <c r="L38" i="134"/>
  <c r="L37" i="134"/>
  <c r="P103" i="130" l="1"/>
  <c r="P105" i="130"/>
  <c r="P101" i="130"/>
  <c r="K49" i="115" l="1"/>
  <c r="L44" i="125" l="1"/>
  <c r="L43" i="125"/>
  <c r="L38" i="125"/>
  <c r="L37" i="125"/>
  <c r="Q104" i="122" l="1"/>
  <c r="Q103" i="122"/>
  <c r="B71" i="118" l="1"/>
  <c r="B71" i="116" l="1"/>
  <c r="L44" i="111" l="1"/>
  <c r="L43" i="111"/>
  <c r="L38" i="111"/>
  <c r="L37" i="111"/>
  <c r="L44" i="110"/>
  <c r="L43" i="110"/>
  <c r="L38" i="110"/>
  <c r="L37" i="110"/>
  <c r="B70" i="129" l="1"/>
  <c r="B70" i="121"/>
  <c r="B70" i="115"/>
  <c r="B70" i="138" l="1"/>
  <c r="Q101" i="134" l="1"/>
  <c r="B70" i="134"/>
  <c r="B14" i="134" l="1"/>
  <c r="B70" i="135" l="1"/>
  <c r="B70" i="132" l="1"/>
  <c r="B70" i="131" l="1"/>
  <c r="L37" i="130" l="1"/>
  <c r="B70" i="128" l="1"/>
  <c r="B70" i="127" l="1"/>
  <c r="B70" i="126" l="1"/>
  <c r="B70" i="125"/>
  <c r="B70" i="124"/>
  <c r="B70" i="123"/>
  <c r="B70" i="122" l="1"/>
  <c r="B70" i="120" l="1"/>
  <c r="L37" i="119" l="1"/>
  <c r="B70" i="119"/>
  <c r="B70" i="118" l="1"/>
  <c r="B70" i="116" l="1"/>
  <c r="B70" i="114" l="1"/>
  <c r="B70" i="113"/>
  <c r="Q106" i="113"/>
  <c r="B70" i="40"/>
  <c r="B70" i="110"/>
  <c r="B70" i="111"/>
  <c r="U55" i="110" l="1"/>
  <c r="B70" i="112" l="1"/>
  <c r="Q102" i="111"/>
  <c r="Q103" i="111"/>
  <c r="L37" i="131" l="1"/>
  <c r="L29" i="130" l="1"/>
  <c r="L37" i="126" l="1"/>
  <c r="B14" i="125" l="1"/>
  <c r="B16" i="125"/>
  <c r="B22" i="122" l="1"/>
  <c r="B70" i="117" l="1"/>
  <c r="L37" i="115" l="1"/>
  <c r="B14" i="113" l="1"/>
  <c r="B16" i="113"/>
  <c r="J13" i="114" l="1"/>
  <c r="J15" i="114"/>
  <c r="J17" i="114"/>
  <c r="J18" i="114"/>
  <c r="J12" i="114"/>
  <c r="J13" i="113"/>
  <c r="J12" i="113"/>
  <c r="J22" i="114"/>
  <c r="L37" i="112" l="1"/>
  <c r="B70" i="133" l="1"/>
  <c r="L37" i="133"/>
  <c r="Q104" i="132"/>
  <c r="Q103" i="132"/>
  <c r="L37" i="127" l="1"/>
  <c r="L29" i="127"/>
  <c r="B30" i="127"/>
  <c r="L30" i="127" s="1"/>
  <c r="P109" i="118" l="1"/>
  <c r="P108" i="118"/>
  <c r="P107" i="118"/>
  <c r="Q109" i="117" l="1"/>
  <c r="Q111" i="117"/>
  <c r="Q106" i="117"/>
  <c r="Q105" i="117"/>
  <c r="Q110" i="117"/>
  <c r="Q108" i="117"/>
  <c r="Q105" i="111" l="1"/>
  <c r="Q106" i="110" l="1"/>
  <c r="Q105" i="110"/>
  <c r="P103" i="40"/>
  <c r="P102" i="40"/>
  <c r="P104" i="40" l="1"/>
  <c r="P102" i="139" l="1"/>
  <c r="L37" i="138" l="1"/>
  <c r="P106" i="138"/>
  <c r="P105" i="138"/>
  <c r="L29" i="137"/>
  <c r="P103" i="135" l="1"/>
  <c r="P105" i="133" l="1"/>
  <c r="L29" i="124" l="1"/>
  <c r="L37" i="123" l="1"/>
  <c r="L37" i="122" l="1"/>
  <c r="U98" i="122"/>
  <c r="P98" i="122"/>
  <c r="Q98" i="122"/>
  <c r="Q105" i="122" l="1"/>
  <c r="P104" i="121" l="1"/>
  <c r="L37" i="118"/>
  <c r="P104" i="118" l="1"/>
  <c r="Q106" i="115" l="1"/>
  <c r="Q105" i="115"/>
  <c r="P104" i="136" l="1"/>
  <c r="P104" i="135"/>
  <c r="Q105" i="132" l="1"/>
  <c r="P106" i="128" l="1"/>
  <c r="P105" i="128"/>
  <c r="P105" i="127" l="1"/>
  <c r="P105" i="126" l="1"/>
  <c r="Q105" i="124" l="1"/>
  <c r="Q101" i="124"/>
  <c r="R105" i="123" l="1"/>
  <c r="P105" i="121" l="1"/>
  <c r="L29" i="118" l="1"/>
  <c r="B16" i="117" l="1"/>
  <c r="P104" i="116" l="1"/>
  <c r="P105" i="116"/>
  <c r="Q103" i="115" l="1"/>
  <c r="Q107" i="114" l="1"/>
  <c r="Q108" i="114" l="1"/>
  <c r="Q105" i="113" l="1"/>
  <c r="P104" i="139" l="1"/>
  <c r="P103" i="138"/>
  <c r="P106" i="136"/>
  <c r="P105" i="136"/>
  <c r="L29" i="135" l="1"/>
  <c r="P101" i="135"/>
  <c r="Q103" i="134"/>
  <c r="B27" i="134"/>
  <c r="Q105" i="129" l="1"/>
  <c r="Q106" i="129"/>
  <c r="Q104" i="129"/>
  <c r="B14" i="129"/>
  <c r="B20" i="129" s="1"/>
  <c r="U98" i="121" l="1"/>
  <c r="T42" i="117"/>
  <c r="L37" i="124" l="1"/>
  <c r="Q102" i="124"/>
  <c r="Q103" i="124"/>
  <c r="P98" i="113" l="1"/>
  <c r="L37" i="116" l="1"/>
  <c r="P101" i="139" l="1"/>
  <c r="L21" i="133" l="1"/>
  <c r="L29" i="131" l="1"/>
  <c r="P102" i="127" l="1"/>
  <c r="P98" i="125" l="1"/>
  <c r="Q98" i="125"/>
  <c r="Q105" i="125"/>
  <c r="Q104" i="125"/>
  <c r="P98" i="117" l="1"/>
  <c r="Q98" i="117"/>
  <c r="B14" i="117"/>
  <c r="L29" i="116" l="1"/>
  <c r="P105" i="112" l="1"/>
  <c r="P104" i="112"/>
  <c r="P104" i="138" l="1"/>
  <c r="Q105" i="137" l="1"/>
  <c r="P106" i="135"/>
  <c r="P105" i="135"/>
  <c r="Q102" i="132"/>
  <c r="L37" i="132"/>
  <c r="L29" i="132"/>
  <c r="Q107" i="129"/>
  <c r="S80" i="128" l="1"/>
  <c r="Q103" i="125" l="1"/>
  <c r="Q102" i="125"/>
  <c r="Q101" i="125"/>
  <c r="Q100" i="125"/>
  <c r="B16" i="112" l="1"/>
  <c r="Q107" i="113"/>
  <c r="Q104" i="113"/>
  <c r="Q103" i="113"/>
  <c r="P105" i="118" l="1"/>
  <c r="P103" i="118"/>
  <c r="Q107" i="117" l="1"/>
  <c r="L29" i="115" l="1"/>
  <c r="Q102" i="115" l="1"/>
  <c r="P103" i="112" l="1"/>
  <c r="P100" i="112"/>
  <c r="Q102" i="110" l="1"/>
  <c r="P102" i="136" l="1"/>
  <c r="Q98" i="138"/>
  <c r="P102" i="138" l="1"/>
  <c r="P101" i="138"/>
  <c r="Q103" i="137" l="1"/>
  <c r="P103" i="136" l="1"/>
  <c r="P101" i="136"/>
  <c r="P104" i="133" l="1"/>
  <c r="P102" i="133"/>
  <c r="P106" i="131" l="1"/>
  <c r="P105" i="131"/>
  <c r="P104" i="131"/>
  <c r="Q100" i="132" l="1"/>
  <c r="P101" i="128" l="1"/>
  <c r="P104" i="128"/>
  <c r="P103" i="128"/>
  <c r="P102" i="128"/>
  <c r="P102" i="126" l="1"/>
  <c r="R102" i="123" l="1"/>
  <c r="Q98" i="124" l="1"/>
  <c r="P103" i="121" l="1"/>
  <c r="Q98" i="119" l="1"/>
  <c r="Q108" i="119"/>
  <c r="Q107" i="119"/>
  <c r="Q106" i="119"/>
  <c r="Q105" i="119"/>
  <c r="Q104" i="119"/>
  <c r="Q98" i="118"/>
  <c r="P102" i="121" l="1"/>
  <c r="P106" i="118" l="1"/>
  <c r="Q102" i="119"/>
  <c r="Q104" i="117" l="1"/>
  <c r="P102" i="112" l="1"/>
  <c r="P101" i="112" l="1"/>
  <c r="Q98" i="111" l="1"/>
  <c r="Q101" i="111"/>
  <c r="Q100" i="111"/>
  <c r="Q101" i="110" l="1"/>
  <c r="Q98" i="40"/>
  <c r="P101" i="40" l="1"/>
  <c r="P100" i="40"/>
  <c r="P102" i="135" l="1"/>
  <c r="P103" i="131" l="1"/>
  <c r="P102" i="131"/>
  <c r="P101" i="131"/>
  <c r="Q102" i="129" l="1"/>
  <c r="B22" i="119"/>
  <c r="Q106" i="134" l="1"/>
  <c r="Q105" i="134"/>
  <c r="Q104" i="134"/>
  <c r="Q102" i="134"/>
  <c r="Q100" i="134"/>
  <c r="Q98" i="134"/>
  <c r="P103" i="133" l="1"/>
  <c r="P101" i="133"/>
  <c r="P100" i="133"/>
  <c r="P106" i="133"/>
  <c r="Q101" i="132" l="1"/>
  <c r="P108" i="130" l="1"/>
  <c r="P100" i="130"/>
  <c r="P104" i="126" l="1"/>
  <c r="P106" i="126"/>
  <c r="P101" i="126"/>
  <c r="P103" i="126"/>
  <c r="Q98" i="126" l="1"/>
  <c r="R106" i="123" l="1"/>
  <c r="R104" i="123"/>
  <c r="R107" i="123"/>
  <c r="R103" i="123"/>
  <c r="R101" i="123"/>
  <c r="Q102" i="122" l="1"/>
  <c r="Q98" i="121" l="1"/>
  <c r="Q104" i="115" l="1"/>
  <c r="Q101" i="115"/>
  <c r="Q102" i="113" l="1"/>
  <c r="Q104" i="110" l="1"/>
  <c r="Q103" i="110"/>
  <c r="P105" i="139" l="1"/>
  <c r="P103" i="139"/>
  <c r="Q98" i="139" l="1"/>
  <c r="Q106" i="137" l="1"/>
  <c r="Q104" i="137"/>
  <c r="Q102" i="137"/>
  <c r="Q101" i="137"/>
  <c r="Q98" i="137"/>
  <c r="Q98" i="136" l="1"/>
  <c r="Q98" i="135" l="1"/>
  <c r="Q98" i="133" l="1"/>
  <c r="Q98" i="132" l="1"/>
  <c r="Q98" i="131" l="1"/>
  <c r="P104" i="130" l="1"/>
  <c r="P102" i="130"/>
  <c r="Q98" i="130"/>
  <c r="Q103" i="129" l="1"/>
  <c r="Q98" i="129"/>
  <c r="Q98" i="128" l="1"/>
  <c r="P106" i="127" l="1"/>
  <c r="P104" i="127"/>
  <c r="P103" i="127"/>
  <c r="P101" i="127"/>
  <c r="Q98" i="127"/>
  <c r="Q106" i="124" l="1"/>
  <c r="Q104" i="124"/>
  <c r="Q98" i="123" l="1"/>
  <c r="Q106" i="122" l="1"/>
  <c r="P106" i="121" l="1"/>
  <c r="P101" i="121"/>
  <c r="Q106" i="120" l="1"/>
  <c r="Q105" i="120"/>
  <c r="Q104" i="120"/>
  <c r="Q103" i="120"/>
  <c r="Q102" i="120"/>
  <c r="Q101" i="120"/>
  <c r="Q98" i="120" l="1"/>
  <c r="Q103" i="119" l="1"/>
  <c r="P106" i="116" l="1"/>
  <c r="P103" i="116"/>
  <c r="P102" i="116"/>
  <c r="P101" i="116"/>
  <c r="Q98" i="116"/>
  <c r="Q98" i="115" l="1"/>
  <c r="Q106" i="114" l="1"/>
  <c r="Q105" i="114"/>
  <c r="Q104" i="114"/>
  <c r="Q103" i="114"/>
  <c r="Q98" i="114"/>
  <c r="Q98" i="113" l="1"/>
  <c r="Q98" i="112" l="1"/>
  <c r="Q106" i="111" l="1"/>
  <c r="Q104" i="111"/>
  <c r="Q98" i="11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B70" i="139"/>
  <c r="T69" i="139"/>
  <c r="R69" i="139"/>
  <c r="B48" i="139" s="1"/>
  <c r="J48" i="139" s="1"/>
  <c r="J69" i="139"/>
  <c r="J64" i="139"/>
  <c r="T63" i="139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B55" i="139"/>
  <c r="J55" i="139" s="1"/>
  <c r="H54" i="139"/>
  <c r="B54" i="139"/>
  <c r="J54" i="139" s="1"/>
  <c r="H53" i="139"/>
  <c r="B53" i="139"/>
  <c r="J53" i="139" s="1"/>
  <c r="H52" i="139"/>
  <c r="H51" i="139"/>
  <c r="H50" i="139"/>
  <c r="H49" i="139"/>
  <c r="H48" i="139"/>
  <c r="H47" i="139"/>
  <c r="H46" i="139"/>
  <c r="L45" i="139"/>
  <c r="J45" i="139"/>
  <c r="L44" i="139"/>
  <c r="L43" i="139"/>
  <c r="B43" i="139"/>
  <c r="T42" i="139"/>
  <c r="B52" i="139" s="1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L38" i="139"/>
  <c r="B38" i="139"/>
  <c r="B44" i="139" s="1"/>
  <c r="L37" i="139"/>
  <c r="J37" i="139"/>
  <c r="L36" i="139"/>
  <c r="L35" i="139"/>
  <c r="B35" i="139"/>
  <c r="L34" i="139"/>
  <c r="B34" i="139"/>
  <c r="J34" i="139" s="1"/>
  <c r="L33" i="139"/>
  <c r="J33" i="139"/>
  <c r="L32" i="139"/>
  <c r="B32" i="139"/>
  <c r="J32" i="139" s="1"/>
  <c r="L31" i="139"/>
  <c r="J31" i="139"/>
  <c r="L30" i="139"/>
  <c r="B30" i="139"/>
  <c r="B36" i="139" s="1"/>
  <c r="L29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B49" i="138" s="1"/>
  <c r="J49" i="138" s="1"/>
  <c r="T69" i="138"/>
  <c r="B54" i="138" s="1"/>
  <c r="J54" i="138" s="1"/>
  <c r="R69" i="138"/>
  <c r="B48" i="138" s="1"/>
  <c r="J48" i="138" s="1"/>
  <c r="J69" i="138"/>
  <c r="J64" i="138"/>
  <c r="T63" i="138"/>
  <c r="B53" i="138" s="1"/>
  <c r="J53" i="138" s="1"/>
  <c r="S63" i="138"/>
  <c r="B58" i="138" s="1"/>
  <c r="J58" i="138" s="1"/>
  <c r="R63" i="138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B47" i="138"/>
  <c r="J47" i="138" s="1"/>
  <c r="H46" i="138"/>
  <c r="L45" i="138"/>
  <c r="J45" i="138"/>
  <c r="B43" i="138"/>
  <c r="L43" i="138" s="1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B38" i="138"/>
  <c r="L38" i="138" s="1"/>
  <c r="J37" i="138"/>
  <c r="L36" i="138"/>
  <c r="L35" i="138"/>
  <c r="B35" i="138"/>
  <c r="L34" i="138"/>
  <c r="B34" i="138"/>
  <c r="J34" i="138" s="1"/>
  <c r="L33" i="138"/>
  <c r="J33" i="138"/>
  <c r="L32" i="138"/>
  <c r="B32" i="138"/>
  <c r="J32" i="138" s="1"/>
  <c r="L31" i="138"/>
  <c r="J31" i="138"/>
  <c r="L30" i="138"/>
  <c r="B30" i="138"/>
  <c r="B36" i="138" s="1"/>
  <c r="L29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20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C37" i="109" s="1"/>
  <c r="L13" i="138"/>
  <c r="J13" i="138"/>
  <c r="L12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X78" i="137"/>
  <c r="S78" i="137"/>
  <c r="T75" i="137"/>
  <c r="B56" i="137" s="1"/>
  <c r="J56" i="137" s="1"/>
  <c r="R75" i="137"/>
  <c r="B49" i="137" s="1"/>
  <c r="J49" i="137" s="1"/>
  <c r="T69" i="137"/>
  <c r="B54" i="137" s="1"/>
  <c r="J54" i="137" s="1"/>
  <c r="R69" i="137"/>
  <c r="B48" i="137" s="1"/>
  <c r="J48" i="137" s="1"/>
  <c r="J69" i="137"/>
  <c r="J64" i="137"/>
  <c r="T63" i="137"/>
  <c r="B53" i="137" s="1"/>
  <c r="J53" i="137" s="1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L45" i="137"/>
  <c r="J45" i="137"/>
  <c r="L44" i="137"/>
  <c r="L43" i="137"/>
  <c r="B43" i="137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L40" i="137"/>
  <c r="B40" i="137"/>
  <c r="J40" i="137" s="1"/>
  <c r="L39" i="137"/>
  <c r="J39" i="137"/>
  <c r="L38" i="137"/>
  <c r="B38" i="137"/>
  <c r="B44" i="137" s="1"/>
  <c r="L37" i="137"/>
  <c r="J37" i="137"/>
  <c r="B35" i="137"/>
  <c r="L35" i="137" s="1"/>
  <c r="L34" i="137"/>
  <c r="B34" i="137"/>
  <c r="J34" i="137" s="1"/>
  <c r="L33" i="137"/>
  <c r="J33" i="137"/>
  <c r="L32" i="137"/>
  <c r="B32" i="137"/>
  <c r="J32" i="137" s="1"/>
  <c r="L31" i="137"/>
  <c r="J31" i="137"/>
  <c r="B30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X78" i="136"/>
  <c r="S78" i="136"/>
  <c r="T75" i="136"/>
  <c r="B56" i="136" s="1"/>
  <c r="J56" i="136" s="1"/>
  <c r="R75" i="136"/>
  <c r="B49" i="136" s="1"/>
  <c r="J49" i="136" s="1"/>
  <c r="T69" i="136"/>
  <c r="B54" i="136" s="1"/>
  <c r="J54" i="136" s="1"/>
  <c r="R69" i="136"/>
  <c r="B48" i="136" s="1"/>
  <c r="J48" i="136" s="1"/>
  <c r="J69" i="136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B55" i="136"/>
  <c r="J55" i="136" s="1"/>
  <c r="H54" i="136"/>
  <c r="H53" i="136"/>
  <c r="H52" i="136"/>
  <c r="H51" i="136"/>
  <c r="H50" i="136"/>
  <c r="H49" i="136"/>
  <c r="H48" i="136"/>
  <c r="H47" i="136"/>
  <c r="H46" i="136"/>
  <c r="L45" i="136"/>
  <c r="J45" i="136"/>
  <c r="L44" i="136"/>
  <c r="L43" i="136"/>
  <c r="B43" i="136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L38" i="136"/>
  <c r="B38" i="136"/>
  <c r="B44" i="136" s="1"/>
  <c r="L37" i="136"/>
  <c r="J37" i="136"/>
  <c r="L36" i="136"/>
  <c r="L35" i="136"/>
  <c r="B35" i="136"/>
  <c r="L34" i="136"/>
  <c r="B34" i="136"/>
  <c r="J34" i="136" s="1"/>
  <c r="L33" i="136"/>
  <c r="J33" i="136"/>
  <c r="L32" i="136"/>
  <c r="B32" i="136"/>
  <c r="J32" i="136" s="1"/>
  <c r="L31" i="136"/>
  <c r="J31" i="136"/>
  <c r="L30" i="136"/>
  <c r="B30" i="136"/>
  <c r="B36" i="136" s="1"/>
  <c r="L29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L44" i="135"/>
  <c r="L43" i="135"/>
  <c r="B43" i="135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L40" i="135"/>
  <c r="B40" i="135"/>
  <c r="J40" i="135" s="1"/>
  <c r="L39" i="135"/>
  <c r="J39" i="135"/>
  <c r="L38" i="135"/>
  <c r="B38" i="135"/>
  <c r="B44" i="135" s="1"/>
  <c r="L37" i="135"/>
  <c r="J37" i="135"/>
  <c r="B35" i="135"/>
  <c r="L35" i="135" s="1"/>
  <c r="L34" i="135"/>
  <c r="B34" i="135"/>
  <c r="J34" i="135" s="1"/>
  <c r="L33" i="135"/>
  <c r="J33" i="135"/>
  <c r="L32" i="135"/>
  <c r="B32" i="135"/>
  <c r="J32" i="135" s="1"/>
  <c r="L31" i="135"/>
  <c r="J31" i="135"/>
  <c r="B30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B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14" i="135"/>
  <c r="B20" i="135" s="1"/>
  <c r="C34" i="109" s="1"/>
  <c r="L13" i="135"/>
  <c r="J13" i="135"/>
  <c r="L12" i="135"/>
  <c r="J12" i="135"/>
  <c r="X10" i="135"/>
  <c r="V10" i="135"/>
  <c r="U10" i="135"/>
  <c r="Z98" i="134"/>
  <c r="B55" i="134" s="1"/>
  <c r="J55" i="134" s="1"/>
  <c r="V98" i="134"/>
  <c r="U98" i="134"/>
  <c r="P98" i="134"/>
  <c r="B50" i="134" s="1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T93" i="134" s="1"/>
  <c r="X92" i="134"/>
  <c r="Y92" i="134" s="1"/>
  <c r="S92" i="134"/>
  <c r="T92" i="134" s="1"/>
  <c r="X91" i="134"/>
  <c r="Y91" i="134" s="1"/>
  <c r="S91" i="134"/>
  <c r="T91" i="134" s="1"/>
  <c r="X90" i="134"/>
  <c r="Y90" i="134" s="1"/>
  <c r="S90" i="134"/>
  <c r="T90" i="134" s="1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S79" i="134"/>
  <c r="T79" i="134" s="1"/>
  <c r="H79" i="134"/>
  <c r="X78" i="134"/>
  <c r="S78" i="134"/>
  <c r="T75" i="134"/>
  <c r="B56" i="134" s="1"/>
  <c r="J56" i="134" s="1"/>
  <c r="R75" i="134"/>
  <c r="B49" i="134" s="1"/>
  <c r="J49" i="134" s="1"/>
  <c r="T69" i="134"/>
  <c r="B54" i="134" s="1"/>
  <c r="J54" i="134" s="1"/>
  <c r="R69" i="134"/>
  <c r="B48" i="134" s="1"/>
  <c r="J48" i="134" s="1"/>
  <c r="J69" i="134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L45" i="134"/>
  <c r="J45" i="134"/>
  <c r="B43" i="134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L40" i="134"/>
  <c r="B40" i="134"/>
  <c r="J40" i="134" s="1"/>
  <c r="L39" i="134"/>
  <c r="J39" i="134"/>
  <c r="B38" i="134"/>
  <c r="B44" i="134" s="1"/>
  <c r="J37" i="134"/>
  <c r="L36" i="134"/>
  <c r="L35" i="134"/>
  <c r="B35" i="134"/>
  <c r="L34" i="134"/>
  <c r="B34" i="134"/>
  <c r="J34" i="134" s="1"/>
  <c r="L33" i="134"/>
  <c r="J33" i="134"/>
  <c r="L32" i="134"/>
  <c r="B32" i="134"/>
  <c r="J32" i="134" s="1"/>
  <c r="L31" i="134"/>
  <c r="J31" i="134"/>
  <c r="L30" i="134"/>
  <c r="B30" i="134"/>
  <c r="B36" i="134" s="1"/>
  <c r="L29" i="134"/>
  <c r="J29" i="134"/>
  <c r="L28" i="134"/>
  <c r="L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20" i="134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J59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L45" i="133"/>
  <c r="J45" i="133"/>
  <c r="B43" i="133"/>
  <c r="L43" i="133" s="1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L40" i="133"/>
  <c r="B40" i="133"/>
  <c r="J40" i="133" s="1"/>
  <c r="L39" i="133"/>
  <c r="J39" i="133"/>
  <c r="B38" i="133"/>
  <c r="J37" i="133"/>
  <c r="L36" i="133"/>
  <c r="L35" i="133"/>
  <c r="B35" i="133"/>
  <c r="L34" i="133"/>
  <c r="B34" i="133"/>
  <c r="J34" i="133" s="1"/>
  <c r="L33" i="133"/>
  <c r="J33" i="133"/>
  <c r="L32" i="133"/>
  <c r="B32" i="133"/>
  <c r="J32" i="133" s="1"/>
  <c r="L31" i="133"/>
  <c r="J31" i="133"/>
  <c r="L30" i="133"/>
  <c r="B30" i="133"/>
  <c r="B36" i="133" s="1"/>
  <c r="L29" i="133"/>
  <c r="J29" i="133"/>
  <c r="B27" i="133"/>
  <c r="L27" i="133" s="1"/>
  <c r="L26" i="133"/>
  <c r="B26" i="133"/>
  <c r="J26" i="133" s="1"/>
  <c r="L25" i="133"/>
  <c r="J25" i="133"/>
  <c r="L24" i="133"/>
  <c r="B24" i="133"/>
  <c r="J24" i="133" s="1"/>
  <c r="L23" i="133"/>
  <c r="J23" i="133"/>
  <c r="B22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B49" i="132" s="1"/>
  <c r="J49" i="132" s="1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B55" i="132"/>
  <c r="J55" i="132" s="1"/>
  <c r="H54" i="132"/>
  <c r="H53" i="132"/>
  <c r="H52" i="132"/>
  <c r="H51" i="132"/>
  <c r="H50" i="132"/>
  <c r="H49" i="132"/>
  <c r="H48" i="132"/>
  <c r="H47" i="132"/>
  <c r="B47" i="132"/>
  <c r="J47" i="132" s="1"/>
  <c r="H46" i="132"/>
  <c r="L45" i="132"/>
  <c r="J45" i="132"/>
  <c r="B43" i="132"/>
  <c r="L43" i="132" s="1"/>
  <c r="T42" i="132"/>
  <c r="B52" i="132" s="1"/>
  <c r="S42" i="132"/>
  <c r="B57" i="132" s="1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B38" i="132"/>
  <c r="J37" i="132"/>
  <c r="B35" i="132"/>
  <c r="L35" i="132" s="1"/>
  <c r="L34" i="132"/>
  <c r="B34" i="132"/>
  <c r="J34" i="132" s="1"/>
  <c r="L33" i="132"/>
  <c r="J33" i="132"/>
  <c r="L32" i="132"/>
  <c r="B32" i="132"/>
  <c r="J32" i="132" s="1"/>
  <c r="L31" i="132"/>
  <c r="J31" i="132"/>
  <c r="B30" i="132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B18" i="132"/>
  <c r="J18" i="132" s="1"/>
  <c r="L17" i="132"/>
  <c r="J17" i="132"/>
  <c r="L16" i="132"/>
  <c r="B16" i="132"/>
  <c r="J16" i="132" s="1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S82" i="131"/>
  <c r="T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B49" i="131" s="1"/>
  <c r="J49" i="131" s="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H48" i="131"/>
  <c r="H47" i="131"/>
  <c r="H46" i="131"/>
  <c r="L45" i="131"/>
  <c r="J45" i="131"/>
  <c r="B43" i="131"/>
  <c r="L43" i="131" s="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B38" i="131"/>
  <c r="J37" i="131"/>
  <c r="B35" i="131"/>
  <c r="L35" i="131" s="1"/>
  <c r="L34" i="131"/>
  <c r="B34" i="131"/>
  <c r="J34" i="131" s="1"/>
  <c r="L33" i="131"/>
  <c r="J33" i="131"/>
  <c r="L32" i="131"/>
  <c r="B32" i="131"/>
  <c r="J32" i="131" s="1"/>
  <c r="L31" i="131"/>
  <c r="J31" i="131"/>
  <c r="B30" i="13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14" i="131"/>
  <c r="B20" i="131" s="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B70" i="130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D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L45" i="130"/>
  <c r="J45" i="130"/>
  <c r="B43" i="130"/>
  <c r="L43" i="130" s="1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B38" i="130"/>
  <c r="J37" i="130"/>
  <c r="B35" i="130"/>
  <c r="L35" i="130" s="1"/>
  <c r="L34" i="130"/>
  <c r="B34" i="130"/>
  <c r="J34" i="130" s="1"/>
  <c r="L33" i="130"/>
  <c r="J33" i="130"/>
  <c r="L32" i="130"/>
  <c r="B32" i="130"/>
  <c r="J32" i="130" s="1"/>
  <c r="L31" i="130"/>
  <c r="J31" i="130"/>
  <c r="B30" i="130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B28" i="130" s="1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H79" i="129"/>
  <c r="X78" i="129"/>
  <c r="S78" i="129"/>
  <c r="T75" i="129"/>
  <c r="B56" i="129" s="1"/>
  <c r="J56" i="129" s="1"/>
  <c r="R75" i="129"/>
  <c r="B49" i="129" s="1"/>
  <c r="J49" i="129" s="1"/>
  <c r="T69" i="129"/>
  <c r="B54" i="129" s="1"/>
  <c r="J54" i="129" s="1"/>
  <c r="R69" i="129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H55" i="129"/>
  <c r="H54" i="129"/>
  <c r="H53" i="129"/>
  <c r="H52" i="129"/>
  <c r="H51" i="129"/>
  <c r="H50" i="129"/>
  <c r="H49" i="129"/>
  <c r="H48" i="129"/>
  <c r="B48" i="129"/>
  <c r="J48" i="129" s="1"/>
  <c r="H47" i="129"/>
  <c r="H46" i="129"/>
  <c r="L45" i="129"/>
  <c r="J45" i="129"/>
  <c r="L44" i="129"/>
  <c r="L43" i="129"/>
  <c r="B43" i="129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L38" i="129"/>
  <c r="B38" i="129"/>
  <c r="B44" i="129" s="1"/>
  <c r="L37" i="129"/>
  <c r="J37" i="129"/>
  <c r="L36" i="129"/>
  <c r="L35" i="129"/>
  <c r="B35" i="129"/>
  <c r="L34" i="129"/>
  <c r="B34" i="129"/>
  <c r="J34" i="129" s="1"/>
  <c r="L33" i="129"/>
  <c r="J33" i="129"/>
  <c r="L32" i="129"/>
  <c r="B32" i="129"/>
  <c r="J32" i="129" s="1"/>
  <c r="L31" i="129"/>
  <c r="J31" i="129"/>
  <c r="L30" i="129"/>
  <c r="B30" i="129"/>
  <c r="B36" i="129" s="1"/>
  <c r="L29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C28" i="109"/>
  <c r="L13" i="129"/>
  <c r="J13" i="129"/>
  <c r="L12" i="129"/>
  <c r="J12" i="129"/>
  <c r="X10" i="129"/>
  <c r="V10" i="129"/>
  <c r="U10" i="129"/>
  <c r="Z98" i="128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S83" i="128"/>
  <c r="T83" i="128" s="1"/>
  <c r="X82" i="128"/>
  <c r="Y82" i="128" s="1"/>
  <c r="S82" i="128"/>
  <c r="T82" i="128" s="1"/>
  <c r="X81" i="128"/>
  <c r="Y81" i="128" s="1"/>
  <c r="S81" i="128"/>
  <c r="T81" i="128" s="1"/>
  <c r="X80" i="128"/>
  <c r="Y80" i="128" s="1"/>
  <c r="T80" i="128"/>
  <c r="X79" i="128"/>
  <c r="Y79" i="128" s="1"/>
  <c r="S79" i="128"/>
  <c r="T79" i="128" s="1"/>
  <c r="H79" i="128"/>
  <c r="X78" i="128"/>
  <c r="S78" i="128"/>
  <c r="T75" i="128"/>
  <c r="B56" i="128" s="1"/>
  <c r="J56" i="128" s="1"/>
  <c r="R75" i="128"/>
  <c r="B49" i="128" s="1"/>
  <c r="J49" i="128" s="1"/>
  <c r="T69" i="128"/>
  <c r="R69" i="128"/>
  <c r="B48" i="128" s="1"/>
  <c r="J48" i="128" s="1"/>
  <c r="J69" i="128"/>
  <c r="J64" i="128"/>
  <c r="T63" i="128"/>
  <c r="S63" i="128"/>
  <c r="B58" i="128" s="1"/>
  <c r="J58" i="128" s="1"/>
  <c r="R63" i="128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B55" i="128"/>
  <c r="J55" i="128" s="1"/>
  <c r="H54" i="128"/>
  <c r="B54" i="128"/>
  <c r="J54" i="128" s="1"/>
  <c r="H53" i="128"/>
  <c r="B53" i="128"/>
  <c r="J53" i="128" s="1"/>
  <c r="H52" i="128"/>
  <c r="H51" i="128"/>
  <c r="H50" i="128"/>
  <c r="H49" i="128"/>
  <c r="H48" i="128"/>
  <c r="H47" i="128"/>
  <c r="B47" i="128"/>
  <c r="J47" i="128" s="1"/>
  <c r="H46" i="128"/>
  <c r="L45" i="128"/>
  <c r="J45" i="128"/>
  <c r="L44" i="128"/>
  <c r="L43" i="128"/>
  <c r="B43" i="128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L38" i="128"/>
  <c r="B38" i="128"/>
  <c r="B44" i="128" s="1"/>
  <c r="L37" i="128"/>
  <c r="J37" i="128"/>
  <c r="L36" i="128"/>
  <c r="L35" i="128"/>
  <c r="B35" i="128"/>
  <c r="L34" i="128"/>
  <c r="B34" i="128"/>
  <c r="J34" i="128" s="1"/>
  <c r="L33" i="128"/>
  <c r="J33" i="128"/>
  <c r="L32" i="128"/>
  <c r="B32" i="128"/>
  <c r="J32" i="128" s="1"/>
  <c r="L31" i="128"/>
  <c r="J31" i="128"/>
  <c r="L30" i="128"/>
  <c r="B30" i="128"/>
  <c r="B36" i="128" s="1"/>
  <c r="L29" i="128"/>
  <c r="J29" i="128"/>
  <c r="L28" i="128"/>
  <c r="L27" i="128"/>
  <c r="L26" i="128"/>
  <c r="J26" i="128"/>
  <c r="L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Z98" i="127"/>
  <c r="B55" i="127" s="1"/>
  <c r="J55" i="127" s="1"/>
  <c r="V98" i="127"/>
  <c r="U98" i="127"/>
  <c r="P98" i="127"/>
  <c r="B50" i="127" s="1"/>
  <c r="J50" i="127" s="1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B56" i="127" s="1"/>
  <c r="J56" i="127" s="1"/>
  <c r="R75" i="127"/>
  <c r="B49" i="127" s="1"/>
  <c r="J49" i="127" s="1"/>
  <c r="T69" i="127"/>
  <c r="B54" i="127" s="1"/>
  <c r="J54" i="127" s="1"/>
  <c r="R69" i="127"/>
  <c r="B48" i="127" s="1"/>
  <c r="J48" i="127" s="1"/>
  <c r="J69" i="127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H55" i="127"/>
  <c r="H54" i="127"/>
  <c r="H53" i="127"/>
  <c r="H52" i="127"/>
  <c r="H51" i="127"/>
  <c r="H50" i="127"/>
  <c r="H49" i="127"/>
  <c r="H48" i="127"/>
  <c r="H47" i="127"/>
  <c r="H46" i="127"/>
  <c r="L45" i="127"/>
  <c r="J45" i="127"/>
  <c r="B43" i="127"/>
  <c r="L43" i="127" s="1"/>
  <c r="T42" i="127"/>
  <c r="B52" i="127" s="1"/>
  <c r="S42" i="127"/>
  <c r="B57" i="127" s="1"/>
  <c r="R42" i="127"/>
  <c r="B46" i="127" s="1"/>
  <c r="L42" i="127"/>
  <c r="B42" i="127"/>
  <c r="J42" i="127" s="1"/>
  <c r="L41" i="127"/>
  <c r="J41" i="127"/>
  <c r="L40" i="127"/>
  <c r="B40" i="127"/>
  <c r="J40" i="127" s="1"/>
  <c r="L39" i="127"/>
  <c r="J39" i="127"/>
  <c r="B38" i="127"/>
  <c r="L38" i="127" s="1"/>
  <c r="J37" i="127"/>
  <c r="B35" i="127"/>
  <c r="L35" i="127" s="1"/>
  <c r="L34" i="127"/>
  <c r="B34" i="127"/>
  <c r="J34" i="127" s="1"/>
  <c r="L33" i="127"/>
  <c r="J33" i="127"/>
  <c r="L32" i="127"/>
  <c r="B32" i="127"/>
  <c r="J32" i="127" s="1"/>
  <c r="L31" i="127"/>
  <c r="J31" i="127"/>
  <c r="B36" i="127"/>
  <c r="L36" i="127" s="1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14" i="127"/>
  <c r="B20" i="127" s="1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L45" i="126"/>
  <c r="J45" i="126"/>
  <c r="B43" i="126"/>
  <c r="L43" i="126" s="1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L40" i="126"/>
  <c r="B40" i="126"/>
  <c r="J40" i="126" s="1"/>
  <c r="L39" i="126"/>
  <c r="J39" i="126"/>
  <c r="B38" i="126"/>
  <c r="J37" i="126"/>
  <c r="L36" i="126"/>
  <c r="L35" i="126"/>
  <c r="B35" i="126"/>
  <c r="L34" i="126"/>
  <c r="B34" i="126"/>
  <c r="J34" i="126" s="1"/>
  <c r="L33" i="126"/>
  <c r="J33" i="126"/>
  <c r="L32" i="126"/>
  <c r="B32" i="126"/>
  <c r="J32" i="126" s="1"/>
  <c r="L31" i="126"/>
  <c r="J31" i="126"/>
  <c r="L30" i="126"/>
  <c r="B30" i="126"/>
  <c r="B36" i="126" s="1"/>
  <c r="L29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S78" i="125"/>
  <c r="T75" i="125"/>
  <c r="B56" i="125" s="1"/>
  <c r="J56" i="125" s="1"/>
  <c r="R75" i="125"/>
  <c r="B49" i="125" s="1"/>
  <c r="J49" i="125" s="1"/>
  <c r="T69" i="125"/>
  <c r="B54" i="125" s="1"/>
  <c r="J54" i="125" s="1"/>
  <c r="R69" i="125"/>
  <c r="B48" i="125" s="1"/>
  <c r="J48" i="125" s="1"/>
  <c r="J69" i="125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B43" i="125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L40" i="125"/>
  <c r="B40" i="125"/>
  <c r="J40" i="125" s="1"/>
  <c r="L39" i="125"/>
  <c r="J39" i="125"/>
  <c r="B38" i="125"/>
  <c r="B44" i="125" s="1"/>
  <c r="J37" i="125"/>
  <c r="L36" i="125"/>
  <c r="L35" i="125"/>
  <c r="B35" i="125"/>
  <c r="L34" i="125"/>
  <c r="B34" i="125"/>
  <c r="J34" i="125" s="1"/>
  <c r="L33" i="125"/>
  <c r="J33" i="125"/>
  <c r="L32" i="125"/>
  <c r="B32" i="125"/>
  <c r="J32" i="125" s="1"/>
  <c r="L31" i="125"/>
  <c r="J31" i="125"/>
  <c r="L30" i="125"/>
  <c r="B30" i="125"/>
  <c r="L29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L19" i="125"/>
  <c r="B19" i="125"/>
  <c r="L18" i="125"/>
  <c r="B18" i="125"/>
  <c r="J18" i="125" s="1"/>
  <c r="L17" i="125"/>
  <c r="J17" i="125"/>
  <c r="L16" i="125"/>
  <c r="J16" i="125"/>
  <c r="L15" i="125"/>
  <c r="J15" i="125"/>
  <c r="L14" i="125"/>
  <c r="B20" i="125"/>
  <c r="C24" i="109" s="1"/>
  <c r="L13" i="125"/>
  <c r="J13" i="125"/>
  <c r="L12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H79" i="124"/>
  <c r="X78" i="124"/>
  <c r="S78" i="124"/>
  <c r="T75" i="124"/>
  <c r="B56" i="124" s="1"/>
  <c r="R75" i="124"/>
  <c r="B49" i="124" s="1"/>
  <c r="J49" i="124" s="1"/>
  <c r="T69" i="124"/>
  <c r="B54" i="124" s="1"/>
  <c r="J54" i="124" s="1"/>
  <c r="R69" i="124"/>
  <c r="B48" i="124" s="1"/>
  <c r="J48" i="124" s="1"/>
  <c r="J69" i="124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L45" i="124"/>
  <c r="J45" i="124"/>
  <c r="B43" i="124"/>
  <c r="L43" i="124" s="1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L40" i="124"/>
  <c r="B40" i="124"/>
  <c r="J40" i="124" s="1"/>
  <c r="L39" i="124"/>
  <c r="J39" i="124"/>
  <c r="B38" i="124"/>
  <c r="J37" i="124"/>
  <c r="B35" i="124"/>
  <c r="L35" i="124" s="1"/>
  <c r="L34" i="124"/>
  <c r="B34" i="124"/>
  <c r="J34" i="124" s="1"/>
  <c r="L33" i="124"/>
  <c r="J33" i="124"/>
  <c r="L32" i="124"/>
  <c r="B32" i="124"/>
  <c r="J32" i="124" s="1"/>
  <c r="L31" i="124"/>
  <c r="J31" i="124"/>
  <c r="B30" i="124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B51" i="123" s="1"/>
  <c r="J51" i="123" s="1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H79" i="123"/>
  <c r="X78" i="123"/>
  <c r="S78" i="123"/>
  <c r="T75" i="123"/>
  <c r="B56" i="123" s="1"/>
  <c r="J56" i="123" s="1"/>
  <c r="R75" i="123"/>
  <c r="B49" i="123" s="1"/>
  <c r="J49" i="123" s="1"/>
  <c r="T69" i="123"/>
  <c r="B54" i="123" s="1"/>
  <c r="J54" i="123" s="1"/>
  <c r="R69" i="123"/>
  <c r="J69" i="123"/>
  <c r="J64" i="123"/>
  <c r="T63" i="123"/>
  <c r="B53" i="123" s="1"/>
  <c r="J53" i="123" s="1"/>
  <c r="S63" i="123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B58" i="123"/>
  <c r="J58" i="123" s="1"/>
  <c r="H57" i="123"/>
  <c r="H56" i="123"/>
  <c r="H55" i="123"/>
  <c r="H54" i="123"/>
  <c r="H53" i="123"/>
  <c r="H52" i="123"/>
  <c r="H51" i="123"/>
  <c r="H50" i="123"/>
  <c r="H49" i="123"/>
  <c r="H48" i="123"/>
  <c r="B48" i="123"/>
  <c r="J48" i="123" s="1"/>
  <c r="H47" i="123"/>
  <c r="H46" i="123"/>
  <c r="L45" i="123"/>
  <c r="J45" i="123"/>
  <c r="B43" i="123"/>
  <c r="L43" i="123" s="1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L40" i="123"/>
  <c r="B40" i="123"/>
  <c r="J40" i="123" s="1"/>
  <c r="L39" i="123"/>
  <c r="J39" i="123"/>
  <c r="B38" i="123"/>
  <c r="J37" i="123"/>
  <c r="L36" i="123"/>
  <c r="L35" i="123"/>
  <c r="B35" i="123"/>
  <c r="L34" i="123"/>
  <c r="B34" i="123"/>
  <c r="J34" i="123" s="1"/>
  <c r="L33" i="123"/>
  <c r="J33" i="123"/>
  <c r="L32" i="123"/>
  <c r="B32" i="123"/>
  <c r="J32" i="123" s="1"/>
  <c r="L31" i="123"/>
  <c r="J31" i="123"/>
  <c r="L30" i="123"/>
  <c r="B30" i="123"/>
  <c r="B36" i="123" s="1"/>
  <c r="L29" i="123"/>
  <c r="J29" i="123"/>
  <c r="L28" i="123"/>
  <c r="L27" i="123"/>
  <c r="B27" i="123"/>
  <c r="L26" i="123"/>
  <c r="B26" i="123"/>
  <c r="J26" i="123" s="1"/>
  <c r="L25" i="123"/>
  <c r="J25" i="123"/>
  <c r="L24" i="123"/>
  <c r="B24" i="123"/>
  <c r="J24" i="123" s="1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H79" i="122"/>
  <c r="X78" i="122"/>
  <c r="S78" i="122"/>
  <c r="T75" i="122"/>
  <c r="B56" i="122" s="1"/>
  <c r="J56" i="122" s="1"/>
  <c r="R75" i="122"/>
  <c r="B49" i="122" s="1"/>
  <c r="J49" i="122" s="1"/>
  <c r="T69" i="122"/>
  <c r="B54" i="122" s="1"/>
  <c r="J54" i="122" s="1"/>
  <c r="R69" i="122"/>
  <c r="B48" i="122" s="1"/>
  <c r="J48" i="122" s="1"/>
  <c r="J69" i="122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J61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L45" i="122"/>
  <c r="J45" i="122"/>
  <c r="B43" i="122"/>
  <c r="L43" i="122" s="1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B38" i="122"/>
  <c r="J37" i="122"/>
  <c r="L36" i="122"/>
  <c r="L35" i="122"/>
  <c r="B35" i="122"/>
  <c r="L34" i="122"/>
  <c r="B34" i="122"/>
  <c r="J34" i="122" s="1"/>
  <c r="L33" i="122"/>
  <c r="J33" i="122"/>
  <c r="L32" i="122"/>
  <c r="B32" i="122"/>
  <c r="J32" i="122" s="1"/>
  <c r="L31" i="122"/>
  <c r="J31" i="122"/>
  <c r="L30" i="122"/>
  <c r="B30" i="122"/>
  <c r="B36" i="122" s="1"/>
  <c r="L29" i="122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8" i="122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B20" i="122" s="1"/>
  <c r="C21" i="109" s="1"/>
  <c r="L13" i="122"/>
  <c r="J13" i="122"/>
  <c r="L12" i="122"/>
  <c r="J12" i="122"/>
  <c r="X10" i="122"/>
  <c r="V10" i="122"/>
  <c r="U10" i="122"/>
  <c r="Z98" i="121"/>
  <c r="B55" i="121" s="1"/>
  <c r="J55" i="121" s="1"/>
  <c r="V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T80" i="121" s="1"/>
  <c r="X79" i="121"/>
  <c r="Y79" i="121" s="1"/>
  <c r="S79" i="121"/>
  <c r="T79" i="121" s="1"/>
  <c r="H79" i="121"/>
  <c r="X78" i="121"/>
  <c r="S78" i="121"/>
  <c r="T75" i="121"/>
  <c r="B56" i="121" s="1"/>
  <c r="J56" i="121" s="1"/>
  <c r="R75" i="121"/>
  <c r="B49" i="121" s="1"/>
  <c r="J49" i="121" s="1"/>
  <c r="T69" i="121"/>
  <c r="B54" i="121" s="1"/>
  <c r="J54" i="121" s="1"/>
  <c r="R69" i="121"/>
  <c r="J69" i="121"/>
  <c r="J64" i="121"/>
  <c r="T63" i="121"/>
  <c r="B53" i="121" s="1"/>
  <c r="J53" i="121" s="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H55" i="121"/>
  <c r="H54" i="121"/>
  <c r="H53" i="121"/>
  <c r="H52" i="121"/>
  <c r="H51" i="121"/>
  <c r="H50" i="121"/>
  <c r="H49" i="121"/>
  <c r="H48" i="121"/>
  <c r="B48" i="121"/>
  <c r="J48" i="121" s="1"/>
  <c r="H47" i="121"/>
  <c r="H46" i="121"/>
  <c r="L45" i="121"/>
  <c r="J45" i="121"/>
  <c r="L44" i="121"/>
  <c r="L43" i="121"/>
  <c r="B43" i="12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L40" i="121"/>
  <c r="B40" i="121"/>
  <c r="J40" i="121" s="1"/>
  <c r="L39" i="121"/>
  <c r="J39" i="121"/>
  <c r="L38" i="121"/>
  <c r="B38" i="121"/>
  <c r="B44" i="121" s="1"/>
  <c r="L37" i="121"/>
  <c r="J37" i="121"/>
  <c r="L36" i="121"/>
  <c r="L35" i="121"/>
  <c r="B35" i="121"/>
  <c r="L34" i="121"/>
  <c r="B34" i="121"/>
  <c r="J34" i="121" s="1"/>
  <c r="L33" i="121"/>
  <c r="J33" i="121"/>
  <c r="L32" i="121"/>
  <c r="B32" i="121"/>
  <c r="J32" i="121" s="1"/>
  <c r="L31" i="121"/>
  <c r="J31" i="121"/>
  <c r="L30" i="121"/>
  <c r="B30" i="121"/>
  <c r="B36" i="121" s="1"/>
  <c r="L29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H79" i="120"/>
  <c r="X78" i="120"/>
  <c r="S78" i="120"/>
  <c r="T75" i="120"/>
  <c r="R75" i="120"/>
  <c r="B49" i="120" s="1"/>
  <c r="J49" i="120" s="1"/>
  <c r="T69" i="120"/>
  <c r="B54" i="120" s="1"/>
  <c r="J54" i="120" s="1"/>
  <c r="R69" i="120"/>
  <c r="B48" i="120" s="1"/>
  <c r="J48" i="120" s="1"/>
  <c r="J69" i="120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H55" i="120"/>
  <c r="H54" i="120"/>
  <c r="H53" i="120"/>
  <c r="H52" i="120"/>
  <c r="H51" i="120"/>
  <c r="H50" i="120"/>
  <c r="H49" i="120"/>
  <c r="H48" i="120"/>
  <c r="H47" i="120"/>
  <c r="H46" i="120"/>
  <c r="L45" i="120"/>
  <c r="J45" i="120"/>
  <c r="L44" i="120"/>
  <c r="L43" i="120"/>
  <c r="B43" i="120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L40" i="120"/>
  <c r="B40" i="120"/>
  <c r="J40" i="120" s="1"/>
  <c r="L39" i="120"/>
  <c r="J39" i="120"/>
  <c r="L38" i="120"/>
  <c r="B38" i="120"/>
  <c r="B44" i="120" s="1"/>
  <c r="L37" i="120"/>
  <c r="J37" i="120"/>
  <c r="L36" i="120"/>
  <c r="L35" i="120"/>
  <c r="B35" i="120"/>
  <c r="L34" i="120"/>
  <c r="B34" i="120"/>
  <c r="J34" i="120" s="1"/>
  <c r="L33" i="120"/>
  <c r="J33" i="120"/>
  <c r="L32" i="120"/>
  <c r="B32" i="120"/>
  <c r="J32" i="120" s="1"/>
  <c r="L31" i="120"/>
  <c r="J31" i="120"/>
  <c r="L30" i="120"/>
  <c r="B30" i="120"/>
  <c r="B36" i="120" s="1"/>
  <c r="L29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B20" i="120" s="1"/>
  <c r="C19" i="109" s="1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B50" i="119" s="1"/>
  <c r="J50" i="119" s="1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49" i="119" s="1"/>
  <c r="J49" i="119" s="1"/>
  <c r="T69" i="119"/>
  <c r="B54" i="119" s="1"/>
  <c r="J54" i="119" s="1"/>
  <c r="R69" i="119"/>
  <c r="B48" i="119" s="1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L45" i="119"/>
  <c r="J45" i="119"/>
  <c r="B43" i="119"/>
  <c r="L43" i="119" s="1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L40" i="119"/>
  <c r="B40" i="119"/>
  <c r="J40" i="119" s="1"/>
  <c r="L39" i="119"/>
  <c r="J39" i="119"/>
  <c r="B38" i="119"/>
  <c r="J37" i="119"/>
  <c r="L36" i="119"/>
  <c r="L35" i="119"/>
  <c r="B35" i="119"/>
  <c r="L34" i="119"/>
  <c r="B34" i="119"/>
  <c r="J34" i="119" s="1"/>
  <c r="L33" i="119"/>
  <c r="J33" i="119"/>
  <c r="L32" i="119"/>
  <c r="B32" i="119"/>
  <c r="J32" i="119" s="1"/>
  <c r="L31" i="119"/>
  <c r="J31" i="119"/>
  <c r="L30" i="119"/>
  <c r="B30" i="119"/>
  <c r="B36" i="119" s="1"/>
  <c r="L29" i="119"/>
  <c r="J29" i="119"/>
  <c r="L28" i="119"/>
  <c r="L27" i="119"/>
  <c r="B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B16" i="119"/>
  <c r="J16" i="119" s="1"/>
  <c r="L15" i="119"/>
  <c r="J15" i="119"/>
  <c r="L14" i="119"/>
  <c r="B14" i="119"/>
  <c r="B20" i="119" s="1"/>
  <c r="C18" i="109" s="1"/>
  <c r="L13" i="119"/>
  <c r="J13" i="119"/>
  <c r="L12" i="119"/>
  <c r="J12" i="119"/>
  <c r="X10" i="119"/>
  <c r="V10" i="119"/>
  <c r="U10" i="119"/>
  <c r="Z98" i="118"/>
  <c r="V98" i="118"/>
  <c r="U98" i="118"/>
  <c r="P98" i="118"/>
  <c r="B50" i="118" s="1"/>
  <c r="J50" i="118" s="1"/>
  <c r="X97" i="118"/>
  <c r="Y97" i="118" s="1"/>
  <c r="S97" i="118"/>
  <c r="T97" i="118" s="1"/>
  <c r="X96" i="118"/>
  <c r="Y96" i="118" s="1"/>
  <c r="S96" i="118"/>
  <c r="T96" i="118" s="1"/>
  <c r="X95" i="118"/>
  <c r="Y95" i="118" s="1"/>
  <c r="S95" i="118"/>
  <c r="T95" i="118" s="1"/>
  <c r="X94" i="118"/>
  <c r="Y94" i="118" s="1"/>
  <c r="S94" i="118"/>
  <c r="T94" i="118" s="1"/>
  <c r="X93" i="118"/>
  <c r="Y93" i="118" s="1"/>
  <c r="S93" i="118"/>
  <c r="T93" i="118" s="1"/>
  <c r="X92" i="118"/>
  <c r="Y92" i="118" s="1"/>
  <c r="S92" i="118"/>
  <c r="T92" i="118" s="1"/>
  <c r="X91" i="118"/>
  <c r="Y91" i="118" s="1"/>
  <c r="S91" i="118"/>
  <c r="T91" i="118" s="1"/>
  <c r="X90" i="118"/>
  <c r="Y90" i="118" s="1"/>
  <c r="S90" i="118"/>
  <c r="T90" i="118" s="1"/>
  <c r="X89" i="118"/>
  <c r="Y89" i="118" s="1"/>
  <c r="S89" i="118"/>
  <c r="T89" i="118" s="1"/>
  <c r="X88" i="118"/>
  <c r="Y88" i="118" s="1"/>
  <c r="S88" i="118"/>
  <c r="T88" i="118" s="1"/>
  <c r="X87" i="118"/>
  <c r="Y87" i="118" s="1"/>
  <c r="S87" i="118"/>
  <c r="T87" i="118" s="1"/>
  <c r="X86" i="118"/>
  <c r="Y86" i="118" s="1"/>
  <c r="S86" i="118"/>
  <c r="T86" i="118" s="1"/>
  <c r="X85" i="118"/>
  <c r="Y85" i="118" s="1"/>
  <c r="S85" i="118"/>
  <c r="T85" i="118" s="1"/>
  <c r="X84" i="118"/>
  <c r="Y84" i="118" s="1"/>
  <c r="S84" i="118"/>
  <c r="T84" i="118" s="1"/>
  <c r="X83" i="118"/>
  <c r="Y83" i="118" s="1"/>
  <c r="S83" i="118"/>
  <c r="T83" i="118" s="1"/>
  <c r="X82" i="118"/>
  <c r="Y82" i="118" s="1"/>
  <c r="S82" i="118"/>
  <c r="T82" i="118" s="1"/>
  <c r="X81" i="118"/>
  <c r="Y81" i="118" s="1"/>
  <c r="S81" i="118"/>
  <c r="T81" i="118" s="1"/>
  <c r="X80" i="118"/>
  <c r="Y80" i="118" s="1"/>
  <c r="S80" i="118"/>
  <c r="T80" i="118" s="1"/>
  <c r="X79" i="118"/>
  <c r="Y79" i="118" s="1"/>
  <c r="S79" i="118"/>
  <c r="T79" i="118" s="1"/>
  <c r="H79" i="118"/>
  <c r="X78" i="118"/>
  <c r="S78" i="118"/>
  <c r="T75" i="118"/>
  <c r="B56" i="118" s="1"/>
  <c r="J56" i="118" s="1"/>
  <c r="R75" i="118"/>
  <c r="B49" i="118" s="1"/>
  <c r="J49" i="118" s="1"/>
  <c r="T69" i="118"/>
  <c r="R69" i="118"/>
  <c r="B48" i="118" s="1"/>
  <c r="J48" i="118" s="1"/>
  <c r="J64" i="118"/>
  <c r="T63" i="118"/>
  <c r="B53" i="118" s="1"/>
  <c r="J53" i="118" s="1"/>
  <c r="S63" i="118"/>
  <c r="B58" i="118" s="1"/>
  <c r="J58" i="118" s="1"/>
  <c r="R63" i="118"/>
  <c r="B47" i="118" s="1"/>
  <c r="J47" i="118" s="1"/>
  <c r="L62" i="118"/>
  <c r="J62" i="118"/>
  <c r="H62" i="118"/>
  <c r="J61" i="118"/>
  <c r="H61" i="118"/>
  <c r="J60" i="118"/>
  <c r="H60" i="118"/>
  <c r="D60" i="118"/>
  <c r="J59" i="118"/>
  <c r="G59" i="118"/>
  <c r="L59" i="118" s="1"/>
  <c r="H58" i="118"/>
  <c r="H57" i="118"/>
  <c r="H56" i="118"/>
  <c r="H55" i="118"/>
  <c r="B55" i="118"/>
  <c r="J55" i="118" s="1"/>
  <c r="H54" i="118"/>
  <c r="B54" i="118"/>
  <c r="J54" i="118" s="1"/>
  <c r="H53" i="118"/>
  <c r="H52" i="118"/>
  <c r="H51" i="118"/>
  <c r="H50" i="118"/>
  <c r="H49" i="118"/>
  <c r="H48" i="118"/>
  <c r="H47" i="118"/>
  <c r="H46" i="118"/>
  <c r="L45" i="118"/>
  <c r="J45" i="118"/>
  <c r="B43" i="118"/>
  <c r="L43" i="118" s="1"/>
  <c r="T42" i="118"/>
  <c r="B52" i="118" s="1"/>
  <c r="S42" i="118"/>
  <c r="B57" i="118" s="1"/>
  <c r="R42" i="118"/>
  <c r="B46" i="118" s="1"/>
  <c r="L42" i="118"/>
  <c r="B42" i="118"/>
  <c r="J42" i="118" s="1"/>
  <c r="L41" i="118"/>
  <c r="J41" i="118"/>
  <c r="L40" i="118"/>
  <c r="B40" i="118"/>
  <c r="J40" i="118" s="1"/>
  <c r="L39" i="118"/>
  <c r="J39" i="118"/>
  <c r="B38" i="118"/>
  <c r="J37" i="118"/>
  <c r="B35" i="118"/>
  <c r="L35" i="118" s="1"/>
  <c r="L34" i="118"/>
  <c r="B34" i="118"/>
  <c r="J34" i="118" s="1"/>
  <c r="L33" i="118"/>
  <c r="J33" i="118"/>
  <c r="L32" i="118"/>
  <c r="B32" i="118"/>
  <c r="J32" i="118" s="1"/>
  <c r="L31" i="118"/>
  <c r="J31" i="118"/>
  <c r="B30" i="118"/>
  <c r="J29" i="118"/>
  <c r="L28" i="118"/>
  <c r="L27" i="118"/>
  <c r="B27" i="118"/>
  <c r="L26" i="118"/>
  <c r="B26" i="118"/>
  <c r="J26" i="118" s="1"/>
  <c r="L25" i="118"/>
  <c r="J25" i="118"/>
  <c r="L24" i="118"/>
  <c r="B24" i="118"/>
  <c r="J24" i="118" s="1"/>
  <c r="L23" i="118"/>
  <c r="J23" i="118"/>
  <c r="L22" i="118"/>
  <c r="B22" i="118"/>
  <c r="B28" i="118" s="1"/>
  <c r="L21" i="118"/>
  <c r="J21" i="118"/>
  <c r="L20" i="118"/>
  <c r="L19" i="118"/>
  <c r="B19" i="118"/>
  <c r="L18" i="118"/>
  <c r="B18" i="118"/>
  <c r="J18" i="118" s="1"/>
  <c r="L17" i="118"/>
  <c r="J17" i="118"/>
  <c r="L16" i="118"/>
  <c r="B16" i="118"/>
  <c r="J16" i="118" s="1"/>
  <c r="L15" i="118"/>
  <c r="J15" i="118"/>
  <c r="L14" i="118"/>
  <c r="B14" i="118"/>
  <c r="B20" i="118" s="1"/>
  <c r="C17" i="109" s="1"/>
  <c r="L13" i="118"/>
  <c r="J13" i="118"/>
  <c r="L12" i="118"/>
  <c r="J12" i="118"/>
  <c r="X10" i="118"/>
  <c r="V10" i="118"/>
  <c r="U10" i="118"/>
  <c r="Z98" i="117"/>
  <c r="B55" i="117" s="1"/>
  <c r="J55" i="117" s="1"/>
  <c r="V98" i="117"/>
  <c r="U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X78" i="117"/>
  <c r="S78" i="117"/>
  <c r="T75" i="117"/>
  <c r="B56" i="117" s="1"/>
  <c r="J56" i="117" s="1"/>
  <c r="R75" i="117"/>
  <c r="B49" i="117" s="1"/>
  <c r="J49" i="117" s="1"/>
  <c r="T69" i="117"/>
  <c r="B54" i="117" s="1"/>
  <c r="J54" i="117" s="1"/>
  <c r="R69" i="117"/>
  <c r="B48" i="117" s="1"/>
  <c r="J48" i="117" s="1"/>
  <c r="J69" i="117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H54" i="117"/>
  <c r="H53" i="117"/>
  <c r="H52" i="117"/>
  <c r="H51" i="117"/>
  <c r="H50" i="117"/>
  <c r="H49" i="117"/>
  <c r="H48" i="117"/>
  <c r="H47" i="117"/>
  <c r="H46" i="117"/>
  <c r="L45" i="117"/>
  <c r="J45" i="117"/>
  <c r="L44" i="117"/>
  <c r="L43" i="117"/>
  <c r="B43" i="117"/>
  <c r="B52" i="117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L38" i="117"/>
  <c r="B38" i="117"/>
  <c r="B44" i="117" s="1"/>
  <c r="L37" i="117"/>
  <c r="J37" i="117"/>
  <c r="L36" i="117"/>
  <c r="L35" i="117"/>
  <c r="B35" i="117"/>
  <c r="L34" i="117"/>
  <c r="B34" i="117"/>
  <c r="J34" i="117" s="1"/>
  <c r="L33" i="117"/>
  <c r="J33" i="117"/>
  <c r="L32" i="117"/>
  <c r="B32" i="117"/>
  <c r="J32" i="117" s="1"/>
  <c r="L31" i="117"/>
  <c r="J31" i="117"/>
  <c r="L30" i="117"/>
  <c r="B30" i="117"/>
  <c r="B36" i="117" s="1"/>
  <c r="L29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J16" i="117"/>
  <c r="L15" i="117"/>
  <c r="J15" i="117"/>
  <c r="L14" i="117"/>
  <c r="B20" i="117"/>
  <c r="C16" i="109" s="1"/>
  <c r="L13" i="117"/>
  <c r="J13" i="117"/>
  <c r="L12" i="117"/>
  <c r="J12" i="117"/>
  <c r="X10" i="117"/>
  <c r="V10" i="117"/>
  <c r="U10" i="117"/>
  <c r="Z98" i="116"/>
  <c r="B55" i="116" s="1"/>
  <c r="J55" i="116" s="1"/>
  <c r="V98" i="116"/>
  <c r="U98" i="116"/>
  <c r="P98" i="116"/>
  <c r="B50" i="116" s="1"/>
  <c r="J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T69" i="116"/>
  <c r="B54" i="116" s="1"/>
  <c r="J54" i="116" s="1"/>
  <c r="R69" i="116"/>
  <c r="B48" i="116" s="1"/>
  <c r="J48" i="116" s="1"/>
  <c r="J69" i="116"/>
  <c r="J64" i="116"/>
  <c r="T63" i="116"/>
  <c r="B53" i="116" s="1"/>
  <c r="J53" i="116" s="1"/>
  <c r="S63" i="116"/>
  <c r="B58" i="116" s="1"/>
  <c r="J58" i="116" s="1"/>
  <c r="R63" i="116"/>
  <c r="B47" i="116" s="1"/>
  <c r="J47" i="116" s="1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H54" i="116"/>
  <c r="H53" i="116"/>
  <c r="H52" i="116"/>
  <c r="H51" i="116"/>
  <c r="H50" i="116"/>
  <c r="H49" i="116"/>
  <c r="H48" i="116"/>
  <c r="H47" i="116"/>
  <c r="H46" i="116"/>
  <c r="L45" i="116"/>
  <c r="J45" i="116"/>
  <c r="B43" i="116"/>
  <c r="L43" i="116" s="1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L40" i="116"/>
  <c r="B40" i="116"/>
  <c r="J40" i="116" s="1"/>
  <c r="L39" i="116"/>
  <c r="J39" i="116"/>
  <c r="B38" i="116"/>
  <c r="J37" i="116"/>
  <c r="B35" i="116"/>
  <c r="L35" i="116" s="1"/>
  <c r="L34" i="116"/>
  <c r="B34" i="116"/>
  <c r="J34" i="116" s="1"/>
  <c r="L33" i="116"/>
  <c r="J33" i="116"/>
  <c r="L32" i="116"/>
  <c r="B32" i="116"/>
  <c r="J32" i="116" s="1"/>
  <c r="L31" i="116"/>
  <c r="J31" i="116"/>
  <c r="B30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J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X78" i="115"/>
  <c r="S78" i="115"/>
  <c r="T78" i="115" s="1"/>
  <c r="T75" i="115"/>
  <c r="B56" i="115" s="1"/>
  <c r="J56" i="115" s="1"/>
  <c r="R75" i="115"/>
  <c r="B49" i="115" s="1"/>
  <c r="J49" i="115" s="1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L45" i="115"/>
  <c r="J45" i="115"/>
  <c r="B43" i="115"/>
  <c r="L43" i="115" s="1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B38" i="115"/>
  <c r="J37" i="115"/>
  <c r="B35" i="115"/>
  <c r="L35" i="115" s="1"/>
  <c r="L34" i="115"/>
  <c r="B34" i="115"/>
  <c r="J34" i="115" s="1"/>
  <c r="L33" i="115"/>
  <c r="J33" i="115"/>
  <c r="L32" i="115"/>
  <c r="B32" i="115"/>
  <c r="J32" i="115" s="1"/>
  <c r="L31" i="115"/>
  <c r="J31" i="115"/>
  <c r="B30" i="115"/>
  <c r="J29" i="115"/>
  <c r="L28" i="115"/>
  <c r="L27" i="115"/>
  <c r="B27" i="115"/>
  <c r="L26" i="115"/>
  <c r="B26" i="115"/>
  <c r="J26" i="115" s="1"/>
  <c r="L25" i="115"/>
  <c r="J25" i="115"/>
  <c r="L24" i="115"/>
  <c r="B24" i="115"/>
  <c r="J24" i="115" s="1"/>
  <c r="L23" i="115"/>
  <c r="J23" i="115"/>
  <c r="L22" i="115"/>
  <c r="B22" i="115"/>
  <c r="B28" i="115" s="1"/>
  <c r="L21" i="115"/>
  <c r="J21" i="115"/>
  <c r="L20" i="115"/>
  <c r="L19" i="115"/>
  <c r="B19" i="115"/>
  <c r="L18" i="115"/>
  <c r="B18" i="115"/>
  <c r="J18" i="115" s="1"/>
  <c r="L17" i="115"/>
  <c r="J17" i="115"/>
  <c r="L16" i="115"/>
  <c r="B16" i="115"/>
  <c r="J16" i="115" s="1"/>
  <c r="L15" i="115"/>
  <c r="J15" i="115"/>
  <c r="L14" i="115"/>
  <c r="B14" i="115"/>
  <c r="B20" i="115" s="1"/>
  <c r="C14" i="109" s="1"/>
  <c r="L13" i="115"/>
  <c r="J13" i="115"/>
  <c r="L12" i="115"/>
  <c r="J12" i="115"/>
  <c r="X10" i="115"/>
  <c r="V10" i="115"/>
  <c r="U10" i="115"/>
  <c r="Z98" i="114"/>
  <c r="B55" i="114" s="1"/>
  <c r="J55" i="114" s="1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T69" i="114"/>
  <c r="B54" i="114" s="1"/>
  <c r="J54" i="114" s="1"/>
  <c r="R69" i="114"/>
  <c r="B48" i="114" s="1"/>
  <c r="J48" i="114" s="1"/>
  <c r="J64" i="114"/>
  <c r="T63" i="114"/>
  <c r="B53" i="114" s="1"/>
  <c r="J53" i="114" s="1"/>
  <c r="S63" i="114"/>
  <c r="B58" i="114" s="1"/>
  <c r="J58" i="114" s="1"/>
  <c r="R63" i="114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H54" i="114"/>
  <c r="H53" i="114"/>
  <c r="H52" i="114"/>
  <c r="H51" i="114"/>
  <c r="H50" i="114"/>
  <c r="H49" i="114"/>
  <c r="H48" i="114"/>
  <c r="H47" i="114"/>
  <c r="B47" i="114"/>
  <c r="J47" i="114" s="1"/>
  <c r="H46" i="114"/>
  <c r="L45" i="114"/>
  <c r="J45" i="114"/>
  <c r="L44" i="114"/>
  <c r="L43" i="114"/>
  <c r="B43" i="114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L40" i="114"/>
  <c r="B40" i="114"/>
  <c r="J40" i="114" s="1"/>
  <c r="L39" i="114"/>
  <c r="J39" i="114"/>
  <c r="L38" i="114"/>
  <c r="B38" i="114"/>
  <c r="B44" i="114" s="1"/>
  <c r="L37" i="114"/>
  <c r="J37" i="114"/>
  <c r="L36" i="114"/>
  <c r="L35" i="114"/>
  <c r="B35" i="114"/>
  <c r="L34" i="114"/>
  <c r="B34" i="114"/>
  <c r="J34" i="114" s="1"/>
  <c r="L33" i="114"/>
  <c r="J33" i="114"/>
  <c r="L32" i="114"/>
  <c r="B32" i="114"/>
  <c r="J32" i="114" s="1"/>
  <c r="L31" i="114"/>
  <c r="J31" i="114"/>
  <c r="L30" i="114"/>
  <c r="B30" i="114"/>
  <c r="B36" i="114" s="1"/>
  <c r="L29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B28" i="114" s="1"/>
  <c r="L21" i="114"/>
  <c r="L20" i="114"/>
  <c r="L19" i="114"/>
  <c r="B19" i="114"/>
  <c r="J19" i="114" s="1"/>
  <c r="L18" i="114"/>
  <c r="B18" i="114"/>
  <c r="L17" i="114"/>
  <c r="L16" i="114"/>
  <c r="B16" i="114"/>
  <c r="J16" i="114" s="1"/>
  <c r="L15" i="114"/>
  <c r="L14" i="114"/>
  <c r="B14" i="114"/>
  <c r="L13" i="114"/>
  <c r="L12" i="114"/>
  <c r="X10" i="114"/>
  <c r="V10" i="114"/>
  <c r="U10" i="114"/>
  <c r="Z98" i="113"/>
  <c r="B55" i="113" s="1"/>
  <c r="J55" i="113" s="1"/>
  <c r="V98" i="113"/>
  <c r="U98" i="113"/>
  <c r="B50" i="113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H79" i="113"/>
  <c r="X78" i="113"/>
  <c r="S78" i="113"/>
  <c r="T75" i="113"/>
  <c r="B56" i="113" s="1"/>
  <c r="J56" i="113" s="1"/>
  <c r="R75" i="113"/>
  <c r="B49" i="113" s="1"/>
  <c r="J49" i="113" s="1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L45" i="113"/>
  <c r="J45" i="113"/>
  <c r="L44" i="113"/>
  <c r="L43" i="113"/>
  <c r="B43" i="113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L40" i="113"/>
  <c r="B40" i="113"/>
  <c r="J40" i="113" s="1"/>
  <c r="L39" i="113"/>
  <c r="J39" i="113"/>
  <c r="L38" i="113"/>
  <c r="B38" i="113"/>
  <c r="B44" i="113" s="1"/>
  <c r="L37" i="113"/>
  <c r="J37" i="113"/>
  <c r="L36" i="113"/>
  <c r="L35" i="113"/>
  <c r="B35" i="113"/>
  <c r="L34" i="113"/>
  <c r="B34" i="113"/>
  <c r="J34" i="113" s="1"/>
  <c r="L33" i="113"/>
  <c r="J33" i="113"/>
  <c r="L32" i="113"/>
  <c r="B32" i="113"/>
  <c r="J32" i="113" s="1"/>
  <c r="L31" i="113"/>
  <c r="J31" i="113"/>
  <c r="L30" i="113"/>
  <c r="B30" i="113"/>
  <c r="B36" i="113" s="1"/>
  <c r="L29" i="113"/>
  <c r="J29" i="113"/>
  <c r="L28" i="113"/>
  <c r="L27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L22" i="113"/>
  <c r="B22" i="113"/>
  <c r="B28" i="113" s="1"/>
  <c r="L21" i="113"/>
  <c r="J21" i="113"/>
  <c r="L20" i="113"/>
  <c r="L19" i="113"/>
  <c r="B19" i="113"/>
  <c r="L18" i="113"/>
  <c r="B18" i="113"/>
  <c r="J18" i="113" s="1"/>
  <c r="L17" i="113"/>
  <c r="J17" i="113"/>
  <c r="L16" i="113"/>
  <c r="J16" i="113"/>
  <c r="L15" i="113"/>
  <c r="J15" i="113"/>
  <c r="L14" i="113"/>
  <c r="B20" i="113"/>
  <c r="C12" i="109" s="1"/>
  <c r="L13" i="113"/>
  <c r="L12" i="113"/>
  <c r="X10" i="113"/>
  <c r="V10" i="113"/>
  <c r="U10" i="113"/>
  <c r="Z98" i="112"/>
  <c r="B55" i="112" s="1"/>
  <c r="J55" i="112" s="1"/>
  <c r="V98" i="112"/>
  <c r="U98" i="112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H79" i="112"/>
  <c r="X78" i="112"/>
  <c r="S78" i="112"/>
  <c r="T75" i="112"/>
  <c r="B56" i="112" s="1"/>
  <c r="J56" i="112" s="1"/>
  <c r="R75" i="112"/>
  <c r="B49" i="112" s="1"/>
  <c r="J49" i="112" s="1"/>
  <c r="T69" i="112"/>
  <c r="B54" i="112" s="1"/>
  <c r="J54" i="112" s="1"/>
  <c r="R69" i="112"/>
  <c r="J69" i="112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H55" i="112"/>
  <c r="H54" i="112"/>
  <c r="H53" i="112"/>
  <c r="H52" i="112"/>
  <c r="H51" i="112"/>
  <c r="H50" i="112"/>
  <c r="H49" i="112"/>
  <c r="H48" i="112"/>
  <c r="B48" i="112"/>
  <c r="J48" i="112" s="1"/>
  <c r="H47" i="112"/>
  <c r="H46" i="112"/>
  <c r="L45" i="112"/>
  <c r="J45" i="112"/>
  <c r="B43" i="112"/>
  <c r="L43" i="112" s="1"/>
  <c r="T42" i="112"/>
  <c r="B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B38" i="112"/>
  <c r="J37" i="112"/>
  <c r="L36" i="112"/>
  <c r="L35" i="112"/>
  <c r="B35" i="112"/>
  <c r="L34" i="112"/>
  <c r="B34" i="112"/>
  <c r="J34" i="112" s="1"/>
  <c r="L33" i="112"/>
  <c r="J33" i="112"/>
  <c r="L32" i="112"/>
  <c r="B32" i="112"/>
  <c r="J32" i="112" s="1"/>
  <c r="L31" i="112"/>
  <c r="J31" i="112"/>
  <c r="L30" i="112"/>
  <c r="B30" i="112"/>
  <c r="B36" i="112" s="1"/>
  <c r="L29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J16" i="112"/>
  <c r="L15" i="112"/>
  <c r="J15" i="112"/>
  <c r="L14" i="112"/>
  <c r="B14" i="112"/>
  <c r="B20" i="112" s="1"/>
  <c r="C11" i="109" s="1"/>
  <c r="L13" i="112"/>
  <c r="J13" i="112"/>
  <c r="L12" i="112"/>
  <c r="J12" i="112"/>
  <c r="X10" i="112"/>
  <c r="V10" i="112"/>
  <c r="U10" i="112"/>
  <c r="Z98" i="111"/>
  <c r="B55" i="111" s="1"/>
  <c r="J55" i="111" s="1"/>
  <c r="V98" i="111"/>
  <c r="U98" i="111"/>
  <c r="P98" i="111"/>
  <c r="B50" i="111" s="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H79" i="111"/>
  <c r="X78" i="111"/>
  <c r="S78" i="111"/>
  <c r="T75" i="111"/>
  <c r="B56" i="111" s="1"/>
  <c r="J56" i="111" s="1"/>
  <c r="R75" i="111"/>
  <c r="B49" i="111" s="1"/>
  <c r="J49" i="111" s="1"/>
  <c r="T69" i="111"/>
  <c r="B54" i="111" s="1"/>
  <c r="J54" i="111" s="1"/>
  <c r="R69" i="111"/>
  <c r="B48" i="111" s="1"/>
  <c r="J48" i="111" s="1"/>
  <c r="J69" i="111"/>
  <c r="J64" i="111"/>
  <c r="T63" i="111"/>
  <c r="B53" i="111" s="1"/>
  <c r="J53" i="111" s="1"/>
  <c r="S63" i="111"/>
  <c r="B58" i="111" s="1"/>
  <c r="J58" i="111" s="1"/>
  <c r="R63" i="11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H54" i="111"/>
  <c r="H53" i="111"/>
  <c r="H52" i="111"/>
  <c r="H51" i="111"/>
  <c r="H50" i="111"/>
  <c r="H49" i="111"/>
  <c r="H48" i="111"/>
  <c r="H47" i="111"/>
  <c r="B47" i="111"/>
  <c r="J47" i="111" s="1"/>
  <c r="H46" i="111"/>
  <c r="L45" i="111"/>
  <c r="J45" i="111"/>
  <c r="B43" i="11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B38" i="111"/>
  <c r="J37" i="111"/>
  <c r="L36" i="111"/>
  <c r="L35" i="111"/>
  <c r="B35" i="111"/>
  <c r="L34" i="111"/>
  <c r="B34" i="111"/>
  <c r="J34" i="111" s="1"/>
  <c r="L33" i="111"/>
  <c r="J33" i="111"/>
  <c r="L32" i="111"/>
  <c r="B32" i="111"/>
  <c r="J32" i="111" s="1"/>
  <c r="L31" i="111"/>
  <c r="J31" i="111"/>
  <c r="L30" i="111"/>
  <c r="B30" i="111"/>
  <c r="B36" i="111" s="1"/>
  <c r="L29" i="111"/>
  <c r="J29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2" i="111"/>
  <c r="B28" i="111" s="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14" i="111"/>
  <c r="B20" i="111" s="1"/>
  <c r="C10" i="109" s="1"/>
  <c r="L13" i="111"/>
  <c r="J13" i="111"/>
  <c r="L12" i="111"/>
  <c r="J12" i="111"/>
  <c r="X10" i="111"/>
  <c r="V10" i="111"/>
  <c r="U10" i="111"/>
  <c r="Z98" i="110"/>
  <c r="B55" i="110" s="1"/>
  <c r="J55" i="110" s="1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X78" i="110"/>
  <c r="S78" i="110"/>
  <c r="T75" i="110"/>
  <c r="B56" i="110" s="1"/>
  <c r="J56" i="110" s="1"/>
  <c r="R75" i="110"/>
  <c r="B49" i="110" s="1"/>
  <c r="J49" i="110" s="1"/>
  <c r="T69" i="110"/>
  <c r="R69" i="110"/>
  <c r="B48" i="110" s="1"/>
  <c r="J48" i="110" s="1"/>
  <c r="J69" i="110"/>
  <c r="J64" i="110"/>
  <c r="T63" i="110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H54" i="110"/>
  <c r="B54" i="110"/>
  <c r="J54" i="110" s="1"/>
  <c r="H53" i="110"/>
  <c r="B53" i="110"/>
  <c r="J53" i="110" s="1"/>
  <c r="H52" i="110"/>
  <c r="H51" i="110"/>
  <c r="H50" i="110"/>
  <c r="H49" i="110"/>
  <c r="H48" i="110"/>
  <c r="H47" i="110"/>
  <c r="H46" i="110"/>
  <c r="L45" i="110"/>
  <c r="J45" i="110"/>
  <c r="B43" i="110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L39" i="110"/>
  <c r="J39" i="110"/>
  <c r="B38" i="110"/>
  <c r="B44" i="110" s="1"/>
  <c r="J37" i="110"/>
  <c r="L36" i="110"/>
  <c r="L35" i="110"/>
  <c r="B35" i="110"/>
  <c r="L34" i="110"/>
  <c r="B34" i="110"/>
  <c r="J34" i="110" s="1"/>
  <c r="L33" i="110"/>
  <c r="J33" i="110"/>
  <c r="L32" i="110"/>
  <c r="B32" i="110"/>
  <c r="J32" i="110" s="1"/>
  <c r="L31" i="110"/>
  <c r="J31" i="110"/>
  <c r="L30" i="110"/>
  <c r="B30" i="110"/>
  <c r="B36" i="110" s="1"/>
  <c r="L29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B28" i="110" s="1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B20" i="110" s="1"/>
  <c r="C9" i="109" s="1"/>
  <c r="L13" i="110"/>
  <c r="J13" i="110"/>
  <c r="L12" i="110"/>
  <c r="J12" i="110"/>
  <c r="X10" i="110"/>
  <c r="V10" i="110"/>
  <c r="U10" i="110"/>
  <c r="H79" i="40"/>
  <c r="J69" i="40"/>
  <c r="B44" i="130" l="1"/>
  <c r="L44" i="130" s="1"/>
  <c r="L38" i="130"/>
  <c r="B44" i="119"/>
  <c r="L44" i="119" s="1"/>
  <c r="L38" i="119"/>
  <c r="B44" i="131"/>
  <c r="L44" i="131" s="1"/>
  <c r="L38" i="131"/>
  <c r="B36" i="130"/>
  <c r="L36" i="130" s="1"/>
  <c r="L30" i="130"/>
  <c r="B44" i="126"/>
  <c r="L44" i="126" s="1"/>
  <c r="L38" i="126"/>
  <c r="B44" i="115"/>
  <c r="L44" i="115" s="1"/>
  <c r="L38" i="115"/>
  <c r="B20" i="114"/>
  <c r="J14" i="114"/>
  <c r="B44" i="112"/>
  <c r="L44" i="112" s="1"/>
  <c r="L38" i="112"/>
  <c r="B44" i="133"/>
  <c r="L44" i="133" s="1"/>
  <c r="L38" i="133"/>
  <c r="B36" i="125"/>
  <c r="G24" i="109" s="1"/>
  <c r="B44" i="111"/>
  <c r="I10" i="109" s="1"/>
  <c r="B36" i="137"/>
  <c r="L36" i="137" s="1"/>
  <c r="L30" i="137"/>
  <c r="B36" i="124"/>
  <c r="L36" i="124" s="1"/>
  <c r="L30" i="124"/>
  <c r="B44" i="123"/>
  <c r="L44" i="123" s="1"/>
  <c r="L38" i="123"/>
  <c r="B44" i="122"/>
  <c r="L44" i="122" s="1"/>
  <c r="L38" i="122"/>
  <c r="B44" i="118"/>
  <c r="L44" i="118" s="1"/>
  <c r="L38" i="118"/>
  <c r="B44" i="138"/>
  <c r="L44" i="138" s="1"/>
  <c r="B44" i="127"/>
  <c r="L44" i="127" s="1"/>
  <c r="B36" i="118"/>
  <c r="L36" i="118" s="1"/>
  <c r="L30" i="118"/>
  <c r="B36" i="135"/>
  <c r="L36" i="135" s="1"/>
  <c r="L30" i="135"/>
  <c r="B44" i="116"/>
  <c r="L44" i="116" s="1"/>
  <c r="L38" i="116"/>
  <c r="B44" i="124"/>
  <c r="L44" i="124" s="1"/>
  <c r="L38" i="124"/>
  <c r="B51" i="112"/>
  <c r="J51" i="112" s="1"/>
  <c r="B28" i="133"/>
  <c r="L28" i="133" s="1"/>
  <c r="L22" i="133"/>
  <c r="B36" i="131"/>
  <c r="L36" i="131" s="1"/>
  <c r="L30" i="131"/>
  <c r="B36" i="116"/>
  <c r="L36" i="116" s="1"/>
  <c r="L30" i="116"/>
  <c r="B56" i="120"/>
  <c r="J56" i="120" s="1"/>
  <c r="B44" i="132"/>
  <c r="L44" i="132" s="1"/>
  <c r="L38" i="132"/>
  <c r="B36" i="132"/>
  <c r="L36" i="132" s="1"/>
  <c r="L30" i="132"/>
  <c r="B36" i="115"/>
  <c r="L36" i="115" s="1"/>
  <c r="L30" i="115"/>
  <c r="B51" i="120"/>
  <c r="J51" i="120" s="1"/>
  <c r="B51" i="127"/>
  <c r="J51" i="127" s="1"/>
  <c r="B20" i="133"/>
  <c r="C32" i="109" s="1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18"/>
  <c r="J51" i="118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B50" i="129"/>
  <c r="J50" i="129" s="1"/>
  <c r="S98" i="129"/>
  <c r="B50" i="128"/>
  <c r="J50" i="128" s="1"/>
  <c r="S98" i="127"/>
  <c r="D25" i="77"/>
  <c r="X98" i="126"/>
  <c r="J50" i="126"/>
  <c r="B51" i="117"/>
  <c r="J51" i="117" s="1"/>
  <c r="X98" i="122"/>
  <c r="B51" i="125"/>
  <c r="J51" i="125" s="1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B50" i="120"/>
  <c r="J50" i="120" s="1"/>
  <c r="X98" i="120"/>
  <c r="S98" i="120"/>
  <c r="S98" i="115"/>
  <c r="D18" i="77"/>
  <c r="X98" i="119"/>
  <c r="S98" i="119"/>
  <c r="D17" i="77"/>
  <c r="X98" i="118"/>
  <c r="S98" i="118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J28" i="110"/>
  <c r="E9" i="109"/>
  <c r="J27" i="110"/>
  <c r="D9" i="109"/>
  <c r="J44" i="110"/>
  <c r="I9" i="109"/>
  <c r="J19" i="111"/>
  <c r="B10" i="109"/>
  <c r="J36" i="111"/>
  <c r="G10" i="109"/>
  <c r="J35" i="111"/>
  <c r="F10" i="109"/>
  <c r="J43" i="111"/>
  <c r="H10" i="109"/>
  <c r="J28" i="112"/>
  <c r="E11" i="109"/>
  <c r="J27" i="112"/>
  <c r="D11" i="109"/>
  <c r="J44" i="112"/>
  <c r="J19" i="113"/>
  <c r="B12" i="109"/>
  <c r="J36" i="113"/>
  <c r="G12" i="109"/>
  <c r="J35" i="113"/>
  <c r="F12" i="109"/>
  <c r="J43" i="113"/>
  <c r="H12" i="109"/>
  <c r="S98" i="113"/>
  <c r="J28" i="114"/>
  <c r="E13" i="109"/>
  <c r="J27" i="114"/>
  <c r="D13" i="109"/>
  <c r="J44" i="114"/>
  <c r="I13" i="109"/>
  <c r="J19" i="115"/>
  <c r="B14" i="109"/>
  <c r="J35" i="115"/>
  <c r="F14" i="109"/>
  <c r="J43" i="115"/>
  <c r="H14" i="109"/>
  <c r="J28" i="116"/>
  <c r="E15" i="109"/>
  <c r="J27" i="116"/>
  <c r="D15" i="109"/>
  <c r="J19" i="117"/>
  <c r="B16" i="109"/>
  <c r="J36" i="117"/>
  <c r="G16" i="109"/>
  <c r="J35" i="117"/>
  <c r="F16" i="109"/>
  <c r="J43" i="117"/>
  <c r="H16" i="109"/>
  <c r="J28" i="118"/>
  <c r="E17" i="109"/>
  <c r="J27" i="118"/>
  <c r="D17" i="109"/>
  <c r="J19" i="119"/>
  <c r="B18" i="109"/>
  <c r="J36" i="119"/>
  <c r="G18" i="109"/>
  <c r="J35" i="119"/>
  <c r="F18" i="109"/>
  <c r="J43" i="119"/>
  <c r="H18" i="109"/>
  <c r="J28" i="120"/>
  <c r="E19" i="109"/>
  <c r="J27" i="120"/>
  <c r="D19" i="109"/>
  <c r="J44" i="120"/>
  <c r="I19" i="109"/>
  <c r="J19" i="121"/>
  <c r="B20" i="109"/>
  <c r="J36" i="121"/>
  <c r="G20" i="109"/>
  <c r="J35" i="121"/>
  <c r="F20" i="109"/>
  <c r="J43" i="121"/>
  <c r="H20" i="109"/>
  <c r="J28" i="122"/>
  <c r="E21" i="109"/>
  <c r="J27" i="122"/>
  <c r="D21" i="109"/>
  <c r="J19" i="123"/>
  <c r="B22" i="109"/>
  <c r="J36" i="123"/>
  <c r="G22" i="109"/>
  <c r="J35" i="123"/>
  <c r="F22" i="109"/>
  <c r="J43" i="123"/>
  <c r="H22" i="109"/>
  <c r="J28" i="124"/>
  <c r="E23" i="109"/>
  <c r="J27" i="124"/>
  <c r="D23" i="109"/>
  <c r="J19" i="125"/>
  <c r="B24" i="109"/>
  <c r="J36" i="125"/>
  <c r="J35" i="125"/>
  <c r="F24" i="109"/>
  <c r="J43" i="125"/>
  <c r="H24" i="109"/>
  <c r="J28" i="126"/>
  <c r="E25" i="109"/>
  <c r="J27" i="126"/>
  <c r="D25" i="109"/>
  <c r="J44" i="126"/>
  <c r="I25" i="109"/>
  <c r="J19" i="127"/>
  <c r="B26" i="109"/>
  <c r="J36" i="127"/>
  <c r="G26" i="109"/>
  <c r="J35" i="127"/>
  <c r="F26" i="109"/>
  <c r="J43" i="127"/>
  <c r="H26" i="109"/>
  <c r="J28" i="128"/>
  <c r="E27" i="109"/>
  <c r="J27" i="128"/>
  <c r="D27" i="109"/>
  <c r="J44" i="128"/>
  <c r="I27" i="109"/>
  <c r="J19" i="129"/>
  <c r="B28" i="109"/>
  <c r="J36" i="129"/>
  <c r="G28" i="109"/>
  <c r="J35" i="129"/>
  <c r="F28" i="109"/>
  <c r="J43" i="129"/>
  <c r="H28" i="109"/>
  <c r="J28" i="130"/>
  <c r="E29" i="109"/>
  <c r="J27" i="130"/>
  <c r="D29" i="109"/>
  <c r="J44" i="130"/>
  <c r="I29" i="109"/>
  <c r="J19" i="131"/>
  <c r="B30" i="109"/>
  <c r="J35" i="131"/>
  <c r="F30" i="109"/>
  <c r="J43" i="131"/>
  <c r="H30" i="109"/>
  <c r="J28" i="132"/>
  <c r="E31" i="109"/>
  <c r="J27" i="132"/>
  <c r="D31" i="109"/>
  <c r="J19" i="133"/>
  <c r="B32" i="109"/>
  <c r="J36" i="133"/>
  <c r="G32" i="109"/>
  <c r="J35" i="133"/>
  <c r="F32" i="109"/>
  <c r="J43" i="133"/>
  <c r="H32" i="109"/>
  <c r="J28" i="134"/>
  <c r="E33" i="109"/>
  <c r="J27" i="134"/>
  <c r="D33" i="109"/>
  <c r="J44" i="134"/>
  <c r="I33" i="109"/>
  <c r="J19" i="135"/>
  <c r="B34" i="109"/>
  <c r="J35" i="135"/>
  <c r="F34" i="109"/>
  <c r="J43" i="135"/>
  <c r="H34" i="109"/>
  <c r="J28" i="136"/>
  <c r="E35" i="109"/>
  <c r="J27" i="136"/>
  <c r="D35" i="109"/>
  <c r="J44" i="136"/>
  <c r="I35" i="109"/>
  <c r="J19" i="137"/>
  <c r="B36" i="109"/>
  <c r="J35" i="137"/>
  <c r="F36" i="109"/>
  <c r="J43" i="137"/>
  <c r="H36" i="109"/>
  <c r="J28" i="138"/>
  <c r="E37" i="109"/>
  <c r="J27" i="138"/>
  <c r="D37" i="109"/>
  <c r="J19" i="139"/>
  <c r="B38" i="109"/>
  <c r="J36" i="139"/>
  <c r="G38" i="109"/>
  <c r="J35" i="139"/>
  <c r="F38" i="109"/>
  <c r="J43" i="139"/>
  <c r="H38" i="109"/>
  <c r="J19" i="110"/>
  <c r="B9" i="109"/>
  <c r="J36" i="110"/>
  <c r="G9" i="109"/>
  <c r="J35" i="110"/>
  <c r="F9" i="109"/>
  <c r="J43" i="110"/>
  <c r="H9" i="109"/>
  <c r="J28" i="111"/>
  <c r="E10" i="109"/>
  <c r="J27" i="111"/>
  <c r="D10" i="109"/>
  <c r="J44" i="111"/>
  <c r="J19" i="112"/>
  <c r="B11" i="109"/>
  <c r="J36" i="112"/>
  <c r="G11" i="109"/>
  <c r="J35" i="112"/>
  <c r="F11" i="109"/>
  <c r="J43" i="112"/>
  <c r="H11" i="109"/>
  <c r="J28" i="113"/>
  <c r="E12" i="109"/>
  <c r="J27" i="113"/>
  <c r="D12" i="109"/>
  <c r="J44" i="113"/>
  <c r="I12" i="109"/>
  <c r="B13" i="109"/>
  <c r="J36" i="114"/>
  <c r="G13" i="109"/>
  <c r="J35" i="114"/>
  <c r="F13" i="109"/>
  <c r="J43" i="114"/>
  <c r="H13" i="109"/>
  <c r="J28" i="115"/>
  <c r="E14" i="109"/>
  <c r="J27" i="115"/>
  <c r="D14" i="109"/>
  <c r="J44" i="115"/>
  <c r="I14" i="109"/>
  <c r="J19" i="116"/>
  <c r="B15" i="109"/>
  <c r="J35" i="116"/>
  <c r="F15" i="109"/>
  <c r="J43" i="116"/>
  <c r="H15" i="109"/>
  <c r="J28" i="117"/>
  <c r="E16" i="109"/>
  <c r="J27" i="117"/>
  <c r="D16" i="109"/>
  <c r="J44" i="117"/>
  <c r="I16" i="109"/>
  <c r="J19" i="118"/>
  <c r="B17" i="109"/>
  <c r="G17" i="109"/>
  <c r="J35" i="118"/>
  <c r="F17" i="109"/>
  <c r="J43" i="118"/>
  <c r="H17" i="109"/>
  <c r="J28" i="119"/>
  <c r="E18" i="109"/>
  <c r="J27" i="119"/>
  <c r="D18" i="109"/>
  <c r="J44" i="119"/>
  <c r="I18" i="109"/>
  <c r="J19" i="120"/>
  <c r="B19" i="109"/>
  <c r="J36" i="120"/>
  <c r="G19" i="109"/>
  <c r="J35" i="120"/>
  <c r="F19" i="109"/>
  <c r="J43" i="120"/>
  <c r="H19" i="109"/>
  <c r="J28" i="121"/>
  <c r="E20" i="109"/>
  <c r="J27" i="121"/>
  <c r="D20" i="109"/>
  <c r="J44" i="121"/>
  <c r="I20" i="109"/>
  <c r="J19" i="122"/>
  <c r="B21" i="109"/>
  <c r="J36" i="122"/>
  <c r="G21" i="109"/>
  <c r="J35" i="122"/>
  <c r="F21" i="109"/>
  <c r="J43" i="122"/>
  <c r="H21" i="109"/>
  <c r="J28" i="123"/>
  <c r="E22" i="109"/>
  <c r="J27" i="123"/>
  <c r="D22" i="109"/>
  <c r="X98" i="123"/>
  <c r="J19" i="124"/>
  <c r="B23" i="109"/>
  <c r="J35" i="124"/>
  <c r="F23" i="109"/>
  <c r="J43" i="124"/>
  <c r="H23" i="109"/>
  <c r="J28" i="125"/>
  <c r="E24" i="109"/>
  <c r="J27" i="125"/>
  <c r="D24" i="109"/>
  <c r="J44" i="125"/>
  <c r="I24" i="109"/>
  <c r="J19" i="126"/>
  <c r="B25" i="109"/>
  <c r="J36" i="126"/>
  <c r="G25" i="109"/>
  <c r="J35" i="126"/>
  <c r="F25" i="109"/>
  <c r="J43" i="126"/>
  <c r="H25" i="109"/>
  <c r="J28" i="127"/>
  <c r="E26" i="109"/>
  <c r="J27" i="127"/>
  <c r="D26" i="109"/>
  <c r="J19" i="128"/>
  <c r="B27" i="109"/>
  <c r="J36" i="128"/>
  <c r="G27" i="109"/>
  <c r="J35" i="128"/>
  <c r="F27" i="109"/>
  <c r="J43" i="128"/>
  <c r="H27" i="109"/>
  <c r="J28" i="129"/>
  <c r="E28" i="109"/>
  <c r="J27" i="129"/>
  <c r="D28" i="109"/>
  <c r="J44" i="129"/>
  <c r="I28" i="109"/>
  <c r="J19" i="130"/>
  <c r="B29" i="109"/>
  <c r="J35" i="130"/>
  <c r="F29" i="109"/>
  <c r="J43" i="130"/>
  <c r="H29" i="109"/>
  <c r="S98" i="130"/>
  <c r="J28" i="131"/>
  <c r="E30" i="109"/>
  <c r="J27" i="131"/>
  <c r="D30" i="109"/>
  <c r="J44" i="131"/>
  <c r="I30" i="109"/>
  <c r="J19" i="132"/>
  <c r="B31" i="109"/>
  <c r="J35" i="132"/>
  <c r="F31" i="109"/>
  <c r="J43" i="132"/>
  <c r="H31" i="109"/>
  <c r="J28" i="133"/>
  <c r="J27" i="133"/>
  <c r="D32" i="109"/>
  <c r="J44" i="133"/>
  <c r="J19" i="134"/>
  <c r="B33" i="109"/>
  <c r="J36" i="134"/>
  <c r="G33" i="109"/>
  <c r="J35" i="134"/>
  <c r="F33" i="109"/>
  <c r="J43" i="134"/>
  <c r="H33" i="109"/>
  <c r="J28" i="135"/>
  <c r="E34" i="109"/>
  <c r="J27" i="135"/>
  <c r="D34" i="109"/>
  <c r="J44" i="135"/>
  <c r="I34" i="109"/>
  <c r="J19" i="136"/>
  <c r="B35" i="109"/>
  <c r="J36" i="136"/>
  <c r="G35" i="109"/>
  <c r="J35" i="136"/>
  <c r="F35" i="109"/>
  <c r="J43" i="136"/>
  <c r="H35" i="109"/>
  <c r="J28" i="137"/>
  <c r="E36" i="109"/>
  <c r="J27" i="137"/>
  <c r="D36" i="109"/>
  <c r="J44" i="137"/>
  <c r="I36" i="109"/>
  <c r="J19" i="138"/>
  <c r="B37" i="109"/>
  <c r="J36" i="138"/>
  <c r="G37" i="109"/>
  <c r="J35" i="138"/>
  <c r="F37" i="109"/>
  <c r="J43" i="138"/>
  <c r="H37" i="109"/>
  <c r="J28" i="139"/>
  <c r="E38" i="109"/>
  <c r="J27" i="139"/>
  <c r="D38" i="109"/>
  <c r="J44" i="13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V28" i="139"/>
  <c r="Y28" i="139" s="1"/>
  <c r="W27" i="139"/>
  <c r="Z27" i="139" s="1"/>
  <c r="V27" i="139"/>
  <c r="Y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J52" i="139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49" i="138"/>
  <c r="F49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3" i="137"/>
  <c r="F53" i="137"/>
  <c r="D54" i="137"/>
  <c r="F54" i="137"/>
  <c r="D55" i="137"/>
  <c r="F55" i="137"/>
  <c r="D56" i="137"/>
  <c r="F56" i="137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74" i="136"/>
  <c r="U73" i="136"/>
  <c r="U72" i="136"/>
  <c r="U71" i="136"/>
  <c r="U70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J14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78" i="134"/>
  <c r="T98" i="134" s="1"/>
  <c r="G86" i="134" s="1"/>
  <c r="H81" i="134" s="1"/>
  <c r="Y78" i="134"/>
  <c r="Y98" i="134" s="1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J22" i="132"/>
  <c r="J30" i="132"/>
  <c r="J38" i="132"/>
  <c r="D47" i="132"/>
  <c r="F47" i="132" s="1"/>
  <c r="D48" i="132"/>
  <c r="F48" i="132" s="1"/>
  <c r="D49" i="132"/>
  <c r="F49" i="132" s="1"/>
  <c r="D50" i="132"/>
  <c r="F50" i="132" s="1"/>
  <c r="D53" i="132"/>
  <c r="F53" i="132"/>
  <c r="G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W16" i="129"/>
  <c r="Z16" i="129" s="1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78" i="129"/>
  <c r="T98" i="129" s="1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V23" i="128"/>
  <c r="Y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U16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J46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49" i="127"/>
  <c r="F49" i="127" s="1"/>
  <c r="D50" i="127"/>
  <c r="F50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T98" i="127" s="1"/>
  <c r="G86" i="127" s="1"/>
  <c r="H81" i="127" s="1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Y78" i="125"/>
  <c r="Y98" i="125" s="1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49" i="123"/>
  <c r="F49" i="123" s="1"/>
  <c r="D50" i="123"/>
  <c r="F50" i="123" s="1"/>
  <c r="D51" i="123"/>
  <c r="F51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L60" i="123" s="1"/>
  <c r="T78" i="123"/>
  <c r="T98" i="123" s="1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70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J14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V16" i="122"/>
  <c r="Y16" i="122" s="1"/>
  <c r="W16" i="122"/>
  <c r="Z16" i="122" s="1"/>
  <c r="X16" i="122"/>
  <c r="U17" i="122"/>
  <c r="V17" i="122"/>
  <c r="Y17" i="122" s="1"/>
  <c r="W17" i="122"/>
  <c r="Z17" i="122" s="1"/>
  <c r="X17" i="122"/>
  <c r="U18" i="122"/>
  <c r="V18" i="122"/>
  <c r="Y18" i="122" s="1"/>
  <c r="W18" i="122"/>
  <c r="Z18" i="122" s="1"/>
  <c r="X18" i="122"/>
  <c r="U19" i="122"/>
  <c r="V19" i="122"/>
  <c r="Y19" i="122" s="1"/>
  <c r="W19" i="122"/>
  <c r="Z19" i="122" s="1"/>
  <c r="X19" i="122"/>
  <c r="U20" i="122"/>
  <c r="V20" i="122"/>
  <c r="Y20" i="122" s="1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49" i="122"/>
  <c r="F49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3" i="121"/>
  <c r="F53" i="121"/>
  <c r="D54" i="121"/>
  <c r="F54" i="121"/>
  <c r="D55" i="121"/>
  <c r="F55" i="121"/>
  <c r="D56" i="121"/>
  <c r="F56" i="121"/>
  <c r="D58" i="121"/>
  <c r="F58" i="121" s="1"/>
  <c r="F60" i="121"/>
  <c r="G60" i="121" s="1"/>
  <c r="L60" i="121" s="1"/>
  <c r="T78" i="121"/>
  <c r="T98" i="121" s="1"/>
  <c r="G86" i="121" s="1"/>
  <c r="H81" i="121" s="1"/>
  <c r="Y78" i="121"/>
  <c r="Y98" i="121" s="1"/>
  <c r="J20" i="120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8" i="120"/>
  <c r="F48" i="120" s="1"/>
  <c r="D49" i="120"/>
  <c r="F49" i="120" s="1"/>
  <c r="D53" i="120"/>
  <c r="F53" i="120"/>
  <c r="D54" i="120"/>
  <c r="F54" i="120"/>
  <c r="D55" i="120"/>
  <c r="F55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J20" i="119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0" i="119"/>
  <c r="F50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J20" i="118"/>
  <c r="AA97" i="118"/>
  <c r="AA96" i="118"/>
  <c r="AA95" i="118"/>
  <c r="AA94" i="118"/>
  <c r="AA93" i="118"/>
  <c r="AA92" i="118"/>
  <c r="AA91" i="118"/>
  <c r="AA90" i="118"/>
  <c r="AA89" i="118"/>
  <c r="AA88" i="118"/>
  <c r="AA87" i="118"/>
  <c r="AA86" i="118"/>
  <c r="AA85" i="118"/>
  <c r="AA84" i="118"/>
  <c r="AA83" i="118"/>
  <c r="AA82" i="118"/>
  <c r="AA81" i="118"/>
  <c r="AA80" i="118"/>
  <c r="AA79" i="118"/>
  <c r="AA78" i="118"/>
  <c r="U74" i="118"/>
  <c r="U73" i="118"/>
  <c r="U72" i="118"/>
  <c r="U71" i="118"/>
  <c r="U70" i="118"/>
  <c r="U68" i="118"/>
  <c r="U67" i="118"/>
  <c r="U66" i="118"/>
  <c r="U65" i="118"/>
  <c r="U64" i="118"/>
  <c r="U62" i="118"/>
  <c r="U61" i="118"/>
  <c r="U60" i="118"/>
  <c r="U59" i="118"/>
  <c r="U58" i="118"/>
  <c r="U57" i="118"/>
  <c r="U56" i="118"/>
  <c r="U55" i="118"/>
  <c r="U54" i="118"/>
  <c r="U53" i="118"/>
  <c r="U52" i="118"/>
  <c r="U51" i="118"/>
  <c r="U50" i="118"/>
  <c r="U49" i="118"/>
  <c r="U48" i="118"/>
  <c r="U47" i="118"/>
  <c r="U46" i="118"/>
  <c r="U45" i="118"/>
  <c r="U44" i="118"/>
  <c r="U43" i="118"/>
  <c r="U41" i="118"/>
  <c r="U40" i="118"/>
  <c r="U39" i="118"/>
  <c r="U38" i="118"/>
  <c r="U37" i="118"/>
  <c r="U36" i="118"/>
  <c r="U35" i="118"/>
  <c r="U34" i="118"/>
  <c r="U33" i="118"/>
  <c r="U32" i="118"/>
  <c r="U31" i="118"/>
  <c r="U30" i="118"/>
  <c r="U29" i="118"/>
  <c r="U28" i="118"/>
  <c r="U27" i="118"/>
  <c r="U26" i="118"/>
  <c r="U25" i="118"/>
  <c r="U24" i="118"/>
  <c r="U23" i="118"/>
  <c r="U22" i="118"/>
  <c r="W74" i="118"/>
  <c r="Z74" i="118" s="1"/>
  <c r="V74" i="118"/>
  <c r="Y74" i="118" s="1"/>
  <c r="W73" i="118"/>
  <c r="Z73" i="118" s="1"/>
  <c r="V73" i="118"/>
  <c r="Y73" i="118" s="1"/>
  <c r="W72" i="118"/>
  <c r="Z72" i="118" s="1"/>
  <c r="V72" i="118"/>
  <c r="Y72" i="118" s="1"/>
  <c r="W71" i="118"/>
  <c r="Z71" i="118" s="1"/>
  <c r="V71" i="118"/>
  <c r="Y71" i="118" s="1"/>
  <c r="W70" i="118"/>
  <c r="V70" i="118"/>
  <c r="W68" i="118"/>
  <c r="Z68" i="118" s="1"/>
  <c r="V68" i="118"/>
  <c r="Y68" i="118" s="1"/>
  <c r="W67" i="118"/>
  <c r="Z67" i="118" s="1"/>
  <c r="V67" i="118"/>
  <c r="Y67" i="118" s="1"/>
  <c r="W66" i="118"/>
  <c r="Z66" i="118" s="1"/>
  <c r="V66" i="118"/>
  <c r="Y66" i="118" s="1"/>
  <c r="W65" i="118"/>
  <c r="Z65" i="118" s="1"/>
  <c r="V65" i="118"/>
  <c r="Y65" i="118" s="1"/>
  <c r="W64" i="118"/>
  <c r="V64" i="118"/>
  <c r="W62" i="118"/>
  <c r="Z62" i="118" s="1"/>
  <c r="V62" i="118"/>
  <c r="Y62" i="118" s="1"/>
  <c r="W61" i="118"/>
  <c r="Z61" i="118" s="1"/>
  <c r="V61" i="118"/>
  <c r="Y61" i="118" s="1"/>
  <c r="W60" i="118"/>
  <c r="Z60" i="118" s="1"/>
  <c r="V60" i="118"/>
  <c r="Y60" i="118" s="1"/>
  <c r="W59" i="118"/>
  <c r="Z59" i="118" s="1"/>
  <c r="V59" i="118"/>
  <c r="Y59" i="118" s="1"/>
  <c r="W58" i="118"/>
  <c r="Z58" i="118" s="1"/>
  <c r="V58" i="118"/>
  <c r="Y58" i="118" s="1"/>
  <c r="W57" i="118"/>
  <c r="Z57" i="118" s="1"/>
  <c r="V57" i="118"/>
  <c r="Y57" i="118" s="1"/>
  <c r="W56" i="118"/>
  <c r="Z56" i="118" s="1"/>
  <c r="V56" i="118"/>
  <c r="Y56" i="118" s="1"/>
  <c r="W55" i="118"/>
  <c r="Z55" i="118" s="1"/>
  <c r="V55" i="118"/>
  <c r="Y55" i="118" s="1"/>
  <c r="W54" i="118"/>
  <c r="Z54" i="118" s="1"/>
  <c r="V54" i="118"/>
  <c r="Y54" i="118" s="1"/>
  <c r="W53" i="118"/>
  <c r="Z53" i="118" s="1"/>
  <c r="V53" i="118"/>
  <c r="Y53" i="118" s="1"/>
  <c r="W52" i="118"/>
  <c r="Z52" i="118" s="1"/>
  <c r="V52" i="118"/>
  <c r="Y52" i="118" s="1"/>
  <c r="W51" i="118"/>
  <c r="Z51" i="118" s="1"/>
  <c r="V51" i="118"/>
  <c r="Y51" i="118" s="1"/>
  <c r="W50" i="118"/>
  <c r="Z50" i="118" s="1"/>
  <c r="V50" i="118"/>
  <c r="Y50" i="118" s="1"/>
  <c r="W49" i="118"/>
  <c r="Z49" i="118" s="1"/>
  <c r="V49" i="118"/>
  <c r="Y49" i="118" s="1"/>
  <c r="W48" i="118"/>
  <c r="Z48" i="118" s="1"/>
  <c r="V48" i="118"/>
  <c r="Y48" i="118" s="1"/>
  <c r="W47" i="118"/>
  <c r="Z47" i="118" s="1"/>
  <c r="V47" i="118"/>
  <c r="Y47" i="118" s="1"/>
  <c r="W46" i="118"/>
  <c r="Z46" i="118" s="1"/>
  <c r="V46" i="118"/>
  <c r="Y46" i="118" s="1"/>
  <c r="W45" i="118"/>
  <c r="Z45" i="118" s="1"/>
  <c r="V45" i="118"/>
  <c r="Y45" i="118" s="1"/>
  <c r="W44" i="118"/>
  <c r="Z44" i="118" s="1"/>
  <c r="V44" i="118"/>
  <c r="Y44" i="118" s="1"/>
  <c r="W43" i="118"/>
  <c r="V43" i="118"/>
  <c r="W41" i="118"/>
  <c r="Z41" i="118" s="1"/>
  <c r="V41" i="118"/>
  <c r="Y41" i="118" s="1"/>
  <c r="W40" i="118"/>
  <c r="Z40" i="118" s="1"/>
  <c r="V40" i="118"/>
  <c r="Y40" i="118" s="1"/>
  <c r="W39" i="118"/>
  <c r="Z39" i="118" s="1"/>
  <c r="V39" i="118"/>
  <c r="Y39" i="118" s="1"/>
  <c r="W38" i="118"/>
  <c r="Z38" i="118" s="1"/>
  <c r="V38" i="118"/>
  <c r="Y38" i="118" s="1"/>
  <c r="W37" i="118"/>
  <c r="Z37" i="118" s="1"/>
  <c r="V37" i="118"/>
  <c r="Y37" i="118" s="1"/>
  <c r="W36" i="118"/>
  <c r="Z36" i="118" s="1"/>
  <c r="V36" i="118"/>
  <c r="Y36" i="118" s="1"/>
  <c r="W35" i="118"/>
  <c r="Z35" i="118" s="1"/>
  <c r="V35" i="118"/>
  <c r="Y35" i="118" s="1"/>
  <c r="W34" i="118"/>
  <c r="Z34" i="118" s="1"/>
  <c r="V34" i="118"/>
  <c r="Y34" i="118" s="1"/>
  <c r="W33" i="118"/>
  <c r="Z33" i="118" s="1"/>
  <c r="V33" i="118"/>
  <c r="Y33" i="118" s="1"/>
  <c r="W32" i="118"/>
  <c r="Z32" i="118" s="1"/>
  <c r="V32" i="118"/>
  <c r="Y32" i="118" s="1"/>
  <c r="W31" i="118"/>
  <c r="Z31" i="118" s="1"/>
  <c r="V31" i="118"/>
  <c r="Y31" i="118" s="1"/>
  <c r="W30" i="118"/>
  <c r="Z30" i="118" s="1"/>
  <c r="V30" i="118"/>
  <c r="Y30" i="118" s="1"/>
  <c r="W29" i="118"/>
  <c r="Z29" i="118" s="1"/>
  <c r="V29" i="118"/>
  <c r="Y29" i="118" s="1"/>
  <c r="W28" i="118"/>
  <c r="Z28" i="118" s="1"/>
  <c r="V28" i="118"/>
  <c r="Y28" i="118" s="1"/>
  <c r="W27" i="118"/>
  <c r="Z27" i="118" s="1"/>
  <c r="V27" i="118"/>
  <c r="Y27" i="118" s="1"/>
  <c r="W26" i="118"/>
  <c r="Z26" i="118" s="1"/>
  <c r="V26" i="118"/>
  <c r="Y26" i="118" s="1"/>
  <c r="W25" i="118"/>
  <c r="Z25" i="118" s="1"/>
  <c r="V25" i="118"/>
  <c r="Y25" i="118" s="1"/>
  <c r="W24" i="118"/>
  <c r="Z24" i="118" s="1"/>
  <c r="V24" i="118"/>
  <c r="Y24" i="118" s="1"/>
  <c r="W23" i="118"/>
  <c r="Z23" i="118" s="1"/>
  <c r="V23" i="118"/>
  <c r="Y23" i="118" s="1"/>
  <c r="W22" i="118"/>
  <c r="Z22" i="118" s="1"/>
  <c r="V22" i="118"/>
  <c r="Y22" i="118" s="1"/>
  <c r="AB97" i="118"/>
  <c r="AB96" i="118"/>
  <c r="AB95" i="118"/>
  <c r="AB94" i="118"/>
  <c r="AB93" i="118"/>
  <c r="AB92" i="118"/>
  <c r="AB91" i="118"/>
  <c r="AB90" i="118"/>
  <c r="AB89" i="118"/>
  <c r="AB88" i="118"/>
  <c r="AB87" i="118"/>
  <c r="AB86" i="118"/>
  <c r="AB85" i="118"/>
  <c r="AB84" i="118"/>
  <c r="AB83" i="118"/>
  <c r="AB82" i="118"/>
  <c r="AB81" i="118"/>
  <c r="AB80" i="118"/>
  <c r="AB79" i="118"/>
  <c r="AB78" i="118"/>
  <c r="X74" i="118"/>
  <c r="X73" i="118"/>
  <c r="X72" i="118"/>
  <c r="X71" i="118"/>
  <c r="X70" i="118"/>
  <c r="X68" i="118"/>
  <c r="X67" i="118"/>
  <c r="X66" i="118"/>
  <c r="X65" i="118"/>
  <c r="X64" i="118"/>
  <c r="X62" i="118"/>
  <c r="X61" i="118"/>
  <c r="X60" i="118"/>
  <c r="X59" i="118"/>
  <c r="X58" i="118"/>
  <c r="X57" i="118"/>
  <c r="X56" i="118"/>
  <c r="X55" i="118"/>
  <c r="X54" i="118"/>
  <c r="X53" i="118"/>
  <c r="X52" i="118"/>
  <c r="X51" i="118"/>
  <c r="X50" i="118"/>
  <c r="X49" i="118"/>
  <c r="X48" i="118"/>
  <c r="X47" i="118"/>
  <c r="X46" i="118"/>
  <c r="X45" i="118"/>
  <c r="X44" i="118"/>
  <c r="X43" i="118"/>
  <c r="X41" i="118"/>
  <c r="X40" i="118"/>
  <c r="X39" i="118"/>
  <c r="X38" i="118"/>
  <c r="X37" i="118"/>
  <c r="X36" i="118"/>
  <c r="X35" i="118"/>
  <c r="X34" i="118"/>
  <c r="X33" i="118"/>
  <c r="X32" i="118"/>
  <c r="X31" i="118"/>
  <c r="X30" i="118"/>
  <c r="X29" i="118"/>
  <c r="X28" i="118"/>
  <c r="X27" i="118"/>
  <c r="X26" i="118"/>
  <c r="X25" i="118"/>
  <c r="X24" i="118"/>
  <c r="X23" i="118"/>
  <c r="X22" i="118"/>
  <c r="U12" i="118"/>
  <c r="V12" i="118"/>
  <c r="W12" i="118"/>
  <c r="X12" i="118"/>
  <c r="U13" i="118"/>
  <c r="V13" i="118"/>
  <c r="Y13" i="118" s="1"/>
  <c r="W13" i="118"/>
  <c r="Z13" i="118" s="1"/>
  <c r="X13" i="118"/>
  <c r="J14" i="118"/>
  <c r="U14" i="118"/>
  <c r="V14" i="118"/>
  <c r="Y14" i="118" s="1"/>
  <c r="W14" i="118"/>
  <c r="Z14" i="118" s="1"/>
  <c r="X14" i="118"/>
  <c r="U15" i="118"/>
  <c r="V15" i="118"/>
  <c r="Y15" i="118" s="1"/>
  <c r="W15" i="118"/>
  <c r="Z15" i="118" s="1"/>
  <c r="X15" i="118"/>
  <c r="U16" i="118"/>
  <c r="V16" i="118"/>
  <c r="Y16" i="118" s="1"/>
  <c r="W16" i="118"/>
  <c r="Z16" i="118" s="1"/>
  <c r="X16" i="118"/>
  <c r="U17" i="118"/>
  <c r="V17" i="118"/>
  <c r="Y17" i="118" s="1"/>
  <c r="W17" i="118"/>
  <c r="Z17" i="118" s="1"/>
  <c r="X17" i="118"/>
  <c r="U18" i="118"/>
  <c r="V18" i="118"/>
  <c r="Y18" i="118" s="1"/>
  <c r="W18" i="118"/>
  <c r="Z18" i="118" s="1"/>
  <c r="X18" i="118"/>
  <c r="U19" i="118"/>
  <c r="V19" i="118"/>
  <c r="Y19" i="118" s="1"/>
  <c r="W19" i="118"/>
  <c r="Z19" i="118" s="1"/>
  <c r="X19" i="118"/>
  <c r="U20" i="118"/>
  <c r="V20" i="118"/>
  <c r="Y20" i="118" s="1"/>
  <c r="W20" i="118"/>
  <c r="Z20" i="118" s="1"/>
  <c r="X20" i="118"/>
  <c r="U21" i="118"/>
  <c r="V21" i="118"/>
  <c r="Y21" i="118" s="1"/>
  <c r="W21" i="118"/>
  <c r="Z21" i="118" s="1"/>
  <c r="X21" i="118"/>
  <c r="J46" i="118"/>
  <c r="D46" i="118"/>
  <c r="J57" i="118"/>
  <c r="D57" i="118"/>
  <c r="F57" i="118" s="1"/>
  <c r="J52" i="118"/>
  <c r="F52" i="118"/>
  <c r="D52" i="118"/>
  <c r="J22" i="118"/>
  <c r="J30" i="118"/>
  <c r="J38" i="118"/>
  <c r="D47" i="118"/>
  <c r="F47" i="118" s="1"/>
  <c r="D48" i="118"/>
  <c r="F48" i="118" s="1"/>
  <c r="D49" i="118"/>
  <c r="F49" i="118" s="1"/>
  <c r="D50" i="118"/>
  <c r="F50" i="118" s="1"/>
  <c r="D53" i="118"/>
  <c r="F53" i="118"/>
  <c r="D54" i="118"/>
  <c r="F54" i="118"/>
  <c r="G54" i="118"/>
  <c r="D55" i="118"/>
  <c r="F55" i="118"/>
  <c r="G55" i="118" s="1"/>
  <c r="D56" i="118"/>
  <c r="F56" i="118"/>
  <c r="D58" i="118"/>
  <c r="F58" i="118" s="1"/>
  <c r="F60" i="118"/>
  <c r="G60" i="118" s="1"/>
  <c r="L60" i="118" s="1"/>
  <c r="T78" i="118"/>
  <c r="T98" i="118" s="1"/>
  <c r="G86" i="118" s="1"/>
  <c r="H81" i="118" s="1"/>
  <c r="Y78" i="118"/>
  <c r="Y98" i="118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D58" i="116"/>
  <c r="F58" i="116" s="1"/>
  <c r="F60" i="116"/>
  <c r="G60" i="116" s="1"/>
  <c r="L60" i="116" s="1"/>
  <c r="T78" i="116"/>
  <c r="T98" i="116" s="1"/>
  <c r="G86" i="116" s="1"/>
  <c r="H81" i="116" s="1"/>
  <c r="Y78" i="116"/>
  <c r="Y98" i="116" s="1"/>
  <c r="J20" i="115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7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J14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22" i="115"/>
  <c r="J30" i="115"/>
  <c r="J38" i="115"/>
  <c r="D47" i="115"/>
  <c r="F47" i="115" s="1"/>
  <c r="D48" i="115"/>
  <c r="F48" i="115" s="1"/>
  <c r="D49" i="115"/>
  <c r="F49" i="115" s="1"/>
  <c r="D50" i="115"/>
  <c r="F50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98" i="115"/>
  <c r="G86" i="115" s="1"/>
  <c r="H81" i="115" s="1"/>
  <c r="Y78" i="115"/>
  <c r="Y98" i="115" s="1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F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3" i="112"/>
  <c r="F53" i="112"/>
  <c r="D54" i="112"/>
  <c r="F54" i="112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W59" i="111"/>
  <c r="Z59" i="111" s="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0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D55" i="111"/>
  <c r="F55" i="111"/>
  <c r="D56" i="111"/>
  <c r="F56" i="111"/>
  <c r="D58" i="111"/>
  <c r="F58" i="111" s="1"/>
  <c r="F60" i="111"/>
  <c r="G60" i="111" s="1"/>
  <c r="L60" i="111" s="1"/>
  <c r="T78" i="111"/>
  <c r="T98" i="111" s="1"/>
  <c r="G86" i="111" s="1"/>
  <c r="H81" i="111" s="1"/>
  <c r="Y78" i="111"/>
  <c r="Y98" i="111" s="1"/>
  <c r="J20" i="110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Y55" i="110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X21" i="110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45" i="40"/>
  <c r="L12" i="40"/>
  <c r="J59" i="40"/>
  <c r="G59" i="40"/>
  <c r="L59" i="40" s="1"/>
  <c r="Z98" i="40"/>
  <c r="B55" i="40" s="1"/>
  <c r="T69" i="40"/>
  <c r="F56" i="120" l="1"/>
  <c r="G29" i="109"/>
  <c r="J36" i="130"/>
  <c r="J44" i="123"/>
  <c r="E39" i="109"/>
  <c r="C13" i="109"/>
  <c r="J20" i="114"/>
  <c r="I11" i="109"/>
  <c r="I37" i="109"/>
  <c r="G36" i="109"/>
  <c r="J36" i="135"/>
  <c r="I32" i="109"/>
  <c r="I26" i="109"/>
  <c r="J44" i="127"/>
  <c r="B65" i="127"/>
  <c r="B71" i="127" s="1"/>
  <c r="B65" i="123"/>
  <c r="B71" i="123" s="1"/>
  <c r="I22" i="109"/>
  <c r="I17" i="109"/>
  <c r="B65" i="112"/>
  <c r="B71" i="112" s="1"/>
  <c r="J36" i="137"/>
  <c r="G52" i="132"/>
  <c r="L52" i="132" s="1"/>
  <c r="J36" i="131"/>
  <c r="G23" i="109"/>
  <c r="J36" i="124"/>
  <c r="I21" i="109"/>
  <c r="J44" i="122"/>
  <c r="J44" i="118"/>
  <c r="G15" i="109"/>
  <c r="J44" i="138"/>
  <c r="G34" i="109"/>
  <c r="J36" i="118"/>
  <c r="I15" i="109"/>
  <c r="J44" i="116"/>
  <c r="E32" i="109"/>
  <c r="I23" i="109"/>
  <c r="J44" i="124"/>
  <c r="J36" i="116"/>
  <c r="D51" i="112"/>
  <c r="F51" i="112" s="1"/>
  <c r="D51" i="137"/>
  <c r="F51" i="137" s="1"/>
  <c r="J20" i="133"/>
  <c r="G30" i="109"/>
  <c r="G54" i="111"/>
  <c r="G54" i="112"/>
  <c r="G53" i="130"/>
  <c r="D51" i="125"/>
  <c r="F51" i="125" s="1"/>
  <c r="G86" i="125"/>
  <c r="H81" i="125" s="1"/>
  <c r="T98" i="125"/>
  <c r="D50" i="121"/>
  <c r="F50" i="121" s="1"/>
  <c r="D51" i="120"/>
  <c r="F51" i="120" s="1"/>
  <c r="G86" i="117"/>
  <c r="H81" i="117" s="1"/>
  <c r="T98" i="117"/>
  <c r="X75" i="111"/>
  <c r="D56" i="120"/>
  <c r="D51" i="115"/>
  <c r="F51" i="115" s="1"/>
  <c r="G31" i="109"/>
  <c r="I31" i="109"/>
  <c r="J36" i="132"/>
  <c r="J44" i="132"/>
  <c r="G56" i="128"/>
  <c r="C28" i="143" s="1"/>
  <c r="H28" i="143" s="1"/>
  <c r="D51" i="127"/>
  <c r="F51" i="127" s="1"/>
  <c r="G52" i="124"/>
  <c r="G14" i="109"/>
  <c r="J36" i="115"/>
  <c r="G53" i="129"/>
  <c r="G53" i="135"/>
  <c r="G52" i="117"/>
  <c r="L52" i="117" s="1"/>
  <c r="G56" i="122"/>
  <c r="L56" i="122" s="1"/>
  <c r="G56" i="137"/>
  <c r="L56" i="137" s="1"/>
  <c r="G56" i="127"/>
  <c r="L56" i="127" s="1"/>
  <c r="G56" i="118"/>
  <c r="L56" i="118" s="1"/>
  <c r="B65" i="118"/>
  <c r="D51" i="117"/>
  <c r="F51" i="117" s="1"/>
  <c r="D51" i="116"/>
  <c r="F51" i="116" s="1"/>
  <c r="G56" i="116"/>
  <c r="L56" i="116" s="1"/>
  <c r="B65" i="116"/>
  <c r="B65" i="110"/>
  <c r="B71" i="110" s="1"/>
  <c r="D51" i="138"/>
  <c r="F51" i="138" s="1"/>
  <c r="D50" i="137"/>
  <c r="F50" i="137" s="1"/>
  <c r="B65" i="137"/>
  <c r="B71" i="137" s="1"/>
  <c r="B65" i="134"/>
  <c r="B71" i="134" s="1"/>
  <c r="D51" i="121"/>
  <c r="F51" i="121" s="1"/>
  <c r="G58" i="118"/>
  <c r="L58" i="118" s="1"/>
  <c r="D51" i="118"/>
  <c r="F51" i="118" s="1"/>
  <c r="B65" i="115"/>
  <c r="B71" i="115" s="1"/>
  <c r="B65" i="113"/>
  <c r="B71" i="113" s="1"/>
  <c r="G56" i="113"/>
  <c r="L56" i="113" s="1"/>
  <c r="D51" i="136"/>
  <c r="F51" i="136" s="1"/>
  <c r="B65" i="136"/>
  <c r="D51" i="135"/>
  <c r="F51" i="135" s="1"/>
  <c r="D51" i="133"/>
  <c r="F51" i="133" s="1"/>
  <c r="AA15" i="132"/>
  <c r="D50" i="138"/>
  <c r="F50" i="138" s="1"/>
  <c r="B65" i="138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G54" i="115"/>
  <c r="G58" i="116"/>
  <c r="L58" i="116" s="1"/>
  <c r="G54" i="119"/>
  <c r="G54" i="120"/>
  <c r="G54" i="121"/>
  <c r="G58" i="122"/>
  <c r="L58" i="122" s="1"/>
  <c r="X75" i="122"/>
  <c r="G56" i="125"/>
  <c r="C25" i="143" s="1"/>
  <c r="H25" i="143" s="1"/>
  <c r="G53" i="134"/>
  <c r="G55" i="135"/>
  <c r="G54" i="135"/>
  <c r="L54" i="135" s="1"/>
  <c r="G58" i="136"/>
  <c r="L58" i="136" s="1"/>
  <c r="X75" i="136"/>
  <c r="G58" i="137"/>
  <c r="L58" i="137" s="1"/>
  <c r="D51" i="126"/>
  <c r="F51" i="126" s="1"/>
  <c r="B65" i="126"/>
  <c r="B71" i="126" s="1"/>
  <c r="D50" i="125"/>
  <c r="F50" i="125" s="1"/>
  <c r="B65" i="125"/>
  <c r="B71" i="125" s="1"/>
  <c r="D51" i="124"/>
  <c r="F51" i="124" s="1"/>
  <c r="B65" i="124"/>
  <c r="B71" i="124" s="1"/>
  <c r="D51" i="122"/>
  <c r="F51" i="122" s="1"/>
  <c r="D50" i="122"/>
  <c r="F50" i="122" s="1"/>
  <c r="D51" i="119"/>
  <c r="F51" i="119" s="1"/>
  <c r="B65" i="119"/>
  <c r="B71" i="119" s="1"/>
  <c r="G56" i="110"/>
  <c r="C10" i="143" s="1"/>
  <c r="H10" i="143" s="1"/>
  <c r="G56" i="111"/>
  <c r="L56" i="111" s="1"/>
  <c r="G55" i="111"/>
  <c r="G58" i="112"/>
  <c r="L58" i="112" s="1"/>
  <c r="G56" i="112"/>
  <c r="L56" i="112" s="1"/>
  <c r="G55" i="112"/>
  <c r="G58" i="113"/>
  <c r="L58" i="113" s="1"/>
  <c r="G56" i="114"/>
  <c r="C14" i="143" s="1"/>
  <c r="H14" i="143" s="1"/>
  <c r="G55" i="114"/>
  <c r="G58" i="121"/>
  <c r="L58" i="121" s="1"/>
  <c r="X75" i="121"/>
  <c r="X75" i="124"/>
  <c r="X75" i="126"/>
  <c r="G58" i="127"/>
  <c r="L58" i="127" s="1"/>
  <c r="G58" i="128"/>
  <c r="L58" i="128" s="1"/>
  <c r="G55" i="134"/>
  <c r="G54" i="134"/>
  <c r="G49" i="139"/>
  <c r="L49" i="139" s="1"/>
  <c r="G48" i="139"/>
  <c r="G58" i="114"/>
  <c r="L58" i="114" s="1"/>
  <c r="D51" i="114"/>
  <c r="F51" i="114" s="1"/>
  <c r="B65" i="114"/>
  <c r="B71" i="114" s="1"/>
  <c r="D51" i="113"/>
  <c r="F51" i="113" s="1"/>
  <c r="D51" i="111"/>
  <c r="F51" i="111" s="1"/>
  <c r="B65" i="111"/>
  <c r="B71" i="111" s="1"/>
  <c r="G58" i="111"/>
  <c r="L58" i="111" s="1"/>
  <c r="D51" i="110"/>
  <c r="F51" i="110" s="1"/>
  <c r="G56" i="139"/>
  <c r="C39" i="143" s="1"/>
  <c r="H39" i="143" s="1"/>
  <c r="G54" i="139"/>
  <c r="G53" i="139"/>
  <c r="X75" i="139"/>
  <c r="D50" i="139"/>
  <c r="F50" i="139" s="1"/>
  <c r="G47" i="139"/>
  <c r="D51" i="139"/>
  <c r="F51" i="139" s="1"/>
  <c r="B65" i="139"/>
  <c r="G51" i="139"/>
  <c r="C39" i="141" s="1"/>
  <c r="G56" i="138"/>
  <c r="C38" i="143" s="1"/>
  <c r="H38" i="143" s="1"/>
  <c r="G54" i="138"/>
  <c r="G53" i="138"/>
  <c r="L53" i="138" s="1"/>
  <c r="X75" i="138"/>
  <c r="G50" i="138"/>
  <c r="B38" i="141" s="1"/>
  <c r="G49" i="138"/>
  <c r="B38" i="143" s="1"/>
  <c r="G48" i="138"/>
  <c r="B38" i="142" s="1"/>
  <c r="G47" i="138"/>
  <c r="G56" i="123"/>
  <c r="C23" i="143" s="1"/>
  <c r="H23" i="143" s="1"/>
  <c r="G55" i="130"/>
  <c r="G54" i="130"/>
  <c r="X75" i="135"/>
  <c r="G49" i="136"/>
  <c r="B36" i="143" s="1"/>
  <c r="G48" i="136"/>
  <c r="L48" i="136" s="1"/>
  <c r="G58" i="139"/>
  <c r="L58" i="139" s="1"/>
  <c r="G54" i="117"/>
  <c r="X75" i="117"/>
  <c r="G58" i="120"/>
  <c r="L58" i="120" s="1"/>
  <c r="G55" i="120"/>
  <c r="G58" i="125"/>
  <c r="L58" i="125" s="1"/>
  <c r="X75" i="125"/>
  <c r="G58" i="126"/>
  <c r="L58" i="126" s="1"/>
  <c r="G56" i="126"/>
  <c r="L56" i="126" s="1"/>
  <c r="G54" i="126"/>
  <c r="G53" i="126"/>
  <c r="G55" i="129"/>
  <c r="G54" i="129"/>
  <c r="G58" i="138"/>
  <c r="L58" i="138" s="1"/>
  <c r="G54" i="137"/>
  <c r="G53" i="137"/>
  <c r="X75" i="137"/>
  <c r="G49" i="137"/>
  <c r="B37" i="143" s="1"/>
  <c r="G48" i="137"/>
  <c r="G47" i="137"/>
  <c r="G50" i="136"/>
  <c r="L50" i="136" s="1"/>
  <c r="G47" i="136"/>
  <c r="L47" i="136" s="1"/>
  <c r="G56" i="136"/>
  <c r="L56" i="136" s="1"/>
  <c r="G54" i="136"/>
  <c r="G53" i="136"/>
  <c r="L53" i="136" s="1"/>
  <c r="D50" i="135"/>
  <c r="F50" i="135" s="1"/>
  <c r="B65" i="135"/>
  <c r="G55" i="133"/>
  <c r="G54" i="133"/>
  <c r="G53" i="133"/>
  <c r="G55" i="131"/>
  <c r="G54" i="131"/>
  <c r="G53" i="131"/>
  <c r="D50" i="130"/>
  <c r="F50" i="130" s="1"/>
  <c r="B65" i="130"/>
  <c r="B71" i="130" s="1"/>
  <c r="D50" i="129"/>
  <c r="F50" i="129" s="1"/>
  <c r="B65" i="129"/>
  <c r="B71" i="129" s="1"/>
  <c r="G54" i="128"/>
  <c r="G53" i="128"/>
  <c r="C28" i="140" s="1"/>
  <c r="H28" i="140" s="1"/>
  <c r="X75" i="128"/>
  <c r="G49" i="128"/>
  <c r="B28" i="143" s="1"/>
  <c r="G48" i="128"/>
  <c r="G47" i="128"/>
  <c r="G54" i="127"/>
  <c r="G53" i="127"/>
  <c r="L53" i="127" s="1"/>
  <c r="X75" i="127"/>
  <c r="G50" i="127"/>
  <c r="B27" i="141" s="1"/>
  <c r="G49" i="127"/>
  <c r="L49" i="127" s="1"/>
  <c r="G48" i="127"/>
  <c r="L48" i="127" s="1"/>
  <c r="G47" i="127"/>
  <c r="B27" i="140" s="1"/>
  <c r="G50" i="126"/>
  <c r="L50" i="126" s="1"/>
  <c r="G49" i="126"/>
  <c r="L49" i="126" s="1"/>
  <c r="G48" i="126"/>
  <c r="L48" i="126" s="1"/>
  <c r="G47" i="126"/>
  <c r="B26" i="140" s="1"/>
  <c r="G58" i="110"/>
  <c r="L58" i="110" s="1"/>
  <c r="G55" i="110"/>
  <c r="G54" i="110"/>
  <c r="G53" i="110"/>
  <c r="G49" i="111"/>
  <c r="L49" i="111" s="1"/>
  <c r="G48" i="111"/>
  <c r="G55" i="113"/>
  <c r="G54" i="113"/>
  <c r="G58" i="117"/>
  <c r="L58" i="117" s="1"/>
  <c r="G56" i="117"/>
  <c r="C17" i="143" s="1"/>
  <c r="H17" i="143" s="1"/>
  <c r="G55" i="117"/>
  <c r="G48" i="120"/>
  <c r="G58" i="123"/>
  <c r="L58" i="123" s="1"/>
  <c r="X75" i="123"/>
  <c r="G58" i="124"/>
  <c r="L58" i="124" s="1"/>
  <c r="G55" i="126"/>
  <c r="L55" i="126" s="1"/>
  <c r="G55" i="127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C31" i="34" s="1"/>
  <c r="H31" i="34" s="1"/>
  <c r="X63" i="131"/>
  <c r="X69" i="131"/>
  <c r="AB98" i="131"/>
  <c r="G56" i="132"/>
  <c r="C32" i="143" s="1"/>
  <c r="H32" i="143" s="1"/>
  <c r="X63" i="132"/>
  <c r="X69" i="132"/>
  <c r="AB98" i="132"/>
  <c r="G56" i="133"/>
  <c r="L56" i="133" s="1"/>
  <c r="G52" i="133"/>
  <c r="C33" i="34" s="1"/>
  <c r="H33" i="34" s="1"/>
  <c r="X63" i="133"/>
  <c r="X69" i="133"/>
  <c r="AB98" i="133"/>
  <c r="G56" i="134"/>
  <c r="C34" i="143" s="1"/>
  <c r="H34" i="143" s="1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G55" i="139"/>
  <c r="L55" i="139" s="1"/>
  <c r="G58" i="115"/>
  <c r="L58" i="115" s="1"/>
  <c r="G56" i="115"/>
  <c r="C15" i="143" s="1"/>
  <c r="H15" i="143" s="1"/>
  <c r="G55" i="115"/>
  <c r="G55" i="116"/>
  <c r="G54" i="116"/>
  <c r="G53" i="121"/>
  <c r="G55" i="125"/>
  <c r="G54" i="125"/>
  <c r="G53" i="125"/>
  <c r="G49" i="125"/>
  <c r="L49" i="125" s="1"/>
  <c r="G48" i="125"/>
  <c r="G47" i="125"/>
  <c r="B25" i="140" s="1"/>
  <c r="G56" i="124"/>
  <c r="C24" i="143" s="1"/>
  <c r="H24" i="143" s="1"/>
  <c r="G55" i="124"/>
  <c r="G54" i="124"/>
  <c r="G53" i="124"/>
  <c r="G50" i="124"/>
  <c r="B24" i="141" s="1"/>
  <c r="G49" i="124"/>
  <c r="L49" i="124" s="1"/>
  <c r="G48" i="124"/>
  <c r="L48" i="124" s="1"/>
  <c r="G47" i="124"/>
  <c r="G51" i="123"/>
  <c r="L51" i="123" s="1"/>
  <c r="G55" i="123"/>
  <c r="G54" i="123"/>
  <c r="G53" i="123"/>
  <c r="G50" i="123"/>
  <c r="L50" i="123" s="1"/>
  <c r="G49" i="123"/>
  <c r="B23" i="143" s="1"/>
  <c r="G48" i="123"/>
  <c r="G47" i="123"/>
  <c r="B23" i="140" s="1"/>
  <c r="G55" i="122"/>
  <c r="G54" i="122"/>
  <c r="G53" i="122"/>
  <c r="G49" i="122"/>
  <c r="L49" i="122" s="1"/>
  <c r="G48" i="122"/>
  <c r="B22" i="142" s="1"/>
  <c r="G47" i="122"/>
  <c r="B65" i="122"/>
  <c r="B71" i="122" s="1"/>
  <c r="G56" i="121"/>
  <c r="C21" i="143" s="1"/>
  <c r="H21" i="143" s="1"/>
  <c r="G55" i="121"/>
  <c r="G49" i="121"/>
  <c r="B21" i="143" s="1"/>
  <c r="G48" i="121"/>
  <c r="G47" i="121"/>
  <c r="B65" i="121"/>
  <c r="B71" i="121" s="1"/>
  <c r="D50" i="120"/>
  <c r="F50" i="120" s="1"/>
  <c r="B65" i="120"/>
  <c r="B71" i="120" s="1"/>
  <c r="G53" i="120"/>
  <c r="X75" i="120"/>
  <c r="G49" i="120"/>
  <c r="B20" i="143" s="1"/>
  <c r="G47" i="120"/>
  <c r="L47" i="120" s="1"/>
  <c r="G53" i="119"/>
  <c r="L53" i="119" s="1"/>
  <c r="X75" i="119"/>
  <c r="G50" i="119"/>
  <c r="B19" i="141" s="1"/>
  <c r="G49" i="119"/>
  <c r="L49" i="119" s="1"/>
  <c r="G48" i="119"/>
  <c r="G47" i="119"/>
  <c r="L47" i="119" s="1"/>
  <c r="G56" i="119"/>
  <c r="C19" i="143" s="1"/>
  <c r="H19" i="143" s="1"/>
  <c r="G55" i="119"/>
  <c r="G53" i="118"/>
  <c r="X75" i="118"/>
  <c r="G50" i="118"/>
  <c r="L50" i="118" s="1"/>
  <c r="G49" i="118"/>
  <c r="L49" i="118" s="1"/>
  <c r="G48" i="118"/>
  <c r="L48" i="118" s="1"/>
  <c r="G47" i="118"/>
  <c r="B18" i="140" s="1"/>
  <c r="D50" i="117"/>
  <c r="F50" i="117" s="1"/>
  <c r="B65" i="117"/>
  <c r="B71" i="117" s="1"/>
  <c r="G53" i="117"/>
  <c r="L53" i="117" s="1"/>
  <c r="G49" i="117"/>
  <c r="L49" i="117" s="1"/>
  <c r="G48" i="117"/>
  <c r="L48" i="117" s="1"/>
  <c r="G47" i="117"/>
  <c r="G53" i="116"/>
  <c r="L53" i="116" s="1"/>
  <c r="X75" i="116"/>
  <c r="G50" i="116"/>
  <c r="B16" i="141" s="1"/>
  <c r="G49" i="116"/>
  <c r="B16" i="143" s="1"/>
  <c r="G48" i="116"/>
  <c r="G47" i="116"/>
  <c r="G53" i="115"/>
  <c r="C15" i="140" s="1"/>
  <c r="H15" i="140" s="1"/>
  <c r="X75" i="115"/>
  <c r="G50" i="115"/>
  <c r="B15" i="141" s="1"/>
  <c r="G49" i="115"/>
  <c r="L49" i="115" s="1"/>
  <c r="G48" i="115"/>
  <c r="G47" i="115"/>
  <c r="B15" i="140" s="1"/>
  <c r="G53" i="114"/>
  <c r="X75" i="114"/>
  <c r="G50" i="114"/>
  <c r="B14" i="141" s="1"/>
  <c r="G49" i="114"/>
  <c r="B14" i="143" s="1"/>
  <c r="G48" i="114"/>
  <c r="G47" i="114"/>
  <c r="L47" i="114" s="1"/>
  <c r="G53" i="113"/>
  <c r="C13" i="140" s="1"/>
  <c r="H13" i="140" s="1"/>
  <c r="X75" i="113"/>
  <c r="G49" i="113"/>
  <c r="L49" i="113" s="1"/>
  <c r="G48" i="113"/>
  <c r="B13" i="142" s="1"/>
  <c r="G47" i="113"/>
  <c r="B13" i="140" s="1"/>
  <c r="G50" i="113"/>
  <c r="B13" i="141" s="1"/>
  <c r="G51" i="112"/>
  <c r="C12" i="141" s="1"/>
  <c r="G53" i="112"/>
  <c r="L53" i="112" s="1"/>
  <c r="X75" i="112"/>
  <c r="G50" i="112"/>
  <c r="L50" i="112" s="1"/>
  <c r="G49" i="112"/>
  <c r="B12" i="143" s="1"/>
  <c r="G48" i="112"/>
  <c r="G47" i="112"/>
  <c r="B12" i="140" s="1"/>
  <c r="G53" i="111"/>
  <c r="L53" i="111" s="1"/>
  <c r="G47" i="111"/>
  <c r="B11" i="140" s="1"/>
  <c r="G50" i="111"/>
  <c r="L50" i="111" s="1"/>
  <c r="G50" i="110"/>
  <c r="B10" i="141" s="1"/>
  <c r="G49" i="110"/>
  <c r="L49" i="110" s="1"/>
  <c r="G48" i="110"/>
  <c r="G47" i="110"/>
  <c r="L47" i="110" s="1"/>
  <c r="L53" i="110"/>
  <c r="C10" i="140"/>
  <c r="H10" i="140" s="1"/>
  <c r="C11" i="140"/>
  <c r="H11" i="140" s="1"/>
  <c r="L53" i="113"/>
  <c r="L53" i="114"/>
  <c r="C14" i="140"/>
  <c r="H14" i="140" s="1"/>
  <c r="C16" i="140"/>
  <c r="H16" i="140" s="1"/>
  <c r="C17" i="140"/>
  <c r="H17" i="140" s="1"/>
  <c r="L53" i="118"/>
  <c r="C18" i="140"/>
  <c r="H18" i="140" s="1"/>
  <c r="C19" i="140"/>
  <c r="H19" i="140" s="1"/>
  <c r="L53" i="120"/>
  <c r="C20" i="140"/>
  <c r="H20" i="140" s="1"/>
  <c r="L53" i="121"/>
  <c r="C21" i="140"/>
  <c r="H21" i="140" s="1"/>
  <c r="L53" i="122"/>
  <c r="C22" i="140"/>
  <c r="H22" i="140" s="1"/>
  <c r="L53" i="123"/>
  <c r="C23" i="140"/>
  <c r="H23" i="140" s="1"/>
  <c r="L53" i="124"/>
  <c r="C24" i="140"/>
  <c r="H24" i="140" s="1"/>
  <c r="L53" i="125"/>
  <c r="C25" i="140"/>
  <c r="H25" i="140" s="1"/>
  <c r="L53" i="126"/>
  <c r="C26" i="140"/>
  <c r="H26" i="140" s="1"/>
  <c r="C27" i="140"/>
  <c r="H27" i="140" s="1"/>
  <c r="L53" i="128"/>
  <c r="L54" i="129"/>
  <c r="C29" i="142"/>
  <c r="H29" i="142" s="1"/>
  <c r="L54" i="130"/>
  <c r="C30" i="142"/>
  <c r="H30" i="142" s="1"/>
  <c r="L54" i="131"/>
  <c r="C31" i="142"/>
  <c r="H31" i="142" s="1"/>
  <c r="L54" i="132"/>
  <c r="C32" i="142"/>
  <c r="H32" i="142" s="1"/>
  <c r="L54" i="133"/>
  <c r="C33" i="142"/>
  <c r="H33" i="142" s="1"/>
  <c r="L54" i="134"/>
  <c r="C34" i="142"/>
  <c r="H34" i="142" s="1"/>
  <c r="C35" i="142"/>
  <c r="H35" i="142" s="1"/>
  <c r="L53" i="137"/>
  <c r="C37" i="140"/>
  <c r="H37" i="140" s="1"/>
  <c r="C38" i="140"/>
  <c r="H38" i="140" s="1"/>
  <c r="L53" i="139"/>
  <c r="C39" i="140"/>
  <c r="H39" i="140" s="1"/>
  <c r="L55" i="110"/>
  <c r="D10" i="141"/>
  <c r="J10" i="141" s="1"/>
  <c r="L55" i="111"/>
  <c r="D11" i="141"/>
  <c r="J11" i="141" s="1"/>
  <c r="L55" i="112"/>
  <c r="D12" i="141"/>
  <c r="J12" i="141" s="1"/>
  <c r="L55" i="113"/>
  <c r="D13" i="141"/>
  <c r="J13" i="141" s="1"/>
  <c r="L55" i="114"/>
  <c r="D14" i="141"/>
  <c r="J14" i="141" s="1"/>
  <c r="L55" i="115"/>
  <c r="D15" i="141"/>
  <c r="J15" i="141" s="1"/>
  <c r="L55" i="116"/>
  <c r="D16" i="141"/>
  <c r="J16" i="141" s="1"/>
  <c r="L55" i="117"/>
  <c r="D17" i="141"/>
  <c r="J17" i="141" s="1"/>
  <c r="L55" i="118"/>
  <c r="D18" i="141"/>
  <c r="J18" i="141" s="1"/>
  <c r="L55" i="119"/>
  <c r="D19" i="141"/>
  <c r="J19" i="141" s="1"/>
  <c r="L55" i="120"/>
  <c r="D20" i="141"/>
  <c r="J20" i="141" s="1"/>
  <c r="L55" i="121"/>
  <c r="D21" i="141"/>
  <c r="J21" i="141" s="1"/>
  <c r="L55" i="122"/>
  <c r="D22" i="141"/>
  <c r="J22" i="141" s="1"/>
  <c r="L55" i="123"/>
  <c r="D23" i="141"/>
  <c r="J23" i="141" s="1"/>
  <c r="L55" i="124"/>
  <c r="D24" i="141"/>
  <c r="J24" i="141" s="1"/>
  <c r="L55" i="125"/>
  <c r="D25" i="141"/>
  <c r="J25" i="141" s="1"/>
  <c r="D26" i="141"/>
  <c r="J26" i="141" s="1"/>
  <c r="L55" i="127"/>
  <c r="D27" i="141"/>
  <c r="J27" i="141" s="1"/>
  <c r="D28" i="141"/>
  <c r="J28" i="141" s="1"/>
  <c r="L56" i="131"/>
  <c r="D36" i="141"/>
  <c r="J36" i="141" s="1"/>
  <c r="D37" i="141"/>
  <c r="J37" i="141" s="1"/>
  <c r="L55" i="138"/>
  <c r="D38" i="141"/>
  <c r="J38" i="141" s="1"/>
  <c r="D39" i="141"/>
  <c r="J39" i="141" s="1"/>
  <c r="L54" i="121"/>
  <c r="C21" i="142"/>
  <c r="H21" i="142" s="1"/>
  <c r="L48" i="121"/>
  <c r="B21" i="142"/>
  <c r="L47" i="121"/>
  <c r="B21" i="140"/>
  <c r="L54" i="122"/>
  <c r="C22" i="142"/>
  <c r="H22" i="142" s="1"/>
  <c r="L48" i="122"/>
  <c r="L47" i="122"/>
  <c r="B22" i="140"/>
  <c r="L54" i="123"/>
  <c r="C23" i="142"/>
  <c r="H23" i="142" s="1"/>
  <c r="L48" i="123"/>
  <c r="B23" i="142"/>
  <c r="L47" i="123"/>
  <c r="L54" i="124"/>
  <c r="C24" i="142"/>
  <c r="H24" i="142" s="1"/>
  <c r="L47" i="124"/>
  <c r="B24" i="140"/>
  <c r="L54" i="125"/>
  <c r="C25" i="142"/>
  <c r="H25" i="142" s="1"/>
  <c r="L48" i="125"/>
  <c r="B25" i="142"/>
  <c r="L47" i="125"/>
  <c r="L54" i="126"/>
  <c r="C26" i="142"/>
  <c r="H26" i="142" s="1"/>
  <c r="B26" i="142"/>
  <c r="L47" i="126"/>
  <c r="L54" i="127"/>
  <c r="C27" i="142"/>
  <c r="H27" i="142" s="1"/>
  <c r="B27" i="142"/>
  <c r="L47" i="127"/>
  <c r="L54" i="128"/>
  <c r="C28" i="142"/>
  <c r="H28" i="142" s="1"/>
  <c r="L48" i="128"/>
  <c r="B28" i="142"/>
  <c r="L47" i="128"/>
  <c r="B28" i="140"/>
  <c r="G58" i="129"/>
  <c r="L58" i="129" s="1"/>
  <c r="G49" i="129"/>
  <c r="G48" i="129"/>
  <c r="G47" i="129"/>
  <c r="X75" i="129"/>
  <c r="G58" i="130"/>
  <c r="L58" i="130" s="1"/>
  <c r="G49" i="130"/>
  <c r="G48" i="130"/>
  <c r="G47" i="130"/>
  <c r="X75" i="130"/>
  <c r="G58" i="131"/>
  <c r="L58" i="131" s="1"/>
  <c r="G50" i="131"/>
  <c r="G49" i="131"/>
  <c r="G48" i="131"/>
  <c r="G47" i="131"/>
  <c r="X75" i="131"/>
  <c r="G58" i="132"/>
  <c r="L58" i="132" s="1"/>
  <c r="G50" i="132"/>
  <c r="G49" i="132"/>
  <c r="G48" i="132"/>
  <c r="G47" i="132"/>
  <c r="X75" i="132"/>
  <c r="G58" i="133"/>
  <c r="L58" i="133" s="1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49" i="135"/>
  <c r="G48" i="135"/>
  <c r="G47" i="135"/>
  <c r="L54" i="136"/>
  <c r="C36" i="142"/>
  <c r="H36" i="142" s="1"/>
  <c r="B36" i="142"/>
  <c r="B36" i="140"/>
  <c r="C37" i="143"/>
  <c r="H37" i="143" s="1"/>
  <c r="L54" i="137"/>
  <c r="C37" i="142"/>
  <c r="H37" i="142" s="1"/>
  <c r="L48" i="137"/>
  <c r="B37" i="142"/>
  <c r="L47" i="137"/>
  <c r="B37" i="140"/>
  <c r="L56" i="138"/>
  <c r="L54" i="138"/>
  <c r="C38" i="142"/>
  <c r="H38" i="142" s="1"/>
  <c r="L48" i="138"/>
  <c r="L47" i="138"/>
  <c r="B38" i="140"/>
  <c r="L54" i="139"/>
  <c r="C39" i="142"/>
  <c r="H39" i="142" s="1"/>
  <c r="L48" i="139"/>
  <c r="B39" i="142"/>
  <c r="L47" i="139"/>
  <c r="B39" i="140"/>
  <c r="L56" i="110"/>
  <c r="L54" i="110"/>
  <c r="C10" i="142"/>
  <c r="H10" i="142" s="1"/>
  <c r="L48" i="110"/>
  <c r="B10" i="142"/>
  <c r="L54" i="111"/>
  <c r="C11" i="142"/>
  <c r="H11" i="142" s="1"/>
  <c r="L48" i="111"/>
  <c r="B11" i="142"/>
  <c r="L54" i="112"/>
  <c r="C12" i="142"/>
  <c r="H12" i="142" s="1"/>
  <c r="L48" i="112"/>
  <c r="B12" i="142"/>
  <c r="L54" i="113"/>
  <c r="C13" i="142"/>
  <c r="H13" i="142" s="1"/>
  <c r="L48" i="113"/>
  <c r="L47" i="113"/>
  <c r="L56" i="114"/>
  <c r="L54" i="114"/>
  <c r="C14" i="142"/>
  <c r="H14" i="142" s="1"/>
  <c r="L48" i="114"/>
  <c r="B14" i="142"/>
  <c r="B14" i="140"/>
  <c r="L54" i="115"/>
  <c r="C15" i="142"/>
  <c r="H15" i="142" s="1"/>
  <c r="L48" i="115"/>
  <c r="B15" i="142"/>
  <c r="L47" i="115"/>
  <c r="L54" i="116"/>
  <c r="C16" i="142"/>
  <c r="H16" i="142" s="1"/>
  <c r="L48" i="116"/>
  <c r="B16" i="142"/>
  <c r="L47" i="116"/>
  <c r="B16" i="140"/>
  <c r="L54" i="117"/>
  <c r="C17" i="142"/>
  <c r="H17" i="142" s="1"/>
  <c r="B17" i="142"/>
  <c r="L47" i="117"/>
  <c r="B17" i="140"/>
  <c r="L54" i="118"/>
  <c r="C18" i="142"/>
  <c r="H18" i="142" s="1"/>
  <c r="B18" i="142"/>
  <c r="L47" i="118"/>
  <c r="L56" i="119"/>
  <c r="L54" i="119"/>
  <c r="C19" i="142"/>
  <c r="H19" i="142" s="1"/>
  <c r="L48" i="119"/>
  <c r="B19" i="142"/>
  <c r="B19" i="140"/>
  <c r="L54" i="120"/>
  <c r="C20" i="142"/>
  <c r="H20" i="142" s="1"/>
  <c r="L48" i="120"/>
  <c r="B20" i="142"/>
  <c r="B20" i="140"/>
  <c r="G52" i="110"/>
  <c r="C10" i="34" s="1"/>
  <c r="H10" i="34" s="1"/>
  <c r="X63" i="110"/>
  <c r="X69" i="110"/>
  <c r="AB98" i="110"/>
  <c r="G52" i="111"/>
  <c r="C11" i="34" s="1"/>
  <c r="H11" i="34" s="1"/>
  <c r="X63" i="111"/>
  <c r="X69" i="111"/>
  <c r="AB98" i="111"/>
  <c r="G52" i="112"/>
  <c r="X63" i="112"/>
  <c r="X69" i="112"/>
  <c r="AB98" i="112"/>
  <c r="G52" i="113"/>
  <c r="H69" i="113" s="1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X63" i="117"/>
  <c r="X69" i="117"/>
  <c r="AB98" i="117"/>
  <c r="G52" i="118"/>
  <c r="X63" i="118"/>
  <c r="X69" i="118"/>
  <c r="AB98" i="118"/>
  <c r="G52" i="119"/>
  <c r="C19" i="34" s="1"/>
  <c r="H19" i="34" s="1"/>
  <c r="X63" i="119"/>
  <c r="X69" i="119"/>
  <c r="AB98" i="119"/>
  <c r="G52" i="120"/>
  <c r="X63" i="120"/>
  <c r="X69" i="120"/>
  <c r="AB98" i="120"/>
  <c r="G52" i="121"/>
  <c r="X63" i="121"/>
  <c r="X69" i="121"/>
  <c r="AB98" i="121"/>
  <c r="G52" i="122"/>
  <c r="X63" i="122"/>
  <c r="X69" i="122"/>
  <c r="AB98" i="122"/>
  <c r="G52" i="123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X63" i="128"/>
  <c r="X69" i="128"/>
  <c r="AB98" i="128"/>
  <c r="L55" i="129"/>
  <c r="D29" i="141"/>
  <c r="J29" i="141" s="1"/>
  <c r="L53" i="129"/>
  <c r="C29" i="140"/>
  <c r="H29" i="140" s="1"/>
  <c r="L55" i="130"/>
  <c r="D30" i="141"/>
  <c r="J30" i="141" s="1"/>
  <c r="L53" i="130"/>
  <c r="C30" i="140"/>
  <c r="H30" i="140" s="1"/>
  <c r="L55" i="131"/>
  <c r="D31" i="141"/>
  <c r="J31" i="141" s="1"/>
  <c r="L53" i="131"/>
  <c r="C31" i="140"/>
  <c r="H31" i="140" s="1"/>
  <c r="L55" i="132"/>
  <c r="D32" i="141"/>
  <c r="J32" i="141" s="1"/>
  <c r="L53" i="132"/>
  <c r="C32" i="140"/>
  <c r="H32" i="140" s="1"/>
  <c r="L55" i="133"/>
  <c r="D33" i="141"/>
  <c r="J33" i="141" s="1"/>
  <c r="L53" i="133"/>
  <c r="C33" i="140"/>
  <c r="H33" i="140" s="1"/>
  <c r="L55" i="134"/>
  <c r="D34" i="141"/>
  <c r="J34" i="141" s="1"/>
  <c r="L53" i="134"/>
  <c r="C34" i="140"/>
  <c r="H34" i="140" s="1"/>
  <c r="L55" i="135"/>
  <c r="D35" i="141"/>
  <c r="J35" i="141" s="1"/>
  <c r="L53" i="135"/>
  <c r="C35" i="140"/>
  <c r="H35" i="140" s="1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G57" i="139"/>
  <c r="L57" i="139" s="1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F46" i="137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L52" i="136"/>
  <c r="G57" i="136"/>
  <c r="L57" i="136" s="1"/>
  <c r="F46" i="136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L52" i="135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G57" i="133"/>
  <c r="L57" i="133" s="1"/>
  <c r="F46" i="133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G57" i="127"/>
  <c r="L57" i="127" s="1"/>
  <c r="F46" i="127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F46" i="124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D61" i="123"/>
  <c r="F46" i="123"/>
  <c r="F61" i="123" s="1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G57" i="118"/>
  <c r="L57" i="118" s="1"/>
  <c r="F46" i="118"/>
  <c r="AA21" i="118"/>
  <c r="AA20" i="118"/>
  <c r="AA19" i="118"/>
  <c r="AA18" i="118"/>
  <c r="AA17" i="118"/>
  <c r="AA16" i="118"/>
  <c r="AA15" i="118"/>
  <c r="AA14" i="118"/>
  <c r="AA13" i="118"/>
  <c r="X42" i="118"/>
  <c r="W42" i="118"/>
  <c r="Z12" i="118"/>
  <c r="Z42" i="118" s="1"/>
  <c r="V42" i="118"/>
  <c r="Y12" i="118"/>
  <c r="Y42" i="118" s="1"/>
  <c r="U42" i="118"/>
  <c r="AA12" i="118"/>
  <c r="V63" i="118"/>
  <c r="Y43" i="118"/>
  <c r="Y63" i="118" s="1"/>
  <c r="W63" i="118"/>
  <c r="Z43" i="118"/>
  <c r="Z63" i="118" s="1"/>
  <c r="V69" i="118"/>
  <c r="Y64" i="118"/>
  <c r="Y69" i="118" s="1"/>
  <c r="W69" i="118"/>
  <c r="Z64" i="118"/>
  <c r="Z69" i="118" s="1"/>
  <c r="V75" i="118"/>
  <c r="Y70" i="118"/>
  <c r="Y75" i="118" s="1"/>
  <c r="W75" i="118"/>
  <c r="Z70" i="118"/>
  <c r="Z75" i="118" s="1"/>
  <c r="AA22" i="118"/>
  <c r="AA23" i="118"/>
  <c r="AA24" i="118"/>
  <c r="AA25" i="118"/>
  <c r="AA26" i="118"/>
  <c r="AA27" i="118"/>
  <c r="AA28" i="118"/>
  <c r="AA29" i="118"/>
  <c r="AA30" i="118"/>
  <c r="AA31" i="118"/>
  <c r="AA32" i="118"/>
  <c r="AA33" i="118"/>
  <c r="AA34" i="118"/>
  <c r="AA35" i="118"/>
  <c r="AA36" i="118"/>
  <c r="AA37" i="118"/>
  <c r="AA38" i="118"/>
  <c r="AA39" i="118"/>
  <c r="AA40" i="118"/>
  <c r="AA41" i="118"/>
  <c r="U63" i="118"/>
  <c r="AA43" i="118"/>
  <c r="AA44" i="118"/>
  <c r="AA45" i="118"/>
  <c r="AA46" i="118"/>
  <c r="AA47" i="118"/>
  <c r="AA48" i="118"/>
  <c r="AA49" i="118"/>
  <c r="AA50" i="118"/>
  <c r="AA51" i="118"/>
  <c r="AA52" i="118"/>
  <c r="AA53" i="118"/>
  <c r="AA54" i="118"/>
  <c r="AA55" i="118"/>
  <c r="AA56" i="118"/>
  <c r="AA57" i="118"/>
  <c r="AA58" i="118"/>
  <c r="AA59" i="118"/>
  <c r="AA60" i="118"/>
  <c r="AA61" i="118"/>
  <c r="AA62" i="118"/>
  <c r="U69" i="118"/>
  <c r="AA64" i="118"/>
  <c r="AA65" i="118"/>
  <c r="AA66" i="118"/>
  <c r="AA67" i="118"/>
  <c r="AA68" i="118"/>
  <c r="U75" i="118"/>
  <c r="AA70" i="118"/>
  <c r="AA71" i="118"/>
  <c r="AA72" i="118"/>
  <c r="AA73" i="118"/>
  <c r="AA74" i="118"/>
  <c r="AA98" i="118"/>
  <c r="AC78" i="118"/>
  <c r="AC79" i="118"/>
  <c r="AC80" i="118"/>
  <c r="AC81" i="118"/>
  <c r="AC82" i="118"/>
  <c r="AC83" i="118"/>
  <c r="AC84" i="118"/>
  <c r="AC85" i="118"/>
  <c r="AC86" i="118"/>
  <c r="AC87" i="118"/>
  <c r="AC88" i="118"/>
  <c r="AC89" i="118"/>
  <c r="AC90" i="118"/>
  <c r="AC91" i="118"/>
  <c r="AC92" i="118"/>
  <c r="AC93" i="118"/>
  <c r="AC94" i="118"/>
  <c r="AC95" i="118"/>
  <c r="AC96" i="118"/>
  <c r="AC97" i="118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F46" i="116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F46" i="115"/>
  <c r="F61" i="115" s="1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G57" i="114"/>
  <c r="L57" i="114" s="1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F46" i="112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Y42" i="111" s="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L42" i="40"/>
  <c r="L43" i="40"/>
  <c r="L44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H51" i="40"/>
  <c r="H46" i="40"/>
  <c r="D49" i="40"/>
  <c r="F49" i="40" s="1"/>
  <c r="G49" i="40" s="1"/>
  <c r="F56" i="40"/>
  <c r="B54" i="40"/>
  <c r="R69" i="40"/>
  <c r="T63" i="40"/>
  <c r="B53" i="40" s="1"/>
  <c r="F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T82" i="40" s="1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B48" i="40"/>
  <c r="J48" i="40" s="1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J40" i="40" s="1"/>
  <c r="B38" i="40"/>
  <c r="J38" i="40" s="1"/>
  <c r="B43" i="40"/>
  <c r="B35" i="40"/>
  <c r="B34" i="40"/>
  <c r="J34" i="40" s="1"/>
  <c r="B32" i="40"/>
  <c r="J32" i="40" s="1"/>
  <c r="B30" i="40"/>
  <c r="J30" i="40" s="1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G56" i="120" l="1"/>
  <c r="L49" i="137"/>
  <c r="L56" i="121"/>
  <c r="C13" i="143"/>
  <c r="H13" i="143" s="1"/>
  <c r="L56" i="132"/>
  <c r="C32" i="34"/>
  <c r="H32" i="34" s="1"/>
  <c r="G51" i="125"/>
  <c r="C25" i="141" s="1"/>
  <c r="G51" i="111"/>
  <c r="L51" i="111" s="1"/>
  <c r="L56" i="139"/>
  <c r="D61" i="139"/>
  <c r="F61" i="137"/>
  <c r="G51" i="137"/>
  <c r="L51" i="137" s="1"/>
  <c r="C36" i="140"/>
  <c r="H36" i="140" s="1"/>
  <c r="L56" i="134"/>
  <c r="G51" i="130"/>
  <c r="C30" i="141" s="1"/>
  <c r="L56" i="123"/>
  <c r="G51" i="119"/>
  <c r="L51" i="119" s="1"/>
  <c r="F61" i="116"/>
  <c r="L56" i="128"/>
  <c r="C22" i="143"/>
  <c r="H22" i="143" s="1"/>
  <c r="L56" i="120"/>
  <c r="C20" i="143"/>
  <c r="H20" i="143" s="1"/>
  <c r="C16" i="143"/>
  <c r="H16" i="143" s="1"/>
  <c r="G51" i="114"/>
  <c r="F61" i="112"/>
  <c r="D61" i="112"/>
  <c r="L50" i="138"/>
  <c r="L49" i="138"/>
  <c r="D61" i="137"/>
  <c r="G50" i="137"/>
  <c r="L50" i="137" s="1"/>
  <c r="C12" i="140"/>
  <c r="H12" i="140" s="1"/>
  <c r="G51" i="136"/>
  <c r="C36" i="141" s="1"/>
  <c r="AA42" i="130"/>
  <c r="G51" i="127"/>
  <c r="C27" i="141" s="1"/>
  <c r="F61" i="124"/>
  <c r="D61" i="121"/>
  <c r="G50" i="121"/>
  <c r="L50" i="121" s="1"/>
  <c r="G51" i="120"/>
  <c r="C20" i="141" s="1"/>
  <c r="G51" i="118"/>
  <c r="C18" i="141" s="1"/>
  <c r="G50" i="117"/>
  <c r="L50" i="117" s="1"/>
  <c r="G51" i="117"/>
  <c r="L51" i="117" s="1"/>
  <c r="C17" i="34"/>
  <c r="H17" i="34" s="1"/>
  <c r="C12" i="143"/>
  <c r="H12" i="143" s="1"/>
  <c r="L49" i="116"/>
  <c r="D61" i="115"/>
  <c r="G51" i="115"/>
  <c r="C15" i="141" s="1"/>
  <c r="H74" i="110"/>
  <c r="B39" i="143"/>
  <c r="D39" i="143" s="1"/>
  <c r="L51" i="139"/>
  <c r="G51" i="135"/>
  <c r="C35" i="141" s="1"/>
  <c r="F61" i="134"/>
  <c r="F61" i="127"/>
  <c r="B24" i="142"/>
  <c r="L56" i="124"/>
  <c r="F61" i="119"/>
  <c r="L56" i="115"/>
  <c r="L49" i="114"/>
  <c r="D61" i="114"/>
  <c r="D61" i="136"/>
  <c r="C33" i="143"/>
  <c r="H33" i="143" s="1"/>
  <c r="F61" i="133"/>
  <c r="G51" i="133"/>
  <c r="L51" i="133" s="1"/>
  <c r="L56" i="129"/>
  <c r="L49" i="128"/>
  <c r="G51" i="128"/>
  <c r="L51" i="128" s="1"/>
  <c r="G50" i="128"/>
  <c r="B28" i="141" s="1"/>
  <c r="I28" i="141" s="1"/>
  <c r="D61" i="127"/>
  <c r="C26" i="143"/>
  <c r="H26" i="143" s="1"/>
  <c r="L51" i="125"/>
  <c r="L56" i="125"/>
  <c r="F61" i="125"/>
  <c r="G51" i="121"/>
  <c r="C21" i="141" s="1"/>
  <c r="L49" i="121"/>
  <c r="G50" i="122"/>
  <c r="F61" i="114"/>
  <c r="L50" i="114"/>
  <c r="F61" i="111"/>
  <c r="L56" i="130"/>
  <c r="B27" i="143"/>
  <c r="G27" i="143" s="1"/>
  <c r="C27" i="143"/>
  <c r="H27" i="143" s="1"/>
  <c r="L49" i="123"/>
  <c r="B22" i="143"/>
  <c r="G22" i="143" s="1"/>
  <c r="C18" i="143"/>
  <c r="H18" i="143" s="1"/>
  <c r="D61" i="118"/>
  <c r="B18" i="143"/>
  <c r="G18" i="143" s="1"/>
  <c r="L56" i="117"/>
  <c r="D61" i="116"/>
  <c r="G51" i="116"/>
  <c r="L51" i="116" s="1"/>
  <c r="L50" i="116"/>
  <c r="F61" i="110"/>
  <c r="L50" i="110"/>
  <c r="B10" i="143"/>
  <c r="G10" i="143" s="1"/>
  <c r="D61" i="138"/>
  <c r="F61" i="138"/>
  <c r="G51" i="138"/>
  <c r="L51" i="138" s="1"/>
  <c r="C36" i="143"/>
  <c r="H36" i="143" s="1"/>
  <c r="F61" i="136"/>
  <c r="L56" i="135"/>
  <c r="D61" i="132"/>
  <c r="B26" i="143"/>
  <c r="G26" i="143" s="1"/>
  <c r="B25" i="143"/>
  <c r="G25" i="143" s="1"/>
  <c r="D61" i="125"/>
  <c r="G50" i="125"/>
  <c r="L50" i="125" s="1"/>
  <c r="D61" i="124"/>
  <c r="G51" i="124"/>
  <c r="L51" i="124" s="1"/>
  <c r="L50" i="124"/>
  <c r="B24" i="143"/>
  <c r="G24" i="143" s="1"/>
  <c r="G51" i="122"/>
  <c r="L51" i="122" s="1"/>
  <c r="L51" i="112"/>
  <c r="F61" i="121"/>
  <c r="L49" i="120"/>
  <c r="F61" i="118"/>
  <c r="D61" i="119"/>
  <c r="B19" i="143"/>
  <c r="G19" i="143" s="1"/>
  <c r="B17" i="143"/>
  <c r="G17" i="143" s="1"/>
  <c r="B15" i="143"/>
  <c r="D15" i="143" s="1"/>
  <c r="L50" i="113"/>
  <c r="B13" i="143"/>
  <c r="D13" i="143" s="1"/>
  <c r="F61" i="113"/>
  <c r="G51" i="113"/>
  <c r="L51" i="113" s="1"/>
  <c r="L49" i="112"/>
  <c r="B11" i="143"/>
  <c r="G11" i="143" s="1"/>
  <c r="D61" i="111"/>
  <c r="C11" i="143"/>
  <c r="H11" i="143" s="1"/>
  <c r="B10" i="140"/>
  <c r="L49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L52" i="121"/>
  <c r="C16" i="34"/>
  <c r="H16" i="34" s="1"/>
  <c r="L52" i="116"/>
  <c r="D61" i="126"/>
  <c r="F61" i="126"/>
  <c r="G51" i="126"/>
  <c r="C26" i="141" s="1"/>
  <c r="B26" i="141"/>
  <c r="E26" i="141" s="1"/>
  <c r="C23" i="141"/>
  <c r="F61" i="122"/>
  <c r="D61" i="122"/>
  <c r="D61" i="120"/>
  <c r="L50" i="119"/>
  <c r="J71" i="119"/>
  <c r="G46" i="132"/>
  <c r="B32" i="34" s="1"/>
  <c r="G32" i="34" s="1"/>
  <c r="L52" i="112"/>
  <c r="L53" i="115"/>
  <c r="L50" i="115"/>
  <c r="D61" i="113"/>
  <c r="L47" i="112"/>
  <c r="D61" i="110"/>
  <c r="G51" i="110"/>
  <c r="G50" i="139"/>
  <c r="F61" i="139"/>
  <c r="L52" i="138"/>
  <c r="C28" i="34"/>
  <c r="H28" i="34" s="1"/>
  <c r="L52" i="128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20"/>
  <c r="L52" i="137"/>
  <c r="D61" i="135"/>
  <c r="J71" i="135"/>
  <c r="F61" i="135"/>
  <c r="L52" i="134"/>
  <c r="L52" i="133"/>
  <c r="G46" i="133"/>
  <c r="B33" i="34" s="1"/>
  <c r="G33" i="34" s="1"/>
  <c r="L52" i="131"/>
  <c r="H69" i="131"/>
  <c r="J71" i="131" s="1"/>
  <c r="D61" i="130"/>
  <c r="G50" i="130"/>
  <c r="L50" i="130" s="1"/>
  <c r="L52" i="130"/>
  <c r="H74" i="130"/>
  <c r="D61" i="129"/>
  <c r="F61" i="129"/>
  <c r="G50" i="129"/>
  <c r="L50" i="129" s="1"/>
  <c r="G46" i="129"/>
  <c r="B29" i="34" s="1"/>
  <c r="G29" i="34" s="1"/>
  <c r="G46" i="128"/>
  <c r="L50" i="127"/>
  <c r="G46" i="127"/>
  <c r="L46" i="127" s="1"/>
  <c r="G46" i="126"/>
  <c r="C18" i="34"/>
  <c r="H18" i="34" s="1"/>
  <c r="L52" i="118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B31" i="34" s="1"/>
  <c r="D31" i="34" s="1"/>
  <c r="H74" i="124"/>
  <c r="B23" i="141"/>
  <c r="E23" i="141" s="1"/>
  <c r="G46" i="123"/>
  <c r="G46" i="122"/>
  <c r="G46" i="121"/>
  <c r="L46" i="121" s="1"/>
  <c r="F61" i="120"/>
  <c r="G50" i="120"/>
  <c r="L50" i="120" s="1"/>
  <c r="G46" i="120"/>
  <c r="G46" i="119"/>
  <c r="B19" i="34" s="1"/>
  <c r="G19" i="34" s="1"/>
  <c r="L52" i="119"/>
  <c r="B18" i="141"/>
  <c r="E18" i="141" s="1"/>
  <c r="G46" i="118"/>
  <c r="F61" i="117"/>
  <c r="D61" i="117"/>
  <c r="G46" i="117"/>
  <c r="B17" i="34" s="1"/>
  <c r="D17" i="34" s="1"/>
  <c r="G46" i="116"/>
  <c r="G46" i="115"/>
  <c r="G46" i="114"/>
  <c r="B14" i="34" s="1"/>
  <c r="D14" i="34" s="1"/>
  <c r="L52" i="114"/>
  <c r="G46" i="113"/>
  <c r="B12" i="141"/>
  <c r="I12" i="141" s="1"/>
  <c r="G46" i="112"/>
  <c r="L46" i="112" s="1"/>
  <c r="L47" i="111"/>
  <c r="B11" i="141"/>
  <c r="E11" i="141" s="1"/>
  <c r="L52" i="111"/>
  <c r="G46" i="111"/>
  <c r="B11" i="34" s="1"/>
  <c r="G11" i="34" s="1"/>
  <c r="L52" i="110"/>
  <c r="G46" i="110"/>
  <c r="B10" i="34" s="1"/>
  <c r="D10" i="34" s="1"/>
  <c r="J35" i="40"/>
  <c r="F8" i="109"/>
  <c r="B58" i="40"/>
  <c r="J58" i="40" s="1"/>
  <c r="G20" i="140"/>
  <c r="D20" i="140"/>
  <c r="G20" i="142"/>
  <c r="D20" i="142"/>
  <c r="G20" i="143"/>
  <c r="D20" i="143"/>
  <c r="G19" i="140"/>
  <c r="D19" i="140"/>
  <c r="G19" i="142"/>
  <c r="D19" i="142"/>
  <c r="I19" i="141"/>
  <c r="E19" i="141"/>
  <c r="G18" i="140"/>
  <c r="D18" i="140"/>
  <c r="G18" i="142"/>
  <c r="D18" i="142"/>
  <c r="G17" i="140"/>
  <c r="D17" i="140"/>
  <c r="G17" i="142"/>
  <c r="D17" i="142"/>
  <c r="G16" i="140"/>
  <c r="D16" i="140"/>
  <c r="G16" i="142"/>
  <c r="D16" i="142"/>
  <c r="G16" i="143"/>
  <c r="I16" i="141"/>
  <c r="E16" i="141"/>
  <c r="G15" i="140"/>
  <c r="D15" i="140"/>
  <c r="G15" i="142"/>
  <c r="D15" i="142"/>
  <c r="I15" i="141"/>
  <c r="E15" i="141"/>
  <c r="G14" i="140"/>
  <c r="D14" i="140"/>
  <c r="G14" i="142"/>
  <c r="D14" i="142"/>
  <c r="G14" i="143"/>
  <c r="D14" i="143"/>
  <c r="I14" i="141"/>
  <c r="E14" i="141"/>
  <c r="G13" i="140"/>
  <c r="D13" i="140"/>
  <c r="G13" i="142"/>
  <c r="D13" i="142"/>
  <c r="I13" i="141"/>
  <c r="E13" i="141"/>
  <c r="G12" i="140"/>
  <c r="D12" i="140"/>
  <c r="G12" i="142"/>
  <c r="D12" i="142"/>
  <c r="G12" i="143"/>
  <c r="G11" i="140"/>
  <c r="D11" i="140"/>
  <c r="G11" i="142"/>
  <c r="D11" i="142"/>
  <c r="G10" i="140"/>
  <c r="D10" i="140"/>
  <c r="G10" i="142"/>
  <c r="D10" i="142"/>
  <c r="I10" i="141"/>
  <c r="E10" i="141"/>
  <c r="G39" i="140"/>
  <c r="D39" i="140"/>
  <c r="G39" i="142"/>
  <c r="D39" i="142"/>
  <c r="G38" i="140"/>
  <c r="D38" i="140"/>
  <c r="G38" i="142"/>
  <c r="D38" i="142"/>
  <c r="G38" i="143"/>
  <c r="D38" i="143"/>
  <c r="I38" i="141"/>
  <c r="E38" i="141"/>
  <c r="G37" i="140"/>
  <c r="D37" i="140"/>
  <c r="G37" i="142"/>
  <c r="D37" i="142"/>
  <c r="G37" i="143"/>
  <c r="D37" i="143"/>
  <c r="G36" i="140"/>
  <c r="D36" i="140"/>
  <c r="G36" i="142"/>
  <c r="D36" i="142"/>
  <c r="G36" i="143"/>
  <c r="D36" i="143"/>
  <c r="L47" i="135"/>
  <c r="B35" i="140"/>
  <c r="L49" i="135"/>
  <c r="B35" i="143"/>
  <c r="L48" i="134"/>
  <c r="B34" i="142"/>
  <c r="L50" i="134"/>
  <c r="B34" i="141"/>
  <c r="L47" i="133"/>
  <c r="B33" i="140"/>
  <c r="L49" i="133"/>
  <c r="B33" i="143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2"/>
  <c r="D28" i="142"/>
  <c r="G28" i="143"/>
  <c r="D28" i="143"/>
  <c r="G27" i="140"/>
  <c r="D27" i="140"/>
  <c r="G27" i="142"/>
  <c r="D27" i="142"/>
  <c r="I27" i="141"/>
  <c r="E27" i="141"/>
  <c r="G26" i="140"/>
  <c r="D26" i="140"/>
  <c r="G26" i="142"/>
  <c r="D26" i="142"/>
  <c r="G25" i="140"/>
  <c r="D25" i="140"/>
  <c r="G25" i="142"/>
  <c r="D25" i="142"/>
  <c r="G24" i="140"/>
  <c r="D24" i="140"/>
  <c r="G24" i="142"/>
  <c r="D24" i="142"/>
  <c r="I24" i="141"/>
  <c r="E24" i="141"/>
  <c r="G23" i="140"/>
  <c r="D23" i="140"/>
  <c r="G23" i="142"/>
  <c r="D23" i="142"/>
  <c r="G23" i="143"/>
  <c r="D23" i="143"/>
  <c r="G22" i="140"/>
  <c r="D22" i="140"/>
  <c r="G22" i="142"/>
  <c r="D22" i="142"/>
  <c r="G21" i="140"/>
  <c r="D21" i="140"/>
  <c r="G21" i="142"/>
  <c r="D21" i="142"/>
  <c r="G21" i="143"/>
  <c r="D21" i="143"/>
  <c r="J43" i="40"/>
  <c r="H8" i="109"/>
  <c r="J27" i="40"/>
  <c r="D8" i="109"/>
  <c r="D39" i="109" s="1"/>
  <c r="L49" i="40"/>
  <c r="B9" i="143"/>
  <c r="G46" i="124"/>
  <c r="G46" i="125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9" i="132"/>
  <c r="B32" i="143"/>
  <c r="L48" i="131"/>
  <c r="B31" i="142"/>
  <c r="L50" i="131"/>
  <c r="B31" i="141"/>
  <c r="L47" i="130"/>
  <c r="B30" i="140"/>
  <c r="L49" i="130"/>
  <c r="B30" i="143"/>
  <c r="L48" i="129"/>
  <c r="B29" i="142"/>
  <c r="J19" i="40"/>
  <c r="B8" i="109"/>
  <c r="B39" i="109" s="1"/>
  <c r="AC98" i="139"/>
  <c r="AA75" i="139"/>
  <c r="AA69" i="139"/>
  <c r="AA63" i="139"/>
  <c r="AA42" i="139"/>
  <c r="H74" i="139"/>
  <c r="J71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H74" i="137"/>
  <c r="AC98" i="136"/>
  <c r="AA75" i="136"/>
  <c r="AA69" i="136"/>
  <c r="AA63" i="136"/>
  <c r="AA42" i="136"/>
  <c r="L46" i="136"/>
  <c r="H74" i="136"/>
  <c r="J71" i="136"/>
  <c r="AC98" i="135"/>
  <c r="AA75" i="135"/>
  <c r="AA69" i="135"/>
  <c r="AA63" i="135"/>
  <c r="AA42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H74" i="133"/>
  <c r="J71" i="133"/>
  <c r="AC98" i="132"/>
  <c r="AA75" i="132"/>
  <c r="AA69" i="132"/>
  <c r="AA63" i="132"/>
  <c r="AA42" i="132"/>
  <c r="H74" i="132"/>
  <c r="J71" i="132"/>
  <c r="AC98" i="131"/>
  <c r="AA75" i="131"/>
  <c r="AA69" i="131"/>
  <c r="AA63" i="131"/>
  <c r="AA42" i="131"/>
  <c r="AC98" i="130"/>
  <c r="AA75" i="130"/>
  <c r="AA69" i="130"/>
  <c r="AA63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8"/>
  <c r="AA75" i="118"/>
  <c r="AA69" i="118"/>
  <c r="AA63" i="118"/>
  <c r="AA42" i="118"/>
  <c r="H74" i="118"/>
  <c r="J71" i="118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H74" i="112"/>
  <c r="J71" i="112"/>
  <c r="AC98" i="111"/>
  <c r="AA75" i="111"/>
  <c r="AA69" i="111"/>
  <c r="AA63" i="111"/>
  <c r="AA42" i="111"/>
  <c r="H74" i="111"/>
  <c r="J71" i="111"/>
  <c r="AC98" i="110"/>
  <c r="AA75" i="110"/>
  <c r="AA69" i="110"/>
  <c r="AA63" i="110"/>
  <c r="AA42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AC78" i="40" s="1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C79" i="40" s="1"/>
  <c r="AA80" i="40"/>
  <c r="AA81" i="40"/>
  <c r="AC81" i="40" s="1"/>
  <c r="AA82" i="40"/>
  <c r="AA83" i="40"/>
  <c r="AC83" i="40" s="1"/>
  <c r="AA84" i="40"/>
  <c r="AA85" i="40"/>
  <c r="AC85" i="40" s="1"/>
  <c r="AA86" i="40"/>
  <c r="AA87" i="40"/>
  <c r="AC87" i="40" s="1"/>
  <c r="AA88" i="40"/>
  <c r="AA89" i="40"/>
  <c r="AC89" i="40" s="1"/>
  <c r="AA90" i="40"/>
  <c r="AA91" i="40"/>
  <c r="AC91" i="40" s="1"/>
  <c r="AA92" i="40"/>
  <c r="AA93" i="40"/>
  <c r="AC93" i="40" s="1"/>
  <c r="AA94" i="40"/>
  <c r="AA95" i="40"/>
  <c r="AC95" i="40" s="1"/>
  <c r="AA96" i="40"/>
  <c r="AA97" i="40"/>
  <c r="AC97" i="40" s="1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1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B20" i="40"/>
  <c r="C8" i="109" s="1"/>
  <c r="B44" i="40"/>
  <c r="D60" i="40"/>
  <c r="F60" i="40" s="1"/>
  <c r="G60" i="40" s="1"/>
  <c r="L60" i="40" s="1"/>
  <c r="H60" i="40"/>
  <c r="H57" i="40"/>
  <c r="D58" i="40"/>
  <c r="F58" i="40" s="1"/>
  <c r="H58" i="40"/>
  <c r="H47" i="40"/>
  <c r="H48" i="40"/>
  <c r="H50" i="40"/>
  <c r="H49" i="40"/>
  <c r="H62" i="40"/>
  <c r="D53" i="40"/>
  <c r="G53" i="40" s="1"/>
  <c r="H53" i="40"/>
  <c r="D54" i="40"/>
  <c r="H54" i="40"/>
  <c r="H52" i="40"/>
  <c r="D55" i="40"/>
  <c r="H55" i="40"/>
  <c r="D56" i="40"/>
  <c r="G56" i="40" s="1"/>
  <c r="H56" i="40"/>
  <c r="H61" i="40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D16" i="143" l="1"/>
  <c r="D12" i="143"/>
  <c r="G39" i="143"/>
  <c r="C17" i="141"/>
  <c r="B37" i="141"/>
  <c r="E37" i="141" s="1"/>
  <c r="L51" i="136"/>
  <c r="L51" i="135"/>
  <c r="L51" i="130"/>
  <c r="B21" i="141"/>
  <c r="E21" i="141" s="1"/>
  <c r="G14" i="34"/>
  <c r="C11" i="141"/>
  <c r="G10" i="34"/>
  <c r="C37" i="141"/>
  <c r="D22" i="143"/>
  <c r="C19" i="141"/>
  <c r="H74" i="135"/>
  <c r="L51" i="121"/>
  <c r="L51" i="120"/>
  <c r="B17" i="141"/>
  <c r="I17" i="141" s="1"/>
  <c r="L51" i="114"/>
  <c r="C14" i="141"/>
  <c r="C38" i="141"/>
  <c r="D33" i="34"/>
  <c r="C28" i="141"/>
  <c r="L51" i="127"/>
  <c r="C24" i="141"/>
  <c r="I21" i="141"/>
  <c r="L51" i="118"/>
  <c r="C16" i="141"/>
  <c r="L51" i="115"/>
  <c r="J71" i="110"/>
  <c r="C33" i="141"/>
  <c r="E28" i="141"/>
  <c r="L50" i="128"/>
  <c r="I26" i="141"/>
  <c r="G61" i="124"/>
  <c r="L61" i="124" s="1"/>
  <c r="G15" i="143"/>
  <c r="L51" i="132"/>
  <c r="B25" i="141"/>
  <c r="I25" i="141" s="1"/>
  <c r="B22" i="141"/>
  <c r="L50" i="122"/>
  <c r="D27" i="143"/>
  <c r="D25" i="143"/>
  <c r="D24" i="143"/>
  <c r="I18" i="141"/>
  <c r="D18" i="143"/>
  <c r="D11" i="143"/>
  <c r="C13" i="141"/>
  <c r="G13" i="143"/>
  <c r="G61" i="112"/>
  <c r="L61" i="112" s="1"/>
  <c r="D10" i="143"/>
  <c r="G74" i="136"/>
  <c r="L46" i="135"/>
  <c r="I71" i="135"/>
  <c r="L50" i="133"/>
  <c r="I71" i="131"/>
  <c r="G31" i="34"/>
  <c r="G61" i="132"/>
  <c r="L61" i="132" s="1"/>
  <c r="D32" i="34"/>
  <c r="L46" i="132"/>
  <c r="D26" i="143"/>
  <c r="C22" i="141"/>
  <c r="D19" i="143"/>
  <c r="D17" i="143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L46" i="131"/>
  <c r="G30" i="34"/>
  <c r="B29" i="141"/>
  <c r="I29" i="141" s="1"/>
  <c r="B16" i="34"/>
  <c r="G16" i="34" s="1"/>
  <c r="L46" i="116"/>
  <c r="G61" i="126"/>
  <c r="L61" i="126" s="1"/>
  <c r="L51" i="126"/>
  <c r="I23" i="141"/>
  <c r="G17" i="34"/>
  <c r="G61" i="115"/>
  <c r="L61" i="115" s="1"/>
  <c r="I11" i="141"/>
  <c r="D11" i="34"/>
  <c r="L51" i="110"/>
  <c r="C10" i="141"/>
  <c r="B39" i="141"/>
  <c r="L50" i="139"/>
  <c r="G61" i="139"/>
  <c r="L61" i="139" s="1"/>
  <c r="L46" i="139"/>
  <c r="I71" i="139"/>
  <c r="L46" i="138"/>
  <c r="G61" i="138"/>
  <c r="L61" i="138" s="1"/>
  <c r="B24" i="34"/>
  <c r="G24" i="34" s="1"/>
  <c r="L46" i="124"/>
  <c r="B20" i="34"/>
  <c r="L46" i="120"/>
  <c r="B26" i="34"/>
  <c r="L46" i="126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L46" i="128"/>
  <c r="G61" i="137"/>
  <c r="L61" i="137" s="1"/>
  <c r="L46" i="137"/>
  <c r="G74" i="137"/>
  <c r="G61" i="136"/>
  <c r="L61" i="136" s="1"/>
  <c r="L46" i="133"/>
  <c r="I71" i="133"/>
  <c r="G61" i="131"/>
  <c r="L61" i="131" s="1"/>
  <c r="J71" i="130"/>
  <c r="L46" i="130"/>
  <c r="G74" i="130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G61" i="127"/>
  <c r="L61" i="127" s="1"/>
  <c r="I71" i="127"/>
  <c r="I71" i="126"/>
  <c r="Z63" i="40"/>
  <c r="U63" i="40"/>
  <c r="B13" i="34"/>
  <c r="L46" i="113"/>
  <c r="B12" i="34"/>
  <c r="G12" i="34" s="1"/>
  <c r="B15" i="34"/>
  <c r="L46" i="115"/>
  <c r="B18" i="34"/>
  <c r="D18" i="34" s="1"/>
  <c r="L46" i="118"/>
  <c r="G61" i="125"/>
  <c r="L61" i="125" s="1"/>
  <c r="G74" i="125"/>
  <c r="J71" i="124"/>
  <c r="G61" i="123"/>
  <c r="L61" i="123" s="1"/>
  <c r="D23" i="34"/>
  <c r="I71" i="123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I71" i="118"/>
  <c r="G61" i="118"/>
  <c r="L61" i="118" s="1"/>
  <c r="L46" i="117"/>
  <c r="I71" i="117"/>
  <c r="G61" i="117"/>
  <c r="L61" i="117" s="1"/>
  <c r="G61" i="116"/>
  <c r="L61" i="116" s="1"/>
  <c r="D16" i="34"/>
  <c r="G74" i="116"/>
  <c r="L46" i="114"/>
  <c r="I71" i="114"/>
  <c r="G61" i="114"/>
  <c r="L61" i="114" s="1"/>
  <c r="G61" i="113"/>
  <c r="L61" i="113" s="1"/>
  <c r="E12" i="141"/>
  <c r="I71" i="112"/>
  <c r="G61" i="111"/>
  <c r="L61" i="111" s="1"/>
  <c r="L46" i="111"/>
  <c r="I71" i="111"/>
  <c r="L46" i="110"/>
  <c r="I71" i="110"/>
  <c r="G61" i="110"/>
  <c r="L61" i="110" s="1"/>
  <c r="X75" i="40"/>
  <c r="AB98" i="40"/>
  <c r="L53" i="40"/>
  <c r="C9" i="140"/>
  <c r="J28" i="40"/>
  <c r="E8" i="109"/>
  <c r="G39" i="34"/>
  <c r="D39" i="34"/>
  <c r="G37" i="34"/>
  <c r="D37" i="34"/>
  <c r="G35" i="34"/>
  <c r="D35" i="34"/>
  <c r="B40" i="143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L56" i="40"/>
  <c r="C9" i="143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G29" i="142"/>
  <c r="D29" i="142"/>
  <c r="G30" i="143"/>
  <c r="D30" i="143"/>
  <c r="G30" i="140"/>
  <c r="D30" i="140"/>
  <c r="I31" i="141"/>
  <c r="E31" i="141"/>
  <c r="G31" i="142"/>
  <c r="D31" i="142"/>
  <c r="G32" i="143"/>
  <c r="D32" i="143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74" i="138"/>
  <c r="I71" i="138"/>
  <c r="G74" i="135"/>
  <c r="G74" i="134"/>
  <c r="G74" i="132"/>
  <c r="I71" i="132"/>
  <c r="G74" i="131"/>
  <c r="G74" i="128"/>
  <c r="I71" i="128"/>
  <c r="G74" i="126"/>
  <c r="G74" i="124"/>
  <c r="I71" i="124"/>
  <c r="G74" i="122"/>
  <c r="I71" i="119"/>
  <c r="G74" i="118"/>
  <c r="G64" i="115"/>
  <c r="L64" i="115" s="1"/>
  <c r="G74" i="115"/>
  <c r="I71" i="115"/>
  <c r="G74" i="114"/>
  <c r="G74" i="113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AA28" i="40" s="1"/>
  <c r="G58" i="40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I37" i="141" l="1"/>
  <c r="E25" i="141"/>
  <c r="G64" i="112"/>
  <c r="L64" i="112" s="1"/>
  <c r="G64" i="132"/>
  <c r="L64" i="132" s="1"/>
  <c r="G64" i="124"/>
  <c r="L64" i="124" s="1"/>
  <c r="E17" i="141"/>
  <c r="AC98" i="40"/>
  <c r="E22" i="141"/>
  <c r="I22" i="141"/>
  <c r="G64" i="113"/>
  <c r="L64" i="113" s="1"/>
  <c r="D12" i="34"/>
  <c r="G64" i="138"/>
  <c r="L64" i="138" s="1"/>
  <c r="G64" i="137"/>
  <c r="L64" i="137" s="1"/>
  <c r="I71" i="136"/>
  <c r="G64" i="136"/>
  <c r="L64" i="136" s="1"/>
  <c r="G74" i="127"/>
  <c r="G18" i="34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G64" i="127"/>
  <c r="L64" i="127" s="1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8"/>
  <c r="L64" i="118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B40" i="140"/>
  <c r="D9" i="140"/>
  <c r="D40" i="140" s="1"/>
  <c r="G9" i="140"/>
  <c r="D9" i="143"/>
  <c r="D40" i="143" s="1"/>
  <c r="F52" i="40"/>
  <c r="F61" i="40" s="1"/>
  <c r="B65" i="40"/>
  <c r="B71" i="40" s="1"/>
  <c r="L58" i="40"/>
  <c r="B42" i="109"/>
  <c r="B43" i="109" s="1"/>
  <c r="B42" i="75"/>
  <c r="AA75" i="40"/>
  <c r="G46" i="40"/>
  <c r="L46" i="40" s="1"/>
  <c r="AA42" i="40"/>
  <c r="AA69" i="40"/>
  <c r="AA63" i="40"/>
  <c r="G50" i="40"/>
  <c r="J52" i="40"/>
  <c r="D52" i="40"/>
  <c r="D61" i="40" s="1"/>
  <c r="G51" i="40"/>
  <c r="E28" i="75"/>
  <c r="E35" i="75"/>
  <c r="E24" i="75"/>
  <c r="E33" i="75"/>
  <c r="E25" i="75"/>
  <c r="E20" i="75"/>
  <c r="E9" i="75"/>
  <c r="D41" i="77"/>
  <c r="D39" i="77"/>
  <c r="D42" i="77"/>
  <c r="L50" i="40" l="1"/>
  <c r="B9" i="141"/>
  <c r="D40" i="141"/>
  <c r="J9" i="141"/>
  <c r="C40" i="142"/>
  <c r="H9" i="142"/>
  <c r="L51" i="40"/>
  <c r="C9" i="141"/>
  <c r="I71" i="40"/>
  <c r="B9" i="34"/>
  <c r="G52" i="40"/>
  <c r="E34" i="75"/>
  <c r="E27" i="75"/>
  <c r="E37" i="75"/>
  <c r="G74" i="40" l="1"/>
  <c r="C9" i="34"/>
  <c r="H9" i="34" s="1"/>
  <c r="L52" i="40"/>
  <c r="B40" i="34"/>
  <c r="G9" i="34"/>
  <c r="B40" i="141"/>
  <c r="I9" i="141"/>
  <c r="E9" i="141"/>
  <c r="E40" i="141" s="1"/>
  <c r="G61" i="40"/>
  <c r="G64" i="40" s="1"/>
  <c r="B39" i="75"/>
  <c r="B43" i="75" s="1"/>
  <c r="E39" i="75"/>
  <c r="C40" i="34" l="1"/>
  <c r="D9" i="34"/>
  <c r="D40" i="34" s="1"/>
  <c r="L61" i="40"/>
  <c r="H74" i="40"/>
  <c r="J71" i="40"/>
  <c r="L64" i="40"/>
</calcChain>
</file>

<file path=xl/comments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Tesoreria-pc</author>
    <author>NEW-PC</author>
    <author>Usuario</author>
  </authors>
  <commentList>
    <comment ref="J12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NO CARGADOS EN SISTEMA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0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SIN CIERRE
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sobrante por biopago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0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CIERRE POR2783.01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0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1636.81
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<sst xmlns="http://schemas.openxmlformats.org/spreadsheetml/2006/main" count="7253" uniqueCount="229">
  <si>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</si>
  <si>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</si>
  <si>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</si>
  <si>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</si>
  <si>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</si>
  <si>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</si>
  <si>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</si>
  <si>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</si>
  <si>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</si>
  <si>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</si>
  <si>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DEB.PLAZA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</si>
  <si>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</si>
  <si>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</si>
  <si>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</si>
  <si>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</si>
  <si>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</si>
  <si>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</si>
  <si>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</si>
  <si>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</si>
  <si>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</si>
  <si>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</si>
  <si>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</si>
  <si>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</si>
  <si>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</si>
  <si>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</si>
  <si>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</si>
  <si>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</si>
  <si>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</si>
  <si>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</si>
  <si>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</si>
  <si>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</si>
  <si>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</si>
  <si>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</si>
  <si>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</si>
  <si>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</si>
  <si>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</si>
  <si>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</si>
  <si>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</si>
  <si>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</si>
  <si>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</si>
  <si>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</si>
  <si>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</si>
  <si>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</si>
  <si>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</si>
  <si>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</si>
  <si>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</si>
  <si>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</si>
  <si>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</si>
  <si>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</si>
  <si>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</si>
  <si>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</si>
  <si>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</si>
  <si>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</si>
  <si>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</si>
  <si>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</si>
  <si>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</si>
  <si>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</si>
  <si>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</si>
  <si>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</si>
  <si>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</si>
  <si>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</si>
  <si>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</si>
  <si>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</si>
  <si>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</si>
  <si>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</si>
  <si>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</si>
  <si>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</si>
  <si>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</si>
  <si>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</si>
  <si>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</si>
  <si>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</si>
  <si>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PLAZA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</si>
  <si>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</si>
  <si>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</si>
  <si>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</si>
  <si>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</si>
  <si>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</si>
  <si>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</si>
  <si>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</si>
  <si>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</si>
  <si>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</si>
  <si>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</si>
  <si>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</si>
  <si>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</si>
  <si>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</si>
  <si>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</si>
  <si>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</si>
  <si>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</si>
  <si>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</si>
  <si>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</si>
  <si>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</si>
  <si>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</si>
  <si>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</si>
  <si>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</si>
  <si>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</si>
  <si>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</si>
  <si>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</si>
  <si>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</si>
  <si>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</si>
  <si>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</si>
  <si>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</si>
  <si>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</si>
  <si>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</si>
  <si>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</si>
  <si>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</si>
  <si>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</si>
  <si>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</si>
  <si>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</si>
  <si>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</si>
  <si>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</si>
  <si>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</si>
  <si>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</si>
  <si>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</si>
  <si>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</si>
  <si>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</si>
  <si>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</si>
  <si>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</si>
  <si>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</si>
  <si>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</si>
  <si>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</si>
  <si>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</si>
  <si>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</si>
  <si>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</si>
  <si>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</si>
  <si>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</si>
  <si>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</si>
  <si>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</si>
  <si>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</si>
  <si>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</si>
  <si>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</si>
  <si>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</si>
  <si>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</si>
  <si>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</si>
  <si>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</si>
  <si>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</si>
  <si>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</si>
  <si>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</si>
  <si>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</si>
  <si>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</si>
  <si>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</si>
  <si>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</si>
  <si>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</si>
  <si>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</si>
  <si>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</si>
  <si>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</si>
  <si>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</si>
  <si>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</si>
  <si>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</si>
  <si>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</si>
  <si>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</si>
  <si>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</si>
  <si>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</si>
  <si>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</si>
  <si>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</si>
  <si>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</si>
  <si>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</si>
  <si>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RESUMEN TESORO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</si>
  <si>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</si>
  <si>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</si>
  <si>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</si>
  <si>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</si>
  <si>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</si>
  <si>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</si>
  <si>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</si>
  <si>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</si>
  <si>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</si>
  <si>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</si>
  <si>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</si>
  <si>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Distribuidora de Alimentos evora C.A</t>
  </si>
  <si>
    <t xml:space="preserve">PAGO MOVIL </t>
  </si>
  <si>
    <t>DEB.BANCRECER</t>
  </si>
  <si>
    <t>CRED.BANCRECER</t>
  </si>
  <si>
    <t>PAGO MOVIL</t>
  </si>
  <si>
    <t>DEB. BANCRECER</t>
  </si>
  <si>
    <t>TOTAL PAGO MOVIL</t>
  </si>
  <si>
    <t>TOTAL BANCRECER</t>
  </si>
  <si>
    <t>pago movil</t>
  </si>
  <si>
    <t>CRED. Bancrecer</t>
  </si>
  <si>
    <t>CRED. BANCRECER</t>
  </si>
  <si>
    <t xml:space="preserve">CRED. BANCRECER </t>
  </si>
  <si>
    <t>PAGO MOVIL B/CRECER</t>
  </si>
  <si>
    <t xml:space="preserve">TOTAL PAGO MOVIL </t>
  </si>
  <si>
    <t>PAGO MOVIL EXPRES</t>
  </si>
  <si>
    <t xml:space="preserve">DEB.BANCRECER </t>
  </si>
  <si>
    <t xml:space="preserve">BANCRECER MODELO </t>
  </si>
  <si>
    <t>BANCRECER EXPRESS</t>
  </si>
  <si>
    <t>PROVINCIAL EXPRESS</t>
  </si>
  <si>
    <t xml:space="preserve">LAGUNETICA </t>
  </si>
  <si>
    <t>BANCRECER MODELO</t>
  </si>
  <si>
    <t>BANCRECER EXP´RES</t>
  </si>
  <si>
    <t>LAGUNETICA</t>
  </si>
  <si>
    <t>BANCRECER EXPRES</t>
  </si>
  <si>
    <t>lagunetica</t>
  </si>
  <si>
    <t>bancrecer modelo</t>
  </si>
  <si>
    <t>CRED. CRECER</t>
  </si>
  <si>
    <t xml:space="preserve">lagunetica </t>
  </si>
  <si>
    <t>Bancrecer modelo</t>
  </si>
  <si>
    <t>Bancrecer express</t>
  </si>
  <si>
    <t>PAGO MOVIL XPRESS</t>
  </si>
  <si>
    <t>bancrecer MODELO</t>
  </si>
  <si>
    <t>bancrecer Express</t>
  </si>
  <si>
    <t>DEB. Bancrecer</t>
  </si>
  <si>
    <t>bancrecer express</t>
  </si>
  <si>
    <t xml:space="preserve">DEB. BANCAMIGA </t>
  </si>
  <si>
    <t>CAJA 1</t>
  </si>
  <si>
    <t>CAJA 2</t>
  </si>
  <si>
    <t>CAJA 3</t>
  </si>
  <si>
    <t>BANCAMIGA MODELO</t>
  </si>
  <si>
    <t xml:space="preserve">BANCRECER EXPRESS </t>
  </si>
  <si>
    <t>VENEZUELA MODELO</t>
  </si>
  <si>
    <t>BANCRECER modelo</t>
  </si>
  <si>
    <t>BANCRECER Express</t>
  </si>
  <si>
    <t>PAGO MOVIL EXPRESS</t>
  </si>
  <si>
    <t>LAGUNERTICA</t>
  </si>
  <si>
    <t>PROVINCIAL express</t>
  </si>
  <si>
    <t>CRED. BASNCRECER</t>
  </si>
  <si>
    <t>PROVINCIAL HOYADA</t>
  </si>
  <si>
    <t>PROVINCIAL hoyada</t>
  </si>
  <si>
    <t xml:space="preserve">PROVINCIAL HOYADA </t>
  </si>
  <si>
    <t>10$ por nota de credito</t>
  </si>
  <si>
    <t>TOTAL VENTA METODO</t>
  </si>
  <si>
    <t>TOTAL VENTA SEGÚN  Z EFECTIVIDAD</t>
  </si>
  <si>
    <t>efectividad</t>
  </si>
  <si>
    <t>metodo</t>
  </si>
  <si>
    <t xml:space="preserve">METODO </t>
  </si>
  <si>
    <t>EFECTIVIDAD</t>
  </si>
  <si>
    <t>METODO POS</t>
  </si>
  <si>
    <t>METODO</t>
  </si>
  <si>
    <t xml:space="preserve">metodos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</si>
</sst>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S&quot;\ * #,##0_ ;_ &quot;Bs.S&quot;\ * \-#,##0_ ;_ &quot;Bs.S&quot;\ * &quot;-&quot;_ ;_ @_ "/>
    <numFmt numFmtId="165" formatCode="_ &quot;Bs.&quot;\ * #,##0.00_ ;_ &quot;Bs.&quot;\ * \-#,##0.00_ ;_ &quot;Bs.&quot;\ * &quot;-&quot;??_ ;_ @_ "/>
    <numFmt numFmtId="166" formatCode="&quot;Bs. BR&quot;\ #,##0.00;[Red]&quot;Bs. BR&quot;\ \-#,##0.00"/>
    <numFmt numFmtId="167" formatCode="_ &quot;Bs. .M&quot;\ * #,##0.00_ ;_ &quot;Bs. .M&quot;\ * \-#,##0.00_ ;_ &quot;Bs. .M&quot;\ * &quot;-&quot;??_ ;_ @_ "/>
    <numFmt numFmtId="168" formatCode="_ &quot;Bs. l&quot;\ * #,##0.00_ ;_ &quot;Bs. l&quot;\ * \-#,##0.00_ ;_ &quot;Bs. l&quot;\ * &quot;-&quot;??_ ;_ @_ "/>
    <numFmt numFmtId="169" formatCode="0_ ;\-0\ "/>
    <numFmt numFmtId="170" formatCode="&quot;Bs.S&quot;\ #,##0.00"/>
    <numFmt numFmtId="171" formatCode="_ [$Bs.S-200A]\ * #,##0.00_ ;_ [$Bs.S-200A]\ * \-#,##0.00_ ;_ [$Bs.S-200A]\ * &quot;-&quot;??_ ;_ @_ "/>
  </numFmts>
  <fonts count="2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9C0006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28">
    <xf numFmtId="0" fontId="0" fillId="0" borderId="0" xfId="0"/>
    <xf numFmtId="167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7" fontId="7" fillId="4" borderId="4" xfId="0" applyNumberFormat="1" applyFont="1" applyFill="1" applyBorder="1" applyAlignment="1" applyProtection="1">
      <alignment vertical="center"/>
      <protection locked="0"/>
    </xf>
    <xf numFmtId="167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7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7" fontId="0" fillId="0" borderId="15" xfId="0" applyNumberFormat="1" applyFill="1" applyBorder="1"/>
    <xf numFmtId="167" fontId="0" fillId="0" borderId="15" xfId="0" quotePrefix="1" applyNumberFormat="1" applyFill="1" applyBorder="1"/>
    <xf numFmtId="167" fontId="0" fillId="0" borderId="1" xfId="0" applyNumberFormat="1" applyBorder="1" applyProtection="1"/>
    <xf numFmtId="167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7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7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5" fontId="9" fillId="0" borderId="1" xfId="0" applyNumberFormat="1" applyFont="1" applyBorder="1" applyProtection="1">
      <protection locked="0"/>
    </xf>
    <xf numFmtId="165" fontId="9" fillId="0" borderId="1" xfId="0" applyNumberFormat="1" applyFont="1" applyBorder="1" applyProtection="1"/>
    <xf numFmtId="165" fontId="7" fillId="4" borderId="10" xfId="0" applyNumberFormat="1" applyFont="1" applyFill="1" applyBorder="1" applyProtection="1"/>
    <xf numFmtId="165" fontId="0" fillId="0" borderId="0" xfId="0" applyNumberFormat="1" applyProtection="1">
      <protection locked="0"/>
    </xf>
    <xf numFmtId="165" fontId="0" fillId="0" borderId="22" xfId="0" applyNumberFormat="1" applyBorder="1" applyProtection="1">
      <protection locked="0"/>
    </xf>
    <xf numFmtId="165" fontId="9" fillId="0" borderId="10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5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5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6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5" fontId="9" fillId="10" borderId="1" xfId="0" applyNumberFormat="1" applyFont="1" applyFill="1" applyBorder="1" applyProtection="1">
      <protection locked="0"/>
    </xf>
    <xf numFmtId="167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5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7" fontId="9" fillId="0" borderId="1" xfId="0" applyNumberFormat="1" applyFont="1" applyFill="1" applyBorder="1" applyProtection="1">
      <protection locked="0"/>
    </xf>
    <xf numFmtId="165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6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5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70" fontId="7" fillId="4" borderId="1" xfId="0" applyNumberFormat="1" applyFont="1" applyFill="1" applyBorder="1"/>
    <xf numFmtId="170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5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5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9" fontId="16" fillId="0" borderId="1" xfId="0" applyNumberFormat="1" applyFont="1" applyFill="1" applyBorder="1" applyAlignment="1" applyProtection="1">
      <alignment horizontal="center"/>
      <protection locked="0"/>
    </xf>
    <xf numFmtId="169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9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9" fontId="16" fillId="3" borderId="1" xfId="0" applyNumberFormat="1" applyFont="1" applyFill="1" applyBorder="1" applyAlignment="1" applyProtection="1">
      <alignment horizontal="center"/>
      <protection locked="0"/>
    </xf>
    <xf numFmtId="169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5" fontId="9" fillId="0" borderId="14" xfId="0" applyNumberFormat="1" applyFont="1" applyBorder="1" applyAlignment="1" applyProtection="1">
      <alignment horizontal="center" vertical="center"/>
      <protection locked="0"/>
    </xf>
    <xf numFmtId="165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5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7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1" fontId="0" fillId="0" borderId="1" xfId="0" applyNumberFormat="1" applyBorder="1" applyProtection="1"/>
    <xf numFmtId="171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1" fontId="0" fillId="0" borderId="23" xfId="0" applyNumberFormat="1" applyBorder="1" applyProtection="1"/>
    <xf numFmtId="171" fontId="0" fillId="0" borderId="7" xfId="0" applyNumberFormat="1" applyBorder="1" applyProtection="1">
      <protection locked="0"/>
    </xf>
    <xf numFmtId="171" fontId="0" fillId="0" borderId="8" xfId="0" applyNumberFormat="1" applyBorder="1" applyProtection="1">
      <protection locked="0"/>
    </xf>
    <xf numFmtId="171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8" borderId="0" xfId="0" applyNumberFormat="1" applyFill="1" applyProtection="1">
      <protection locked="0"/>
    </xf>
    <xf numFmtId="43" fontId="0" fillId="3" borderId="1" xfId="2" applyFont="1" applyFill="1" applyBorder="1" applyProtection="1">
      <protection locked="0"/>
    </xf>
    <xf numFmtId="4" fontId="14" fillId="7" borderId="1" xfId="0" applyNumberFormat="1" applyFont="1" applyFill="1" applyBorder="1" applyAlignment="1" applyProtection="1">
      <alignment horizontal="center"/>
    </xf>
    <xf numFmtId="43" fontId="0" fillId="0" borderId="0" xfId="2" applyFont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0" fillId="3" borderId="0" xfId="0" applyNumberFormat="1" applyFill="1" applyProtection="1">
      <protection locked="0"/>
    </xf>
    <xf numFmtId="43" fontId="0" fillId="6" borderId="1" xfId="2" applyFont="1" applyFill="1" applyBorder="1" applyProtection="1">
      <protection locked="0"/>
    </xf>
    <xf numFmtId="165" fontId="19" fillId="2" borderId="14" xfId="1" applyNumberFormat="1" applyFont="1" applyBorder="1" applyProtection="1">
      <protection locked="0"/>
    </xf>
    <xf numFmtId="0" fontId="0" fillId="6" borderId="0" xfId="0" applyFill="1" applyProtection="1">
      <protection locked="0"/>
    </xf>
    <xf numFmtId="43" fontId="0" fillId="10" borderId="1" xfId="2" applyFont="1" applyFill="1" applyBorder="1" applyProtection="1">
      <protection locked="0"/>
    </xf>
    <xf numFmtId="43" fontId="15" fillId="6" borderId="1" xfId="2" applyFont="1" applyFill="1" applyBorder="1" applyAlignment="1" applyProtection="1">
      <alignment horizontal="center"/>
      <protection locked="0"/>
    </xf>
    <xf numFmtId="43" fontId="0" fillId="0" borderId="0" xfId="2" applyFont="1" applyAlignment="1" applyProtection="1">
      <alignment horizontal="left"/>
      <protection locked="0"/>
    </xf>
    <xf numFmtId="43" fontId="0" fillId="13" borderId="1" xfId="2" applyFont="1" applyFill="1" applyBorder="1" applyProtection="1"/>
    <xf numFmtId="43" fontId="0" fillId="3" borderId="0" xfId="2" applyFont="1" applyFill="1" applyProtection="1">
      <protection locked="0"/>
    </xf>
    <xf numFmtId="43" fontId="0" fillId="14" borderId="1" xfId="2" applyFont="1" applyFill="1" applyBorder="1" applyProtection="1"/>
    <xf numFmtId="43" fontId="11" fillId="6" borderId="0" xfId="0" applyNumberFormat="1" applyFont="1" applyFill="1" applyProtection="1">
      <protection locked="0"/>
    </xf>
    <xf numFmtId="0" fontId="11" fillId="6" borderId="0" xfId="0" applyFont="1" applyFill="1" applyProtection="1">
      <protection locked="0"/>
    </xf>
    <xf numFmtId="0" fontId="11" fillId="3" borderId="0" xfId="0" applyFont="1" applyFill="1" applyProtection="1">
      <protection locked="0"/>
    </xf>
    <xf numFmtId="0" fontId="0" fillId="0" borderId="13" xfId="0" applyNumberFormat="1" applyFont="1" applyBorder="1" applyAlignment="1" applyProtection="1">
      <alignment wrapText="1"/>
      <protection locked="0"/>
    </xf>
    <xf numFmtId="4" fontId="0" fillId="0" borderId="1" xfId="0" applyNumberFormat="1" applyFont="1" applyFill="1" applyBorder="1" applyAlignment="1" applyProtection="1">
      <alignment vertical="center"/>
      <protection locked="0"/>
    </xf>
    <xf numFmtId="0" fontId="0" fillId="6" borderId="1" xfId="0" applyFill="1" applyBorder="1" applyProtection="1">
      <protection locked="0"/>
    </xf>
    <xf numFmtId="43" fontId="0" fillId="15" borderId="1" xfId="2" applyFont="1" applyFill="1" applyBorder="1" applyProtection="1"/>
    <xf numFmtId="0" fontId="0" fillId="3" borderId="1" xfId="0" applyFill="1" applyBorder="1" applyAlignment="1" applyProtection="1">
      <alignment horizontal="center"/>
      <protection locked="0"/>
    </xf>
    <xf numFmtId="43" fontId="11" fillId="8" borderId="1" xfId="2" applyFont="1" applyFill="1" applyBorder="1" applyProtection="1"/>
    <xf numFmtId="43" fontId="11" fillId="13" borderId="1" xfId="2" applyFont="1" applyFill="1" applyBorder="1" applyProtection="1"/>
    <xf numFmtId="43" fontId="0" fillId="13" borderId="1" xfId="2" applyFont="1" applyFill="1" applyBorder="1" applyProtection="1">
      <protection locked="0"/>
    </xf>
    <xf numFmtId="0" fontId="0" fillId="13" borderId="1" xfId="0" applyFill="1" applyBorder="1" applyProtection="1">
      <protection locked="0"/>
    </xf>
    <xf numFmtId="43" fontId="0" fillId="16" borderId="1" xfId="2" applyFont="1" applyFill="1" applyBorder="1" applyProtection="1"/>
    <xf numFmtId="0" fontId="0" fillId="16" borderId="1" xfId="0" applyFill="1" applyBorder="1" applyProtection="1"/>
    <xf numFmtId="0" fontId="16" fillId="6" borderId="1" xfId="0" applyFont="1" applyFill="1" applyBorder="1" applyAlignment="1" applyProtection="1">
      <alignment horizontal="center"/>
      <protection locked="0"/>
    </xf>
    <xf numFmtId="169" fontId="16" fillId="15" borderId="1" xfId="0" applyNumberFormat="1" applyFont="1" applyFill="1" applyBorder="1" applyAlignment="1" applyProtection="1">
      <alignment horizontal="center"/>
      <protection locked="0"/>
    </xf>
    <xf numFmtId="169" fontId="14" fillId="15" borderId="1" xfId="0" applyNumberFormat="1" applyFont="1" applyFill="1" applyBorder="1" applyAlignment="1" applyProtection="1">
      <alignment horizontal="center"/>
      <protection locked="0"/>
    </xf>
    <xf numFmtId="43" fontId="15" fillId="15" borderId="1" xfId="2" applyFont="1" applyFill="1" applyBorder="1" applyAlignment="1" applyProtection="1">
      <alignment horizontal="center"/>
      <protection locked="0"/>
    </xf>
    <xf numFmtId="4" fontId="14" fillId="15" borderId="1" xfId="0" applyNumberFormat="1" applyFont="1" applyFill="1" applyBorder="1" applyAlignment="1" applyProtection="1">
      <alignment horizontal="center"/>
      <protection locked="0"/>
    </xf>
    <xf numFmtId="4" fontId="15" fillId="15" borderId="1" xfId="0" applyNumberFormat="1" applyFon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9" fontId="14" fillId="9" borderId="23" xfId="0" applyNumberFormat="1" applyFont="1" applyFill="1" applyBorder="1" applyAlignment="1" applyProtection="1">
      <alignment horizontal="center"/>
      <protection locked="0"/>
    </xf>
    <xf numFmtId="169" fontId="14" fillId="9" borderId="26" xfId="0" applyNumberFormat="1" applyFont="1" applyFill="1" applyBorder="1" applyAlignment="1" applyProtection="1">
      <alignment horizontal="center"/>
      <protection locked="0"/>
    </xf>
    <xf numFmtId="169" fontId="14" fillId="9" borderId="22" xfId="0" applyNumberFormat="1" applyFont="1" applyFill="1" applyBorder="1" applyAlignment="1" applyProtection="1">
      <alignment horizont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9" fontId="16" fillId="6" borderId="1" xfId="0" applyNumberFormat="1" applyFont="1" applyFill="1" applyBorder="1" applyAlignment="1" applyProtection="1">
      <alignment horizontal="center"/>
      <protection locked="0"/>
    </xf>
    <xf numFmtId="169" fontId="14" fillId="6" borderId="1" xfId="0" applyNumberFormat="1" applyFont="1" applyFill="1" applyBorder="1" applyAlignment="1" applyProtection="1">
      <alignment horizontal="center"/>
      <protection locked="0"/>
    </xf>
    <xf numFmtId="4" fontId="14" fillId="6" borderId="1" xfId="0" applyNumberFormat="1" applyFont="1" applyFill="1" applyBorder="1" applyAlignment="1" applyProtection="1">
      <alignment horizontal="center"/>
      <protection locked="0"/>
    </xf>
    <xf numFmtId="4" fontId="15" fillId="6" borderId="1" xfId="0" applyNumberFormat="1" applyFont="1" applyFill="1" applyBorder="1" applyAlignment="1" applyProtection="1">
      <alignment horizontal="center"/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11858.94</c:v>
                </c:pt>
                <c:pt idx="1">
                  <c:v>19141.41</c:v>
                </c:pt>
                <c:pt idx="2">
                  <c:v>22982.04</c:v>
                </c:pt>
                <c:pt idx="3">
                  <c:v>11630.91</c:v>
                </c:pt>
                <c:pt idx="4">
                  <c:v>15742.33</c:v>
                </c:pt>
                <c:pt idx="5">
                  <c:v>14102.07</c:v>
                </c:pt>
                <c:pt idx="6">
                  <c:v>14623.79</c:v>
                </c:pt>
                <c:pt idx="7">
                  <c:v>20395.939999999999</c:v>
                </c:pt>
                <c:pt idx="8">
                  <c:v>23683.22</c:v>
                </c:pt>
                <c:pt idx="9">
                  <c:v>21972.44</c:v>
                </c:pt>
                <c:pt idx="10">
                  <c:v>13290.69</c:v>
                </c:pt>
                <c:pt idx="11">
                  <c:v>12860.73</c:v>
                </c:pt>
                <c:pt idx="12">
                  <c:v>14774.15</c:v>
                </c:pt>
                <c:pt idx="13">
                  <c:v>14111.73</c:v>
                </c:pt>
                <c:pt idx="14">
                  <c:v>15367.3</c:v>
                </c:pt>
                <c:pt idx="15">
                  <c:v>24373.9</c:v>
                </c:pt>
                <c:pt idx="16">
                  <c:v>23643.31</c:v>
                </c:pt>
                <c:pt idx="17">
                  <c:v>12652.47</c:v>
                </c:pt>
                <c:pt idx="18">
                  <c:v>11551.46</c:v>
                </c:pt>
                <c:pt idx="19">
                  <c:v>11522.85</c:v>
                </c:pt>
                <c:pt idx="20">
                  <c:v>15247.73</c:v>
                </c:pt>
                <c:pt idx="21">
                  <c:v>18590.22</c:v>
                </c:pt>
                <c:pt idx="22">
                  <c:v>0</c:v>
                </c:pt>
                <c:pt idx="23">
                  <c:v>23245.040000000001</c:v>
                </c:pt>
                <c:pt idx="24">
                  <c:v>0</c:v>
                </c:pt>
                <c:pt idx="25">
                  <c:v>0</c:v>
                </c:pt>
                <c:pt idx="26">
                  <c:v>13365.29</c:v>
                </c:pt>
                <c:pt idx="27">
                  <c:v>15701.36</c:v>
                </c:pt>
                <c:pt idx="28">
                  <c:v>20226.099999999999</c:v>
                </c:pt>
                <c:pt idx="29">
                  <c:v>27016.25</c:v>
                </c:pt>
                <c:pt idx="30">
                  <c:v>22226.92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578304"/>
        <c:axId val="152580096"/>
        <c:axId val="0"/>
      </c:bar3DChart>
      <c:catAx>
        <c:axId val="15257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2580096"/>
        <c:crosses val="autoZero"/>
        <c:auto val="1"/>
        <c:lblAlgn val="ctr"/>
        <c:lblOffset val="100"/>
        <c:noMultiLvlLbl val="0"/>
      </c:catAx>
      <c:valAx>
        <c:axId val="15258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2578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11858.94</c:v>
                </c:pt>
                <c:pt idx="1">
                  <c:v>19141.41</c:v>
                </c:pt>
                <c:pt idx="2">
                  <c:v>22982.04</c:v>
                </c:pt>
                <c:pt idx="3">
                  <c:v>11630.91</c:v>
                </c:pt>
                <c:pt idx="4">
                  <c:v>15742.33</c:v>
                </c:pt>
                <c:pt idx="5">
                  <c:v>14102.07</c:v>
                </c:pt>
                <c:pt idx="6">
                  <c:v>14623.79</c:v>
                </c:pt>
                <c:pt idx="7">
                  <c:v>20395.939999999999</c:v>
                </c:pt>
                <c:pt idx="8">
                  <c:v>23683.22</c:v>
                </c:pt>
                <c:pt idx="9">
                  <c:v>21972.44</c:v>
                </c:pt>
                <c:pt idx="10">
                  <c:v>13290.69</c:v>
                </c:pt>
                <c:pt idx="11">
                  <c:v>12860.73</c:v>
                </c:pt>
                <c:pt idx="12">
                  <c:v>14774.15</c:v>
                </c:pt>
                <c:pt idx="13">
                  <c:v>14111.73</c:v>
                </c:pt>
                <c:pt idx="14">
                  <c:v>15367.3</c:v>
                </c:pt>
                <c:pt idx="15">
                  <c:v>24373.9</c:v>
                </c:pt>
                <c:pt idx="16">
                  <c:v>23643.31</c:v>
                </c:pt>
                <c:pt idx="17">
                  <c:v>12652.47</c:v>
                </c:pt>
                <c:pt idx="18">
                  <c:v>11551.46</c:v>
                </c:pt>
                <c:pt idx="19">
                  <c:v>11522.85</c:v>
                </c:pt>
                <c:pt idx="20">
                  <c:v>15247.73</c:v>
                </c:pt>
                <c:pt idx="21">
                  <c:v>18590.22</c:v>
                </c:pt>
                <c:pt idx="22">
                  <c:v>0</c:v>
                </c:pt>
                <c:pt idx="23">
                  <c:v>23245.040000000001</c:v>
                </c:pt>
                <c:pt idx="24">
                  <c:v>0</c:v>
                </c:pt>
                <c:pt idx="25">
                  <c:v>0</c:v>
                </c:pt>
                <c:pt idx="26">
                  <c:v>13365.29</c:v>
                </c:pt>
                <c:pt idx="27">
                  <c:v>15701.36</c:v>
                </c:pt>
                <c:pt idx="28">
                  <c:v>20226.099999999999</c:v>
                </c:pt>
                <c:pt idx="29">
                  <c:v>27016.25</c:v>
                </c:pt>
                <c:pt idx="30">
                  <c:v>22226.92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613632"/>
        <c:axId val="152615552"/>
      </c:lineChart>
      <c:catAx>
        <c:axId val="1526136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52615552"/>
        <c:crosses val="autoZero"/>
        <c:auto val="1"/>
        <c:lblAlgn val="ctr"/>
        <c:lblOffset val="100"/>
        <c:noMultiLvlLbl val="0"/>
      </c:catAx>
      <c:valAx>
        <c:axId val="152615552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52613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713856"/>
        <c:axId val="156037504"/>
        <c:axId val="0"/>
      </c:bar3DChart>
      <c:catAx>
        <c:axId val="1527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6037504"/>
        <c:crosses val="autoZero"/>
        <c:auto val="1"/>
        <c:lblAlgn val="ctr"/>
        <c:lblOffset val="100"/>
        <c:noMultiLvlLbl val="0"/>
      </c:catAx>
      <c:valAx>
        <c:axId val="15603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2713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253376"/>
        <c:axId val="153255296"/>
      </c:lineChart>
      <c:catAx>
        <c:axId val="1532533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53255296"/>
        <c:crosses val="autoZero"/>
        <c:auto val="1"/>
        <c:lblAlgn val="ctr"/>
        <c:lblOffset val="100"/>
        <c:noMultiLvlLbl val="0"/>
      </c:catAx>
      <c:valAx>
        <c:axId val="153255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25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0028544"/>
        <c:axId val="180030080"/>
        <c:axId val="0"/>
      </c:bar3DChart>
      <c:catAx>
        <c:axId val="18002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0030080"/>
        <c:crosses val="autoZero"/>
        <c:auto val="1"/>
        <c:lblAlgn val="ctr"/>
        <c:lblOffset val="100"/>
        <c:noMultiLvlLbl val="0"/>
      </c:catAx>
      <c:valAx>
        <c:axId val="18003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0028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50176"/>
        <c:axId val="180064256"/>
      </c:barChart>
      <c:catAx>
        <c:axId val="18005017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0064256"/>
        <c:crosses val="autoZero"/>
        <c:auto val="1"/>
        <c:lblAlgn val="ctr"/>
        <c:lblOffset val="100"/>
        <c:tickMarkSkip val="1"/>
        <c:noMultiLvlLbl val="0"/>
      </c:catAx>
      <c:valAx>
        <c:axId val="18006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0050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26" workbookViewId="0">
      <selection activeCell="A38" sqref="A8:A38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65"/>
      <c r="B1" s="268"/>
      <c r="C1" s="269"/>
      <c r="D1" s="269"/>
      <c r="E1" s="269"/>
      <c r="F1" s="269"/>
      <c r="G1" s="270"/>
    </row>
    <row r="2" spans="1:9" s="43" customFormat="1" ht="16.5" customHeight="1" x14ac:dyDescent="0.35">
      <c r="A2" s="266"/>
      <c r="B2" s="271" t="s">
        <v>12</v>
      </c>
      <c r="C2" s="272"/>
      <c r="D2" s="272"/>
      <c r="E2" s="272"/>
      <c r="F2" s="272"/>
      <c r="G2" s="273"/>
    </row>
    <row r="3" spans="1:9" s="43" customFormat="1" ht="16.5" customHeight="1" x14ac:dyDescent="0.25">
      <c r="A3" s="267"/>
      <c r="B3" s="274" t="s">
        <v>34</v>
      </c>
      <c r="C3" s="275"/>
      <c r="D3" s="275"/>
      <c r="E3" s="275"/>
      <c r="F3" s="275"/>
      <c r="G3" s="276"/>
    </row>
    <row r="4" spans="1:9" x14ac:dyDescent="0.25">
      <c r="A4" s="277" t="s">
        <v>51</v>
      </c>
      <c r="B4" s="277"/>
      <c r="C4" s="277"/>
      <c r="D4" s="277"/>
      <c r="E4" s="277"/>
      <c r="F4" s="277"/>
      <c r="G4" s="277"/>
      <c r="H4" s="44"/>
      <c r="I4" s="44"/>
    </row>
    <row r="7" spans="1:9" ht="27" customHeight="1" x14ac:dyDescent="0.25">
      <c r="A7" s="45" t="s">
        <v>29</v>
      </c>
      <c r="B7" s="45" t="s">
        <v>35</v>
      </c>
      <c r="C7" s="45" t="s">
        <v>36</v>
      </c>
      <c r="D7" s="45" t="s">
        <v>37</v>
      </c>
    </row>
    <row r="8" spans="1:9" x14ac:dyDescent="0.25">
      <c r="A8" s="46">
        <f>'DIA 1'!B$6</f>
        <v>44743</v>
      </c>
      <c r="B8" s="199">
        <f>'DIA 1'!B68</f>
        <v>11858.94</v>
      </c>
      <c r="C8" s="199">
        <f>'DIA 1'!B69</f>
        <v>12018.23</v>
      </c>
      <c r="D8" s="199">
        <f>C8-B8</f>
        <v>159.28999999999905</v>
      </c>
    </row>
    <row r="9" spans="1:9" x14ac:dyDescent="0.25">
      <c r="A9" s="46">
        <f>'DIA 2'!B$6</f>
        <v>44744</v>
      </c>
      <c r="B9" s="199">
        <f>'DIA 2'!B$68</f>
        <v>19141.41</v>
      </c>
      <c r="C9" s="199">
        <f>'DIA 2'!B$69</f>
        <v>19428.939999999999</v>
      </c>
      <c r="D9" s="199">
        <f t="shared" ref="D9:D38" si="0">C9-B9</f>
        <v>287.52999999999884</v>
      </c>
    </row>
    <row r="10" spans="1:9" x14ac:dyDescent="0.25">
      <c r="A10" s="46">
        <f>'DIA 3'!B$6</f>
        <v>44745</v>
      </c>
      <c r="B10" s="199">
        <f>'DIA 3'!B$68</f>
        <v>22982.04</v>
      </c>
      <c r="C10" s="199">
        <f>'DIA 3'!B$69</f>
        <v>23263.78</v>
      </c>
      <c r="D10" s="199">
        <f t="shared" si="0"/>
        <v>281.73999999999796</v>
      </c>
    </row>
    <row r="11" spans="1:9" x14ac:dyDescent="0.25">
      <c r="A11" s="46">
        <f>'DIA 4'!B$6</f>
        <v>44746</v>
      </c>
      <c r="B11" s="199">
        <f>'DIA 4'!B$68</f>
        <v>11630.91</v>
      </c>
      <c r="C11" s="199">
        <f>'DIA 4'!B$69</f>
        <v>11751.04</v>
      </c>
      <c r="D11" s="199">
        <f t="shared" si="0"/>
        <v>120.13000000000102</v>
      </c>
    </row>
    <row r="12" spans="1:9" x14ac:dyDescent="0.25">
      <c r="A12" s="46">
        <f>'DIA 5'!B$6</f>
        <v>44747</v>
      </c>
      <c r="B12" s="199">
        <f>'DIA 5'!B$68</f>
        <v>15742.33</v>
      </c>
      <c r="C12" s="199">
        <f>'DIA 5'!B$69</f>
        <v>15898.42</v>
      </c>
      <c r="D12" s="199">
        <f t="shared" si="0"/>
        <v>156.09000000000015</v>
      </c>
    </row>
    <row r="13" spans="1:9" x14ac:dyDescent="0.25">
      <c r="A13" s="46">
        <f>'DIA 6'!B$6</f>
        <v>44748</v>
      </c>
      <c r="B13" s="199">
        <f>'DIA 6'!B$68</f>
        <v>14102.07</v>
      </c>
      <c r="C13" s="199">
        <f>'DIA 6'!B$69</f>
        <v>14101.02</v>
      </c>
      <c r="D13" s="199">
        <f t="shared" si="0"/>
        <v>-1.0499999999992724</v>
      </c>
    </row>
    <row r="14" spans="1:9" x14ac:dyDescent="0.25">
      <c r="A14" s="46">
        <f>'DIA 7'!B$6</f>
        <v>44749</v>
      </c>
      <c r="B14" s="199">
        <f>'DIA 7'!B$68</f>
        <v>14623.79</v>
      </c>
      <c r="C14" s="199">
        <f>'DIA 7'!B$69</f>
        <v>14751.89</v>
      </c>
      <c r="D14" s="199">
        <f t="shared" si="0"/>
        <v>128.09999999999854</v>
      </c>
    </row>
    <row r="15" spans="1:9" x14ac:dyDescent="0.25">
      <c r="A15" s="46">
        <f>'DIA 8'!B$6</f>
        <v>44750</v>
      </c>
      <c r="B15" s="199">
        <f>'DIA 8'!B$68</f>
        <v>20395.939999999999</v>
      </c>
      <c r="C15" s="199">
        <f>'DIA 8'!B$69</f>
        <v>20568.580000000002</v>
      </c>
      <c r="D15" s="199">
        <f t="shared" si="0"/>
        <v>172.64000000000306</v>
      </c>
    </row>
    <row r="16" spans="1:9" x14ac:dyDescent="0.25">
      <c r="A16" s="46">
        <f>'DIA 9'!B$6</f>
        <v>44751</v>
      </c>
      <c r="B16" s="199">
        <f>'DIA 9'!B$68</f>
        <v>23683.22</v>
      </c>
      <c r="C16" s="199">
        <f>'DIA 9'!B$69</f>
        <v>23927.99</v>
      </c>
      <c r="D16" s="199">
        <f t="shared" si="0"/>
        <v>244.77000000000044</v>
      </c>
    </row>
    <row r="17" spans="1:4" x14ac:dyDescent="0.25">
      <c r="A17" s="46">
        <f>'DIA 10'!B$6</f>
        <v>44752</v>
      </c>
      <c r="B17" s="199">
        <f>'DIA 10'!B$68</f>
        <v>21972.44</v>
      </c>
      <c r="C17" s="199">
        <f>'DIA 10'!B$69</f>
        <v>22162.12</v>
      </c>
      <c r="D17" s="199">
        <f t="shared" si="0"/>
        <v>189.68000000000029</v>
      </c>
    </row>
    <row r="18" spans="1:4" x14ac:dyDescent="0.25">
      <c r="A18" s="46">
        <f>'DIA 11'!B$6</f>
        <v>44753</v>
      </c>
      <c r="B18" s="199">
        <f>'DIA 11'!B$68</f>
        <v>13290.69</v>
      </c>
      <c r="C18" s="199">
        <f>'DIA 11'!B$69</f>
        <v>13419.17</v>
      </c>
      <c r="D18" s="199">
        <f t="shared" si="0"/>
        <v>128.47999999999956</v>
      </c>
    </row>
    <row r="19" spans="1:4" x14ac:dyDescent="0.25">
      <c r="A19" s="46">
        <f>'DIA 12'!B$6</f>
        <v>44754</v>
      </c>
      <c r="B19" s="199">
        <f>'DIA 12'!B$68</f>
        <v>12860.73</v>
      </c>
      <c r="C19" s="199">
        <f>'DIA 12'!B$69</f>
        <v>12985.35</v>
      </c>
      <c r="D19" s="199">
        <f t="shared" si="0"/>
        <v>124.6200000000008</v>
      </c>
    </row>
    <row r="20" spans="1:4" x14ac:dyDescent="0.25">
      <c r="A20" s="46">
        <f>'DIA 13'!B$6</f>
        <v>44755</v>
      </c>
      <c r="B20" s="199">
        <f>'DIA 13'!B$68</f>
        <v>14774.15</v>
      </c>
      <c r="C20" s="199">
        <f>'DIA 13'!B$69</f>
        <v>14931.45</v>
      </c>
      <c r="D20" s="199">
        <f t="shared" si="0"/>
        <v>157.30000000000109</v>
      </c>
    </row>
    <row r="21" spans="1:4" x14ac:dyDescent="0.25">
      <c r="A21" s="46">
        <f>'DIA 14'!B$6</f>
        <v>44756</v>
      </c>
      <c r="B21" s="199">
        <f>'DIA 14'!B$68</f>
        <v>14111.73</v>
      </c>
      <c r="C21" s="199">
        <f>'DIA 14'!B$69</f>
        <v>14226.77</v>
      </c>
      <c r="D21" s="199">
        <f t="shared" si="0"/>
        <v>115.04000000000087</v>
      </c>
    </row>
    <row r="22" spans="1:4" x14ac:dyDescent="0.25">
      <c r="A22" s="46">
        <f>'DIA 15'!B$6</f>
        <v>44757</v>
      </c>
      <c r="B22" s="199">
        <f>'DIA 15'!B$68</f>
        <v>15367.3</v>
      </c>
      <c r="C22" s="199">
        <f>'DIA 15'!B$69</f>
        <v>15530.84</v>
      </c>
      <c r="D22" s="199">
        <f t="shared" si="0"/>
        <v>163.54000000000087</v>
      </c>
    </row>
    <row r="23" spans="1:4" x14ac:dyDescent="0.25">
      <c r="A23" s="46">
        <f>'DIA 16'!B$6</f>
        <v>44758</v>
      </c>
      <c r="B23" s="199">
        <f>'DIA 16'!B$68</f>
        <v>24373.9</v>
      </c>
      <c r="C23" s="199">
        <f>'DIA 16'!B$69</f>
        <v>24662.55</v>
      </c>
      <c r="D23" s="199">
        <f t="shared" si="0"/>
        <v>288.64999999999782</v>
      </c>
    </row>
    <row r="24" spans="1:4" x14ac:dyDescent="0.25">
      <c r="A24" s="46">
        <f>'DIA 17'!B$6</f>
        <v>44759</v>
      </c>
      <c r="B24" s="199">
        <f>'DIA 17'!B$68</f>
        <v>23643.31</v>
      </c>
      <c r="C24" s="199">
        <f>'DIA 17'!B$69</f>
        <v>23941.279999999999</v>
      </c>
      <c r="D24" s="199">
        <f t="shared" si="0"/>
        <v>297.96999999999753</v>
      </c>
    </row>
    <row r="25" spans="1:4" x14ac:dyDescent="0.25">
      <c r="A25" s="46">
        <f>'DIA 18'!B$6</f>
        <v>44760</v>
      </c>
      <c r="B25" s="199">
        <f>'DIA 18'!B$68</f>
        <v>12652.47</v>
      </c>
      <c r="C25" s="199">
        <f>'DIA 18'!B$69</f>
        <v>12811.45</v>
      </c>
      <c r="D25" s="199">
        <f t="shared" si="0"/>
        <v>158.98000000000138</v>
      </c>
    </row>
    <row r="26" spans="1:4" x14ac:dyDescent="0.25">
      <c r="A26" s="46">
        <f>'DIA 19'!B$6</f>
        <v>44761</v>
      </c>
      <c r="B26" s="199">
        <f>'DIA 19'!B$68</f>
        <v>11551.46</v>
      </c>
      <c r="C26" s="199">
        <f>'DIA 19'!B$69</f>
        <v>11671.51</v>
      </c>
      <c r="D26" s="199">
        <f t="shared" si="0"/>
        <v>120.05000000000109</v>
      </c>
    </row>
    <row r="27" spans="1:4" x14ac:dyDescent="0.25">
      <c r="A27" s="46">
        <f>'DIA 20'!B$6</f>
        <v>44762</v>
      </c>
      <c r="B27" s="199">
        <f>'DIA 20'!B$68</f>
        <v>11522.85</v>
      </c>
      <c r="C27" s="199">
        <f>'DIA 20'!B$69</f>
        <v>11663.99</v>
      </c>
      <c r="D27" s="199">
        <f t="shared" si="0"/>
        <v>141.13999999999942</v>
      </c>
    </row>
    <row r="28" spans="1:4" x14ac:dyDescent="0.25">
      <c r="A28" s="46">
        <f>'DIA 21'!B$6</f>
        <v>44763</v>
      </c>
      <c r="B28" s="199">
        <f>'DIA 21'!B$68</f>
        <v>15247.73</v>
      </c>
      <c r="C28" s="199">
        <f>'DIA 21'!B$69</f>
        <v>15343.33</v>
      </c>
      <c r="D28" s="199">
        <f t="shared" si="0"/>
        <v>95.600000000000364</v>
      </c>
    </row>
    <row r="29" spans="1:4" x14ac:dyDescent="0.25">
      <c r="A29" s="46">
        <f>'DIA 22'!B$6</f>
        <v>44764</v>
      </c>
      <c r="B29" s="199">
        <f>'DIA 22'!B$68</f>
        <v>18590.22</v>
      </c>
      <c r="C29" s="199">
        <f>'DIA 22'!B$69</f>
        <v>18781.03</v>
      </c>
      <c r="D29" s="199">
        <f t="shared" si="0"/>
        <v>190.80999999999767</v>
      </c>
    </row>
    <row r="30" spans="1:4" x14ac:dyDescent="0.25">
      <c r="A30" s="46">
        <f>'DIA 23'!B$6</f>
        <v>44765</v>
      </c>
      <c r="B30" s="199">
        <f>'DIA 23'!B$68</f>
        <v>0</v>
      </c>
      <c r="C30" s="199">
        <f>'DIA 23'!B$69</f>
        <v>21968.44</v>
      </c>
      <c r="D30" s="199">
        <f t="shared" si="0"/>
        <v>21968.44</v>
      </c>
    </row>
    <row r="31" spans="1:4" x14ac:dyDescent="0.25">
      <c r="A31" s="46">
        <f>'DIA 24'!B$6</f>
        <v>44766</v>
      </c>
      <c r="B31" s="199">
        <f>'DIA 24'!B$68</f>
        <v>23245.040000000001</v>
      </c>
      <c r="C31" s="199">
        <f>'DIA 24'!B$69</f>
        <v>23245.040000000001</v>
      </c>
      <c r="D31" s="199">
        <f t="shared" si="0"/>
        <v>0</v>
      </c>
    </row>
    <row r="32" spans="1:4" x14ac:dyDescent="0.25">
      <c r="A32" s="46">
        <f>'DIA 25'!B$6</f>
        <v>44767</v>
      </c>
      <c r="B32" s="199">
        <f>'DIA 25'!B$68</f>
        <v>0</v>
      </c>
      <c r="C32" s="199">
        <f>'DIA 25'!B$69</f>
        <v>14037.38</v>
      </c>
      <c r="D32" s="199">
        <f t="shared" si="0"/>
        <v>14037.38</v>
      </c>
    </row>
    <row r="33" spans="1:6" x14ac:dyDescent="0.25">
      <c r="A33" s="46">
        <f>'DIA 26'!B$6</f>
        <v>44768</v>
      </c>
      <c r="B33" s="199">
        <f>'DIA 26'!B$68</f>
        <v>0</v>
      </c>
      <c r="C33" s="199">
        <f>'DIA 26'!B$69</f>
        <v>14930.83</v>
      </c>
      <c r="D33" s="199">
        <f t="shared" si="0"/>
        <v>14930.83</v>
      </c>
    </row>
    <row r="34" spans="1:6" x14ac:dyDescent="0.25">
      <c r="A34" s="46">
        <f>'DIA 27'!B$6</f>
        <v>44769</v>
      </c>
      <c r="B34" s="199">
        <f>'DIA 27'!B$68</f>
        <v>13365.29</v>
      </c>
      <c r="C34" s="199">
        <f>'DIA 27'!B$69</f>
        <v>13248.88</v>
      </c>
      <c r="D34" s="199">
        <f t="shared" si="0"/>
        <v>-116.41000000000167</v>
      </c>
    </row>
    <row r="35" spans="1:6" x14ac:dyDescent="0.25">
      <c r="A35" s="46">
        <f>'DIA 28'!B$6</f>
        <v>44770</v>
      </c>
      <c r="B35" s="199">
        <f>'DIA 28'!B$68</f>
        <v>15701.36</v>
      </c>
      <c r="C35" s="199">
        <f>'DIA 28'!B$69</f>
        <v>15536.82</v>
      </c>
      <c r="D35" s="199">
        <f t="shared" si="0"/>
        <v>-164.54000000000087</v>
      </c>
    </row>
    <row r="36" spans="1:6" x14ac:dyDescent="0.25">
      <c r="A36" s="46">
        <f>'DIA 29'!B$6</f>
        <v>44771</v>
      </c>
      <c r="B36" s="199">
        <f>'DIA 29'!B$68</f>
        <v>20226.099999999999</v>
      </c>
      <c r="C36" s="199">
        <f>'DIA 29'!B$69</f>
        <v>20061.060000000001</v>
      </c>
      <c r="D36" s="199">
        <f t="shared" si="0"/>
        <v>-165.03999999999724</v>
      </c>
    </row>
    <row r="37" spans="1:6" x14ac:dyDescent="0.25">
      <c r="A37" s="46">
        <f>'DIA 30'!B$6</f>
        <v>44772</v>
      </c>
      <c r="B37" s="199">
        <f>'DIA 30'!B$68</f>
        <v>27016.25</v>
      </c>
      <c r="C37" s="199">
        <f>'DIA 30'!B$69</f>
        <v>0</v>
      </c>
      <c r="D37" s="199">
        <f t="shared" si="0"/>
        <v>-27016.25</v>
      </c>
    </row>
    <row r="38" spans="1:6" x14ac:dyDescent="0.25">
      <c r="A38" s="46">
        <f>'DIA 31'!B$6</f>
        <v>44773</v>
      </c>
      <c r="B38" s="199">
        <f>'DIA 31'!B$68</f>
        <v>22226.92</v>
      </c>
      <c r="C38" s="199">
        <f>'DIA 31'!B$69</f>
        <v>0</v>
      </c>
      <c r="D38" s="199">
        <f t="shared" si="0"/>
        <v>-22226.92</v>
      </c>
    </row>
    <row r="39" spans="1:6" x14ac:dyDescent="0.25">
      <c r="A39" s="47" t="s">
        <v>38</v>
      </c>
      <c r="B39" s="30">
        <f>SUM(B8:B38)</f>
        <v>485900.58999999991</v>
      </c>
      <c r="C39" s="30">
        <f>SUM(C8:C38)</f>
        <v>490869.18000000011</v>
      </c>
      <c r="D39" s="29">
        <f>SUM(D8:D38)</f>
        <v>4968.5899999999965</v>
      </c>
    </row>
    <row r="40" spans="1:6" x14ac:dyDescent="0.25">
      <c r="A40" s="31" t="s">
        <v>39</v>
      </c>
    </row>
    <row r="41" spans="1:6" x14ac:dyDescent="0.25">
      <c r="A41" s="48" t="s">
        <v>40</v>
      </c>
      <c r="B41" s="200">
        <f>MAX(B8:B38)</f>
        <v>27016.25</v>
      </c>
      <c r="C41" s="200">
        <f>MAX(C8:C38)</f>
        <v>24662.55</v>
      </c>
      <c r="D41" s="200">
        <f>MAX(D8:D38)</f>
        <v>21968.44</v>
      </c>
    </row>
    <row r="42" spans="1:6" x14ac:dyDescent="0.25">
      <c r="A42" s="48" t="s">
        <v>41</v>
      </c>
      <c r="B42" s="200">
        <f>DMIN(B7:B38,B7,B44:B45)</f>
        <v>11522.85</v>
      </c>
      <c r="C42" s="200">
        <f>DMIN(C7:C38,C7,C44:C45)</f>
        <v>11663.99</v>
      </c>
      <c r="D42" s="200">
        <f>MIN(D8:D38)</f>
        <v>-27016.25</v>
      </c>
    </row>
    <row r="43" spans="1:6" x14ac:dyDescent="0.25">
      <c r="A43" s="48" t="s">
        <v>42</v>
      </c>
      <c r="B43" s="200">
        <f>AVERAGE(B8:B38)</f>
        <v>15674.212580645159</v>
      </c>
      <c r="C43" s="200">
        <f>AVERAGE(C8:C38)</f>
        <v>15834.489677419358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47</v>
      </c>
    </row>
    <row r="45" spans="1:6" x14ac:dyDescent="0.25">
      <c r="B45" s="41" t="s">
        <v>48</v>
      </c>
      <c r="C45" s="41" t="s">
        <v>48</v>
      </c>
    </row>
    <row r="46" spans="1:6" x14ac:dyDescent="0.25">
      <c r="E46" s="41" t="s">
        <v>48</v>
      </c>
      <c r="F46" s="41" t="s">
        <v>48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W48" zoomScaleNormal="100" workbookViewId="0">
      <selection activeCell="Y73" sqref="Y7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190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44744</v>
      </c>
      <c r="D6" s="85" t="s">
        <v>23</v>
      </c>
      <c r="E6" s="8" t="s">
        <v>165</v>
      </c>
      <c r="F6" s="9"/>
      <c r="G6" s="9"/>
    </row>
    <row r="8" spans="1:28" x14ac:dyDescent="0.25">
      <c r="A8" s="7" t="s">
        <v>77</v>
      </c>
      <c r="B8" s="108">
        <v>5.54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2130</v>
      </c>
      <c r="C12" s="15"/>
      <c r="D12" s="56"/>
      <c r="E12" s="16"/>
      <c r="F12" s="56"/>
      <c r="G12" s="56"/>
      <c r="H12" s="17"/>
      <c r="I12" s="83">
        <v>2130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3">
        <v>182</v>
      </c>
      <c r="Q12" s="153">
        <v>6</v>
      </c>
      <c r="R12" s="154">
        <v>2023.02</v>
      </c>
      <c r="S12" s="155"/>
      <c r="T12" s="155">
        <v>109.13</v>
      </c>
      <c r="U12" s="189">
        <f>((T12/U$10)*U$9)</f>
        <v>4.7038793103448278</v>
      </c>
      <c r="V12" s="189">
        <f>R12*V$10</f>
        <v>15.172649999999999</v>
      </c>
      <c r="W12" s="189">
        <f>+S12*V$10</f>
        <v>0</v>
      </c>
      <c r="X12" s="189">
        <f>+T12*X$10</f>
        <v>2.7282500000000001</v>
      </c>
      <c r="Y12" s="189">
        <f>R12-V12</f>
        <v>2007.84735</v>
      </c>
      <c r="Z12" s="189">
        <f>S12-W12</f>
        <v>0</v>
      </c>
      <c r="AA12" s="189">
        <f>T12-U12-X12</f>
        <v>101.69787068965516</v>
      </c>
      <c r="AB12" s="156"/>
    </row>
    <row r="13" spans="1:28" ht="15.75" x14ac:dyDescent="0.25">
      <c r="A13" s="86" t="s">
        <v>76</v>
      </c>
      <c r="B13" s="89">
        <v>1904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1904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10548.16</v>
      </c>
      <c r="C14" s="15"/>
      <c r="D14" s="56"/>
      <c r="E14" s="16"/>
      <c r="F14" s="56"/>
      <c r="G14" s="56"/>
      <c r="H14" s="17"/>
      <c r="I14" s="83"/>
      <c r="J14" s="81">
        <f t="shared" si="0"/>
        <v>10548.16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1904</v>
      </c>
      <c r="C19" s="95"/>
      <c r="D19" s="94"/>
      <c r="E19" s="96"/>
      <c r="F19" s="94"/>
      <c r="G19" s="94"/>
      <c r="H19" s="98"/>
      <c r="I19" s="99"/>
      <c r="J19" s="185">
        <f>B19-I19</f>
        <v>1904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10548.16</v>
      </c>
      <c r="C20" s="95"/>
      <c r="D20" s="94"/>
      <c r="E20" s="96"/>
      <c r="F20" s="94"/>
      <c r="G20" s="94"/>
      <c r="H20" s="98"/>
      <c r="I20" s="99">
        <v>10586.24</v>
      </c>
      <c r="J20" s="185">
        <f t="shared" si="0"/>
        <v>-38.079999999999927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11.05</v>
      </c>
      <c r="C37" s="100"/>
      <c r="D37" s="66"/>
      <c r="E37" s="67"/>
      <c r="F37" s="66"/>
      <c r="G37" s="66"/>
      <c r="H37" s="102"/>
      <c r="I37" s="79">
        <v>11.05</v>
      </c>
      <c r="J37" s="81">
        <f t="shared" si="0"/>
        <v>0</v>
      </c>
      <c r="K37" s="80">
        <v>11.05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61.217000000000006</v>
      </c>
      <c r="C38" s="100"/>
      <c r="D38" s="66"/>
      <c r="E38" s="67"/>
      <c r="F38" s="66"/>
      <c r="G38" s="66"/>
      <c r="H38" s="102"/>
      <c r="I38" s="79">
        <v>61.22</v>
      </c>
      <c r="J38" s="81">
        <f t="shared" si="0"/>
        <v>-2.9999999999930083E-3</v>
      </c>
      <c r="K38" s="80">
        <v>61.22</v>
      </c>
      <c r="L38" s="186">
        <f>K38-B38</f>
        <v>2.9999999999930083E-3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2023.02</v>
      </c>
      <c r="S42" s="190">
        <f t="shared" si="8"/>
        <v>0</v>
      </c>
      <c r="T42" s="190">
        <f t="shared" si="8"/>
        <v>109.13</v>
      </c>
      <c r="U42" s="190">
        <f t="shared" si="8"/>
        <v>4.7038793103448278</v>
      </c>
      <c r="V42" s="190">
        <f t="shared" si="8"/>
        <v>15.172649999999999</v>
      </c>
      <c r="W42" s="190">
        <f t="shared" si="8"/>
        <v>0</v>
      </c>
      <c r="X42" s="190">
        <f t="shared" si="8"/>
        <v>2.7282500000000001</v>
      </c>
      <c r="Y42" s="190">
        <f t="shared" si="8"/>
        <v>2007.84735</v>
      </c>
      <c r="Z42" s="190">
        <f t="shared" si="8"/>
        <v>0</v>
      </c>
      <c r="AA42" s="190">
        <f t="shared" si="8"/>
        <v>101.69787068965516</v>
      </c>
      <c r="AB42" s="166"/>
    </row>
    <row r="43" spans="1:28" ht="15.75" x14ac:dyDescent="0.25">
      <c r="A43" s="93" t="s">
        <v>103</v>
      </c>
      <c r="B43" s="97">
        <f>+B37+B39+B41</f>
        <v>11.05</v>
      </c>
      <c r="C43" s="95"/>
      <c r="D43" s="94"/>
      <c r="E43" s="96"/>
      <c r="F43" s="94"/>
      <c r="G43" s="94"/>
      <c r="H43" s="98"/>
      <c r="I43" s="99">
        <v>11.05</v>
      </c>
      <c r="J43" s="185">
        <f t="shared" si="0"/>
        <v>0</v>
      </c>
      <c r="K43" s="99">
        <v>11.05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61.217000000000006</v>
      </c>
      <c r="C44" s="95"/>
      <c r="D44" s="94"/>
      <c r="E44" s="96"/>
      <c r="F44" s="94"/>
      <c r="G44" s="94"/>
      <c r="H44" s="98"/>
      <c r="I44" s="99">
        <v>61.22</v>
      </c>
      <c r="J44" s="185">
        <f t="shared" si="0"/>
        <v>-2.9999999999930083E-3</v>
      </c>
      <c r="K44" s="99">
        <v>61.22</v>
      </c>
      <c r="L44" s="187">
        <f>K44-B44</f>
        <v>2.9999999999930083E-3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2023.02</v>
      </c>
      <c r="C46" s="116">
        <v>7.4999999999999997E-3</v>
      </c>
      <c r="D46" s="117">
        <f>B46*C46</f>
        <v>15.172649999999999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2007.84735</v>
      </c>
      <c r="H46" s="173">
        <f>B$6+1</f>
        <v>44745</v>
      </c>
      <c r="I46" s="174"/>
      <c r="J46" s="81">
        <f t="shared" si="0"/>
        <v>2023.02</v>
      </c>
      <c r="K46" s="80">
        <v>2007.85</v>
      </c>
      <c r="L46" s="186">
        <f t="shared" ref="L46:L64" si="17">+G46-K46</f>
        <v>-2.6499999999032298E-3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3355.32</v>
      </c>
      <c r="C49" s="116">
        <v>7.4999999999999997E-3</v>
      </c>
      <c r="D49" s="117">
        <f t="shared" si="18"/>
        <v>25.164899999999999</v>
      </c>
      <c r="E49" s="172">
        <v>0</v>
      </c>
      <c r="F49" s="117">
        <f t="shared" si="15"/>
        <v>0</v>
      </c>
      <c r="G49" s="117">
        <f t="shared" si="16"/>
        <v>3330.1550999999999</v>
      </c>
      <c r="H49" s="173">
        <f t="shared" si="19"/>
        <v>44745</v>
      </c>
      <c r="I49" s="176"/>
      <c r="J49" s="81">
        <f t="shared" si="0"/>
        <v>3355.32</v>
      </c>
      <c r="K49" s="80">
        <v>3330.16</v>
      </c>
      <c r="L49" s="186">
        <f t="shared" si="17"/>
        <v>-4.8999999999068677E-3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832.31999999999994</v>
      </c>
      <c r="C50" s="116">
        <v>7.4999999999999997E-3</v>
      </c>
      <c r="D50" s="117">
        <f t="shared" si="18"/>
        <v>6.2423999999999991</v>
      </c>
      <c r="E50" s="172">
        <v>0</v>
      </c>
      <c r="F50" s="117">
        <f t="shared" si="15"/>
        <v>0</v>
      </c>
      <c r="G50" s="117">
        <f t="shared" si="16"/>
        <v>826.07759999999996</v>
      </c>
      <c r="H50" s="173">
        <f t="shared" si="19"/>
        <v>44745</v>
      </c>
      <c r="I50" s="175"/>
      <c r="J50" s="81">
        <f t="shared" si="0"/>
        <v>832.31999999999994</v>
      </c>
      <c r="K50" s="80">
        <v>826.08</v>
      </c>
      <c r="L50" s="186">
        <f t="shared" si="17"/>
        <v>-2.4000000000796717E-3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378.83</v>
      </c>
      <c r="C51" s="116">
        <v>1.4999999999999999E-2</v>
      </c>
      <c r="D51" s="117">
        <f>+B51*C51</f>
        <v>5.6824499999999993</v>
      </c>
      <c r="E51" s="172">
        <v>0</v>
      </c>
      <c r="F51" s="117">
        <f>D51*E51</f>
        <v>0</v>
      </c>
      <c r="G51" s="117">
        <f t="shared" si="16"/>
        <v>373.14754999999997</v>
      </c>
      <c r="H51" s="173">
        <f t="shared" si="19"/>
        <v>44745</v>
      </c>
      <c r="I51" s="175"/>
      <c r="J51" s="81">
        <f t="shared" si="0"/>
        <v>378.83</v>
      </c>
      <c r="K51" s="80">
        <v>373.15</v>
      </c>
      <c r="L51" s="186">
        <f t="shared" si="17"/>
        <v>-2.4500000000102773E-3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109.13</v>
      </c>
      <c r="C52" s="116">
        <v>2.5000000000000001E-2</v>
      </c>
      <c r="D52" s="117">
        <f>B52*C52</f>
        <v>2.7282500000000001</v>
      </c>
      <c r="E52" s="172">
        <v>0.05</v>
      </c>
      <c r="F52" s="117">
        <f>(B52/E$10)*E52</f>
        <v>4.7038793103448278</v>
      </c>
      <c r="G52" s="117">
        <f>B52-D52-F52</f>
        <v>101.69787068965516</v>
      </c>
      <c r="H52" s="188">
        <f t="shared" si="19"/>
        <v>44745</v>
      </c>
      <c r="I52" s="176">
        <v>109.13</v>
      </c>
      <c r="J52" s="81">
        <f t="shared" si="0"/>
        <v>0</v>
      </c>
      <c r="K52" s="80">
        <v>101.7</v>
      </c>
      <c r="L52" s="186">
        <f t="shared" si="17"/>
        <v>-2.1293103448414286E-3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 t="s">
        <v>167</v>
      </c>
      <c r="U55" s="189" t="e">
        <f t="shared" si="9"/>
        <v>#VALUE!</v>
      </c>
      <c r="V55" s="189"/>
      <c r="W55" s="189">
        <f t="shared" si="11"/>
        <v>0</v>
      </c>
      <c r="X55" s="189" t="e">
        <f t="shared" si="12"/>
        <v>#VALUE!</v>
      </c>
      <c r="Y55" s="189">
        <f t="shared" si="13"/>
        <v>0</v>
      </c>
      <c r="Z55" s="189">
        <f t="shared" si="13"/>
        <v>0</v>
      </c>
      <c r="AA55" s="189" t="e">
        <f t="shared" si="14"/>
        <v>#VALUE!</v>
      </c>
      <c r="AB55" s="156"/>
    </row>
    <row r="56" spans="1:28" ht="15.75" x14ac:dyDescent="0.25">
      <c r="A56" s="115" t="s">
        <v>179</v>
      </c>
      <c r="B56" s="117">
        <f>T75</f>
        <v>8.9499999999999993</v>
      </c>
      <c r="C56" s="116">
        <v>2.5000000000000001E-2</v>
      </c>
      <c r="D56" s="117">
        <f t="shared" si="20"/>
        <v>0.22375</v>
      </c>
      <c r="E56" s="172">
        <v>0.05</v>
      </c>
      <c r="F56" s="117">
        <f t="shared" si="21"/>
        <v>0.38577586206896552</v>
      </c>
      <c r="G56" s="117">
        <f t="shared" si="22"/>
        <v>8.3404741379310323</v>
      </c>
      <c r="H56" s="173">
        <f t="shared" si="19"/>
        <v>44745</v>
      </c>
      <c r="I56" s="176">
        <v>8.9499999999999993</v>
      </c>
      <c r="J56" s="81">
        <f t="shared" si="0"/>
        <v>0</v>
      </c>
      <c r="K56" s="80">
        <v>8.34</v>
      </c>
      <c r="L56" s="186">
        <f t="shared" si="17"/>
        <v>4.7413793103245894E-4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55.214400000000005</v>
      </c>
      <c r="E61" s="177"/>
      <c r="F61" s="57">
        <f>SUM(F46:F58)</f>
        <v>5.0896551724137931</v>
      </c>
      <c r="G61" s="57">
        <f>SUM(G46:G58)</f>
        <v>6647.2659448275854</v>
      </c>
      <c r="H61" s="173">
        <f t="shared" si="19"/>
        <v>44745</v>
      </c>
      <c r="I61" s="175"/>
      <c r="J61" s="81">
        <f t="shared" si="0"/>
        <v>0</v>
      </c>
      <c r="K61" s="80"/>
      <c r="L61" s="186">
        <f t="shared" si="17"/>
        <v>6647.2659448275854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 t="e">
        <f t="shared" ref="U63:X63" si="25">SUM(U43:U62)</f>
        <v>#VALUE!</v>
      </c>
      <c r="V63" s="191">
        <f t="shared" si="25"/>
        <v>0</v>
      </c>
      <c r="W63" s="191">
        <f t="shared" si="25"/>
        <v>0</v>
      </c>
      <c r="X63" s="191" t="e">
        <f t="shared" si="25"/>
        <v>#VALUE!</v>
      </c>
      <c r="Y63" s="191">
        <f>SUM(Y43:Y62)</f>
        <v>0</v>
      </c>
      <c r="Z63" s="191">
        <f t="shared" ref="Z63:AA63" si="26">SUM(Z43:Z62)</f>
        <v>0</v>
      </c>
      <c r="AA63" s="191" t="e">
        <f t="shared" si="26"/>
        <v>#VALUE!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13294.531889655171</v>
      </c>
      <c r="H64" s="184"/>
      <c r="I64" s="175"/>
      <c r="J64" s="81">
        <f t="shared" si="0"/>
        <v>0</v>
      </c>
      <c r="K64" s="80"/>
      <c r="L64" s="186">
        <f t="shared" si="17"/>
        <v>13294.531889655171</v>
      </c>
      <c r="M64" s="130"/>
      <c r="N64" s="87">
        <v>1</v>
      </c>
      <c r="O64" s="122"/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19446.947000000004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19141.41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19428.939999999999</v>
      </c>
      <c r="C69" s="59"/>
      <c r="F69" s="87" t="s">
        <v>129</v>
      </c>
      <c r="G69" s="22"/>
      <c r="H69" s="89"/>
      <c r="I69" s="136"/>
      <c r="J69" s="136">
        <f>K52</f>
        <v>101.7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-287.52999999999884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882</v>
      </c>
      <c r="Q70" s="228">
        <v>2002</v>
      </c>
      <c r="R70" s="255">
        <v>1844.18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13.83135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1830.3486500000001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237">
        <f>(B65-B69)-B72</f>
        <v>18.007000000005064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101.7</v>
      </c>
      <c r="N71" s="87">
        <v>2</v>
      </c>
      <c r="O71" s="122" t="s">
        <v>188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797</v>
      </c>
      <c r="Q73" s="228">
        <v>2002</v>
      </c>
      <c r="R73" s="255">
        <v>1511.14</v>
      </c>
      <c r="S73" s="228"/>
      <c r="T73" s="228">
        <v>8.9499999999999993</v>
      </c>
      <c r="U73" s="189">
        <f t="shared" si="34"/>
        <v>0.38577586206896552</v>
      </c>
      <c r="V73" s="189">
        <f t="shared" si="35"/>
        <v>11.333550000000001</v>
      </c>
      <c r="W73" s="189">
        <f t="shared" si="36"/>
        <v>0</v>
      </c>
      <c r="X73" s="189">
        <f t="shared" si="37"/>
        <v>0.22375</v>
      </c>
      <c r="Y73" s="189">
        <f t="shared" si="38"/>
        <v>1499.80645</v>
      </c>
      <c r="Z73" s="189">
        <f t="shared" si="38"/>
        <v>0</v>
      </c>
      <c r="AA73" s="189">
        <f t="shared" si="39"/>
        <v>8.3404741379310323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3355.32</v>
      </c>
      <c r="S75" s="192"/>
      <c r="T75" s="192">
        <f>SUM(T70:T74)</f>
        <v>8.9499999999999993</v>
      </c>
      <c r="U75" s="192">
        <f>SUM(U70:U74)</f>
        <v>0.38577586206896552</v>
      </c>
      <c r="V75" s="192">
        <f t="shared" ref="V75:AA75" si="41">SUM(V70:V74)</f>
        <v>25.164900000000003</v>
      </c>
      <c r="W75" s="192">
        <f t="shared" si="41"/>
        <v>0</v>
      </c>
      <c r="X75" s="192">
        <f t="shared" si="41"/>
        <v>0.22375</v>
      </c>
      <c r="Y75" s="192">
        <f t="shared" si="41"/>
        <v>3330.1550999999999</v>
      </c>
      <c r="Z75" s="192">
        <f t="shared" si="41"/>
        <v>0</v>
      </c>
      <c r="AA75" s="193">
        <f t="shared" si="41"/>
        <v>8.3404741379310323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270.20999999999998</v>
      </c>
      <c r="Q80" s="137">
        <v>179.97</v>
      </c>
      <c r="R80" s="82">
        <v>7.4999999999999997E-3</v>
      </c>
      <c r="S80" s="194">
        <f t="shared" si="43"/>
        <v>3.3763499999999995</v>
      </c>
      <c r="T80" s="242">
        <f t="shared" si="44"/>
        <v>446.80364999999995</v>
      </c>
      <c r="U80" s="211">
        <v>57.53</v>
      </c>
      <c r="V80" s="112"/>
      <c r="W80" s="113">
        <v>1.4999999999999999E-2</v>
      </c>
      <c r="X80" s="196">
        <f t="shared" si="45"/>
        <v>0.86294999999999999</v>
      </c>
      <c r="Y80" s="242">
        <f t="shared" si="46"/>
        <v>56.667050000000003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198.51</v>
      </c>
      <c r="Q81" s="137">
        <v>173.83</v>
      </c>
      <c r="R81" s="82">
        <v>7.4999999999999997E-3</v>
      </c>
      <c r="S81" s="194">
        <f t="shared" si="43"/>
        <v>2.7925500000000003</v>
      </c>
      <c r="T81" s="242">
        <f t="shared" si="44"/>
        <v>369.54745000000003</v>
      </c>
      <c r="U81" s="211">
        <v>247.17</v>
      </c>
      <c r="V81" s="112"/>
      <c r="W81" s="113">
        <v>1.4999999999999999E-2</v>
      </c>
      <c r="X81" s="196">
        <f t="shared" si="45"/>
        <v>3.7075499999999995</v>
      </c>
      <c r="Y81" s="242">
        <f t="shared" si="46"/>
        <v>243.46244999999999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9.8000000000000007</v>
      </c>
      <c r="Q82" s="137"/>
      <c r="R82" s="82">
        <v>7.4999999999999997E-3</v>
      </c>
      <c r="S82" s="194">
        <f t="shared" si="43"/>
        <v>7.3499999999999996E-2</v>
      </c>
      <c r="T82" s="242">
        <f t="shared" si="44"/>
        <v>9.7265000000000015</v>
      </c>
      <c r="U82" s="112">
        <v>74.13</v>
      </c>
      <c r="V82" s="112"/>
      <c r="W82" s="113">
        <v>1.4999999999999999E-2</v>
      </c>
      <c r="X82" s="196">
        <f t="shared" si="45"/>
        <v>1.11195</v>
      </c>
      <c r="Y82" s="242">
        <f t="shared" si="46"/>
        <v>73.018050000000002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478.52</v>
      </c>
      <c r="Q98" s="195">
        <f>SUM(Q78:Q97)</f>
        <v>353.8</v>
      </c>
      <c r="R98" s="111"/>
      <c r="S98" s="195">
        <f>SUM(S78:S97)</f>
        <v>6.2423999999999999</v>
      </c>
      <c r="T98" s="195">
        <f>SUM(T78:T97)</f>
        <v>826.07759999999996</v>
      </c>
      <c r="U98" s="114">
        <f>SUM(U78:U97)</f>
        <v>378.83</v>
      </c>
      <c r="V98" s="114">
        <f>SUM(V78:V97)</f>
        <v>0</v>
      </c>
      <c r="W98" s="112"/>
      <c r="X98" s="197">
        <f>SUM(X78:X97)</f>
        <v>5.6824499999999993</v>
      </c>
      <c r="Y98" s="197">
        <f>SUM(Y78:Y97)</f>
        <v>373.14755000000002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P78+U78+Q78</f>
        <v>0</v>
      </c>
    </row>
    <row r="102" spans="14:30" x14ac:dyDescent="0.25">
      <c r="N102" s="85"/>
      <c r="Q102" s="215">
        <f>P79+U79+Q79</f>
        <v>0</v>
      </c>
    </row>
    <row r="103" spans="14:30" x14ac:dyDescent="0.25">
      <c r="N103" s="85"/>
      <c r="Q103" s="215">
        <f>P80+Q80+U80</f>
        <v>507.70999999999992</v>
      </c>
    </row>
    <row r="104" spans="14:30" x14ac:dyDescent="0.25">
      <c r="N104" s="85"/>
      <c r="Q104" s="215">
        <f>P81+Q81+U81</f>
        <v>619.51</v>
      </c>
    </row>
    <row r="105" spans="14:30" x14ac:dyDescent="0.25">
      <c r="N105" s="85"/>
      <c r="Q105" s="235">
        <f>P82+Q82+U82</f>
        <v>83.929999999999993</v>
      </c>
    </row>
    <row r="106" spans="14:30" x14ac:dyDescent="0.25">
      <c r="N106" s="85"/>
      <c r="Q106" s="221">
        <f>P83+U83+Q83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X45" zoomScale="90" zoomScaleNormal="90" workbookViewId="0">
      <selection activeCell="AA71" sqref="AA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190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44745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>
        <v>5.49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1939.5</v>
      </c>
      <c r="C12" s="15"/>
      <c r="D12" s="56"/>
      <c r="E12" s="16"/>
      <c r="F12" s="56"/>
      <c r="G12" s="56"/>
      <c r="H12" s="17"/>
      <c r="I12" s="83">
        <v>1939.5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183</v>
      </c>
      <c r="Q12" s="158">
        <v>6</v>
      </c>
      <c r="R12" s="159">
        <v>3486.29</v>
      </c>
      <c r="S12" s="160"/>
      <c r="T12" s="160">
        <v>88.94</v>
      </c>
      <c r="U12" s="189">
        <f>((T12/U$10)*U$9)</f>
        <v>3.8336206896551723</v>
      </c>
      <c r="V12" s="189">
        <f>R12*V$10</f>
        <v>26.147174999999997</v>
      </c>
      <c r="W12" s="189">
        <f>+S12*V$10</f>
        <v>0</v>
      </c>
      <c r="X12" s="189">
        <f>+T12*X$10</f>
        <v>2.2235</v>
      </c>
      <c r="Y12" s="189">
        <f>R12-V12</f>
        <v>3460.1428249999999</v>
      </c>
      <c r="Z12" s="189">
        <f>S12-W12</f>
        <v>0</v>
      </c>
      <c r="AA12" s="189">
        <f>T12-U12-X12</f>
        <v>82.882879310344819</v>
      </c>
      <c r="AB12" s="156"/>
    </row>
    <row r="13" spans="1:28" ht="15.75" x14ac:dyDescent="0.25">
      <c r="A13" s="86" t="s">
        <v>76</v>
      </c>
      <c r="B13" s="89">
        <v>1773</v>
      </c>
      <c r="C13" s="15"/>
      <c r="D13" s="56"/>
      <c r="E13" s="16"/>
      <c r="F13" s="56"/>
      <c r="G13" s="56"/>
      <c r="H13" s="17"/>
      <c r="I13" s="83">
        <v>1773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184</v>
      </c>
      <c r="Q13" s="158">
        <v>6</v>
      </c>
      <c r="R13" s="159">
        <v>819.9</v>
      </c>
      <c r="S13" s="160"/>
      <c r="T13" s="161">
        <v>104.8</v>
      </c>
      <c r="U13" s="189">
        <f t="shared" ref="U13:U41" si="2">((T13/U$10)*U$9)</f>
        <v>4.5172413793103452</v>
      </c>
      <c r="V13" s="189">
        <f t="shared" ref="V13:V41" si="3">R13*V$10</f>
        <v>6.1492499999999994</v>
      </c>
      <c r="W13" s="189">
        <f t="shared" ref="W13:W41" si="4">+S13*V$10</f>
        <v>0</v>
      </c>
      <c r="X13" s="189">
        <f t="shared" ref="X13:X41" si="5">+T13*X$10</f>
        <v>2.62</v>
      </c>
      <c r="Y13" s="189">
        <f t="shared" ref="Y13:Z41" si="6">R13-V13</f>
        <v>813.75074999999993</v>
      </c>
      <c r="Z13" s="189">
        <f t="shared" si="6"/>
        <v>0</v>
      </c>
      <c r="AA13" s="189">
        <f t="shared" ref="AA13:AA41" si="7">T13-U13-X13</f>
        <v>97.662758620689644</v>
      </c>
      <c r="AB13" s="156"/>
    </row>
    <row r="14" spans="1:28" ht="15.75" x14ac:dyDescent="0.25">
      <c r="A14" s="86" t="s">
        <v>83</v>
      </c>
      <c r="B14" s="57">
        <f>B13*B8</f>
        <v>9857.8799999999992</v>
      </c>
      <c r="C14" s="15"/>
      <c r="D14" s="56"/>
      <c r="E14" s="16"/>
      <c r="F14" s="56"/>
      <c r="G14" s="56"/>
      <c r="H14" s="17"/>
      <c r="I14" s="83">
        <v>9857.8799999999992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1773</v>
      </c>
      <c r="C19" s="95"/>
      <c r="D19" s="94"/>
      <c r="E19" s="96"/>
      <c r="F19" s="94"/>
      <c r="G19" s="94"/>
      <c r="H19" s="98"/>
      <c r="I19" s="99">
        <v>1773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9857.8799999999992</v>
      </c>
      <c r="C20" s="95"/>
      <c r="D20" s="94"/>
      <c r="E20" s="96"/>
      <c r="F20" s="94"/>
      <c r="G20" s="94"/>
      <c r="H20" s="98"/>
      <c r="I20" s="99">
        <v>9857.8799999999992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97.26</v>
      </c>
      <c r="C37" s="100"/>
      <c r="D37" s="66"/>
      <c r="E37" s="67"/>
      <c r="F37" s="66"/>
      <c r="G37" s="66"/>
      <c r="H37" s="102"/>
      <c r="I37" s="79">
        <v>97.26</v>
      </c>
      <c r="J37" s="81">
        <f t="shared" si="0"/>
        <v>0</v>
      </c>
      <c r="K37" s="80">
        <v>97.26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540.76559999999995</v>
      </c>
      <c r="C38" s="100"/>
      <c r="D38" s="66"/>
      <c r="E38" s="67"/>
      <c r="F38" s="66"/>
      <c r="G38" s="66"/>
      <c r="H38" s="102"/>
      <c r="I38" s="79">
        <v>540.77</v>
      </c>
      <c r="J38" s="81">
        <f t="shared" si="0"/>
        <v>-4.400000000032378E-3</v>
      </c>
      <c r="K38" s="80">
        <v>540.77</v>
      </c>
      <c r="L38" s="186">
        <f>K38-B38</f>
        <v>4.400000000032378E-3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4306.1899999999996</v>
      </c>
      <c r="S42" s="190">
        <f t="shared" si="8"/>
        <v>0</v>
      </c>
      <c r="T42" s="190">
        <f t="shared" si="8"/>
        <v>193.74</v>
      </c>
      <c r="U42" s="190">
        <f t="shared" si="8"/>
        <v>8.3508620689655171</v>
      </c>
      <c r="V42" s="190">
        <f t="shared" si="8"/>
        <v>32.296424999999999</v>
      </c>
      <c r="W42" s="190">
        <f t="shared" si="8"/>
        <v>0</v>
      </c>
      <c r="X42" s="190">
        <f t="shared" si="8"/>
        <v>4.8435000000000006</v>
      </c>
      <c r="Y42" s="190">
        <f>SUM(Y12:Y41)</f>
        <v>4273.8935750000001</v>
      </c>
      <c r="Z42" s="190">
        <f t="shared" si="8"/>
        <v>0</v>
      </c>
      <c r="AA42" s="190">
        <f t="shared" si="8"/>
        <v>180.54563793103446</v>
      </c>
      <c r="AB42" s="166"/>
    </row>
    <row r="43" spans="1:28" ht="15.75" x14ac:dyDescent="0.25">
      <c r="A43" s="93" t="s">
        <v>103</v>
      </c>
      <c r="B43" s="97">
        <f>+B37+B39+B41</f>
        <v>97.26</v>
      </c>
      <c r="C43" s="95"/>
      <c r="D43" s="94"/>
      <c r="E43" s="96"/>
      <c r="F43" s="94"/>
      <c r="G43" s="94"/>
      <c r="H43" s="98"/>
      <c r="I43" s="99">
        <v>97.26</v>
      </c>
      <c r="J43" s="185">
        <f t="shared" si="0"/>
        <v>0</v>
      </c>
      <c r="K43" s="99">
        <v>97.26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540.76559999999995</v>
      </c>
      <c r="C44" s="95"/>
      <c r="D44" s="94"/>
      <c r="E44" s="96"/>
      <c r="F44" s="94"/>
      <c r="G44" s="94"/>
      <c r="H44" s="98"/>
      <c r="I44" s="99">
        <v>540.77</v>
      </c>
      <c r="J44" s="185">
        <f t="shared" si="0"/>
        <v>-4.400000000032378E-3</v>
      </c>
      <c r="K44" s="99">
        <v>540.77</v>
      </c>
      <c r="L44" s="187">
        <f>K44-B44</f>
        <v>4.400000000032378E-3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4306.1899999999996</v>
      </c>
      <c r="C46" s="116">
        <v>7.4999999999999997E-3</v>
      </c>
      <c r="D46" s="117">
        <f>B46*C46</f>
        <v>32.296424999999999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4273.8935750000001</v>
      </c>
      <c r="H46" s="173">
        <f>B$6+1</f>
        <v>44746</v>
      </c>
      <c r="I46" s="174"/>
      <c r="J46" s="81">
        <f t="shared" si="0"/>
        <v>4306.1899999999996</v>
      </c>
      <c r="K46" s="80">
        <v>4273.8900000000003</v>
      </c>
      <c r="L46" s="186">
        <f t="shared" ref="L46:L64" si="17">+G46-K46</f>
        <v>3.5749999997278792E-3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4709.7300000000005</v>
      </c>
      <c r="C49" s="116">
        <v>7.4999999999999997E-3</v>
      </c>
      <c r="D49" s="117">
        <f t="shared" si="18"/>
        <v>35.322975</v>
      </c>
      <c r="E49" s="172">
        <v>0</v>
      </c>
      <c r="F49" s="117">
        <f t="shared" si="15"/>
        <v>0</v>
      </c>
      <c r="G49" s="117">
        <f t="shared" si="16"/>
        <v>4674.4070250000004</v>
      </c>
      <c r="H49" s="173">
        <f t="shared" si="19"/>
        <v>44746</v>
      </c>
      <c r="I49" s="176"/>
      <c r="J49" s="81">
        <f t="shared" si="0"/>
        <v>4709.7300000000005</v>
      </c>
      <c r="K49" s="80">
        <v>4674.41</v>
      </c>
      <c r="L49" s="186">
        <f t="shared" si="17"/>
        <v>-2.9749999994237442E-3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1341.31</v>
      </c>
      <c r="C50" s="116">
        <v>7.4999999999999997E-3</v>
      </c>
      <c r="D50" s="117">
        <f t="shared" si="18"/>
        <v>10.059825</v>
      </c>
      <c r="E50" s="172">
        <v>0</v>
      </c>
      <c r="F50" s="117">
        <f t="shared" si="15"/>
        <v>0</v>
      </c>
      <c r="G50" s="117">
        <f t="shared" si="16"/>
        <v>1331.2501749999999</v>
      </c>
      <c r="H50" s="173">
        <f t="shared" si="19"/>
        <v>44746</v>
      </c>
      <c r="I50" s="175"/>
      <c r="J50" s="81">
        <f t="shared" si="0"/>
        <v>1341.31</v>
      </c>
      <c r="K50" s="80">
        <v>1331.25</v>
      </c>
      <c r="L50" s="186">
        <f t="shared" si="17"/>
        <v>1.7499999989922799E-4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350.99</v>
      </c>
      <c r="C51" s="116">
        <v>1.4999999999999999E-2</v>
      </c>
      <c r="D51" s="117">
        <f>+B51*C51</f>
        <v>5.26485</v>
      </c>
      <c r="E51" s="172">
        <v>0</v>
      </c>
      <c r="F51" s="117">
        <f>D51*E51</f>
        <v>0</v>
      </c>
      <c r="G51" s="117">
        <f t="shared" si="16"/>
        <v>345.72514999999999</v>
      </c>
      <c r="H51" s="173">
        <f t="shared" si="19"/>
        <v>44746</v>
      </c>
      <c r="I51" s="175"/>
      <c r="J51" s="81">
        <f t="shared" si="0"/>
        <v>350.99</v>
      </c>
      <c r="K51" s="80">
        <v>345.73</v>
      </c>
      <c r="L51" s="186">
        <f t="shared" si="17"/>
        <v>-4.8500000000331056E-3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193.74</v>
      </c>
      <c r="C52" s="116">
        <v>2.5000000000000001E-2</v>
      </c>
      <c r="D52" s="117">
        <f>B52*C52</f>
        <v>4.8435000000000006</v>
      </c>
      <c r="E52" s="172">
        <v>0.05</v>
      </c>
      <c r="F52" s="117">
        <f>(B52/E$10)*E52</f>
        <v>8.3508620689655189</v>
      </c>
      <c r="G52" s="117">
        <f>B52-D52-F52</f>
        <v>180.54563793103449</v>
      </c>
      <c r="H52" s="188">
        <f t="shared" si="19"/>
        <v>44746</v>
      </c>
      <c r="I52" s="176">
        <v>193.74</v>
      </c>
      <c r="J52" s="81">
        <f t="shared" si="0"/>
        <v>0</v>
      </c>
      <c r="K52" s="80">
        <v>180.55</v>
      </c>
      <c r="L52" s="186">
        <f t="shared" si="17"/>
        <v>-4.3620689655199385E-3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59.27</v>
      </c>
      <c r="C56" s="116">
        <v>2.5000000000000001E-2</v>
      </c>
      <c r="D56" s="117">
        <f t="shared" si="20"/>
        <v>1.4817500000000001</v>
      </c>
      <c r="E56" s="172">
        <v>0.05</v>
      </c>
      <c r="F56" s="117">
        <f t="shared" si="21"/>
        <v>2.5547413793103453</v>
      </c>
      <c r="G56" s="117">
        <f t="shared" si="22"/>
        <v>55.233508620689662</v>
      </c>
      <c r="H56" s="173">
        <f t="shared" si="19"/>
        <v>44746</v>
      </c>
      <c r="I56" s="176">
        <v>59.27</v>
      </c>
      <c r="J56" s="81">
        <f t="shared" si="0"/>
        <v>0</v>
      </c>
      <c r="K56" s="80">
        <v>55.23</v>
      </c>
      <c r="L56" s="186">
        <f t="shared" si="17"/>
        <v>3.5086206896650651E-3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89.269325000000009</v>
      </c>
      <c r="E61" s="177"/>
      <c r="F61" s="57">
        <f>SUM(F46:F58)</f>
        <v>10.905603448275864</v>
      </c>
      <c r="G61" s="57">
        <f>SUM(G46:G58)</f>
        <v>10861.055071551724</v>
      </c>
      <c r="H61" s="173">
        <f t="shared" si="19"/>
        <v>44746</v>
      </c>
      <c r="I61" s="175"/>
      <c r="J61" s="81">
        <f t="shared" si="0"/>
        <v>0</v>
      </c>
      <c r="K61" s="80"/>
      <c r="L61" s="186">
        <f t="shared" si="17"/>
        <v>10861.055071551724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21722.110143103448</v>
      </c>
      <c r="H64" s="184"/>
      <c r="I64" s="175"/>
      <c r="J64" s="81">
        <f t="shared" si="0"/>
        <v>0</v>
      </c>
      <c r="K64" s="80"/>
      <c r="L64" s="186">
        <f t="shared" si="17"/>
        <v>21722.110143103448</v>
      </c>
      <c r="M64" s="130"/>
      <c r="N64" s="87">
        <v>1</v>
      </c>
      <c r="O64" s="122" t="s">
        <v>180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23299.375600000003</v>
      </c>
      <c r="G65" s="22"/>
      <c r="L65" s="132"/>
      <c r="M65" s="131"/>
      <c r="N65" s="87">
        <v>2</v>
      </c>
      <c r="O65" s="122" t="s">
        <v>180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180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180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30" x14ac:dyDescent="0.25">
      <c r="A68" s="248" t="s">
        <v>221</v>
      </c>
      <c r="B68" s="249">
        <v>22982.04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220</v>
      </c>
      <c r="B69" s="62">
        <v>23263.78</v>
      </c>
      <c r="C69" s="59"/>
      <c r="F69" s="87" t="s">
        <v>129</v>
      </c>
      <c r="G69" s="22"/>
      <c r="H69" s="89"/>
      <c r="I69" s="136"/>
      <c r="J69" s="136">
        <f>K52</f>
        <v>180.55</v>
      </c>
      <c r="N69" s="303" t="s">
        <v>181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-281.73999999999796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882</v>
      </c>
      <c r="Q70" s="228">
        <v>2002</v>
      </c>
      <c r="R70" s="255">
        <v>938.86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7.0414500000000002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931.81854999999996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35.595600000004197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180.55</v>
      </c>
      <c r="N71" s="87">
        <v>2</v>
      </c>
      <c r="O71" s="122" t="s">
        <v>188</v>
      </c>
      <c r="P71" s="228">
        <v>883</v>
      </c>
      <c r="Q71" s="228">
        <v>2002</v>
      </c>
      <c r="R71" s="255">
        <v>2195.1</v>
      </c>
      <c r="S71" s="228"/>
      <c r="T71" s="256">
        <v>59.27</v>
      </c>
      <c r="U71" s="189">
        <f t="shared" si="34"/>
        <v>2.5547413793103453</v>
      </c>
      <c r="V71" s="189">
        <f t="shared" si="35"/>
        <v>16.463249999999999</v>
      </c>
      <c r="W71" s="189">
        <f t="shared" si="36"/>
        <v>0</v>
      </c>
      <c r="X71" s="189">
        <f t="shared" si="37"/>
        <v>1.4817500000000001</v>
      </c>
      <c r="Y71" s="189">
        <f t="shared" si="38"/>
        <v>2178.6367500000001</v>
      </c>
      <c r="Z71" s="189">
        <f t="shared" si="38"/>
        <v>0</v>
      </c>
      <c r="AA71" s="189">
        <f t="shared" si="39"/>
        <v>55.233508620689662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798</v>
      </c>
      <c r="Q73" s="228">
        <v>2002</v>
      </c>
      <c r="R73" s="255">
        <v>832.05</v>
      </c>
      <c r="S73" s="228"/>
      <c r="T73" s="228"/>
      <c r="U73" s="189">
        <f t="shared" si="34"/>
        <v>0</v>
      </c>
      <c r="V73" s="189">
        <f t="shared" si="35"/>
        <v>6.2403749999999993</v>
      </c>
      <c r="W73" s="189">
        <f t="shared" si="36"/>
        <v>0</v>
      </c>
      <c r="X73" s="189">
        <f t="shared" si="37"/>
        <v>0</v>
      </c>
      <c r="Y73" s="189">
        <f t="shared" si="38"/>
        <v>825.80962499999998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799</v>
      </c>
      <c r="Q74" s="228">
        <v>2002</v>
      </c>
      <c r="R74" s="255">
        <v>743.72</v>
      </c>
      <c r="S74" s="228"/>
      <c r="T74" s="222"/>
      <c r="U74" s="189">
        <f t="shared" si="34"/>
        <v>0</v>
      </c>
      <c r="V74" s="189">
        <f t="shared" si="35"/>
        <v>5.5778999999999996</v>
      </c>
      <c r="W74" s="189">
        <f t="shared" si="36"/>
        <v>0</v>
      </c>
      <c r="X74" s="189">
        <f t="shared" si="37"/>
        <v>0</v>
      </c>
      <c r="Y74" s="189">
        <f t="shared" si="38"/>
        <v>738.14210000000003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175</v>
      </c>
      <c r="O75" s="303"/>
      <c r="P75" s="304"/>
      <c r="Q75" s="304"/>
      <c r="R75" s="192">
        <f>SUM(R70:R74)</f>
        <v>4709.7300000000005</v>
      </c>
      <c r="S75" s="192"/>
      <c r="T75" s="192">
        <f>SUM(T70:T74)</f>
        <v>59.27</v>
      </c>
      <c r="U75" s="192">
        <f>SUM(U70:U74)</f>
        <v>2.5547413793103453</v>
      </c>
      <c r="V75" s="192">
        <f t="shared" ref="V75:AA75" si="41">SUM(V70:V74)</f>
        <v>35.322975</v>
      </c>
      <c r="W75" s="192">
        <f t="shared" si="41"/>
        <v>0</v>
      </c>
      <c r="X75" s="192">
        <f t="shared" si="41"/>
        <v>1.4817500000000001</v>
      </c>
      <c r="Y75" s="192">
        <f t="shared" si="41"/>
        <v>4674.4070250000004</v>
      </c>
      <c r="Z75" s="192">
        <f t="shared" si="41"/>
        <v>0</v>
      </c>
      <c r="AA75" s="193">
        <f t="shared" si="41"/>
        <v>55.233508620689662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>
        <v>176.21</v>
      </c>
      <c r="Q78" s="137"/>
      <c r="R78" s="82">
        <v>7.4999999999999997E-3</v>
      </c>
      <c r="S78" s="194">
        <f>+(P78+Q78)*R78</f>
        <v>1.3215749999999999</v>
      </c>
      <c r="T78" s="242">
        <f>+(P78+Q78)-S78</f>
        <v>174.88842500000001</v>
      </c>
      <c r="U78" s="211">
        <v>22.51</v>
      </c>
      <c r="V78" s="112"/>
      <c r="W78" s="113">
        <v>1.4999999999999999E-2</v>
      </c>
      <c r="X78" s="196">
        <f>+(U78+V78)*W78</f>
        <v>0.33765000000000001</v>
      </c>
      <c r="Y78" s="213">
        <f>+(U78+V78)-X78</f>
        <v>22.172350000000002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1331.25</v>
      </c>
      <c r="N79" s="87">
        <v>2</v>
      </c>
      <c r="O79" s="87" t="s">
        <v>112</v>
      </c>
      <c r="P79" s="137">
        <v>197.32</v>
      </c>
      <c r="Q79" s="137">
        <v>101.93</v>
      </c>
      <c r="R79" s="82">
        <v>7.4999999999999997E-3</v>
      </c>
      <c r="S79" s="194">
        <f t="shared" ref="S79:S97" si="43">+(P79+Q79)*R79</f>
        <v>2.2443749999999998</v>
      </c>
      <c r="T79" s="242">
        <f t="shared" ref="T79:T97" si="44">+(P79+Q79)-S79</f>
        <v>297.00562500000001</v>
      </c>
      <c r="U79" s="211">
        <v>113.07</v>
      </c>
      <c r="V79" s="112"/>
      <c r="W79" s="113">
        <v>1.4999999999999999E-2</v>
      </c>
      <c r="X79" s="196">
        <f t="shared" ref="X79:X97" si="45">+(U79+V79)*W79</f>
        <v>1.6960499999999998</v>
      </c>
      <c r="Y79" s="213">
        <f t="shared" ref="Y79:Y97" si="46">+(U79+V79)-X79</f>
        <v>111.37394999999999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182.41</v>
      </c>
      <c r="Q80" s="137">
        <v>134.24</v>
      </c>
      <c r="R80" s="82">
        <v>7.4999999999999997E-3</v>
      </c>
      <c r="S80" s="194">
        <f t="shared" si="43"/>
        <v>2.3748749999999998</v>
      </c>
      <c r="T80" s="213">
        <f t="shared" si="44"/>
        <v>314.275125</v>
      </c>
      <c r="U80" s="211">
        <v>129.74</v>
      </c>
      <c r="V80" s="112"/>
      <c r="W80" s="113">
        <v>1.4999999999999999E-2</v>
      </c>
      <c r="X80" s="196">
        <f t="shared" si="45"/>
        <v>1.9461000000000002</v>
      </c>
      <c r="Y80" s="244">
        <f t="shared" si="46"/>
        <v>127.79390000000001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1331.25</v>
      </c>
      <c r="N81" s="87">
        <v>4</v>
      </c>
      <c r="O81" s="87" t="s">
        <v>112</v>
      </c>
      <c r="P81" s="137"/>
      <c r="Q81" s="137">
        <v>245.57</v>
      </c>
      <c r="R81" s="82">
        <v>7.4999999999999997E-3</v>
      </c>
      <c r="S81" s="194">
        <f t="shared" si="43"/>
        <v>1.8417749999999999</v>
      </c>
      <c r="T81" s="213">
        <f t="shared" si="44"/>
        <v>243.72822499999998</v>
      </c>
      <c r="U81" s="211">
        <v>33.56</v>
      </c>
      <c r="V81" s="112"/>
      <c r="W81" s="113">
        <v>1.4999999999999999E-2</v>
      </c>
      <c r="X81" s="196">
        <f t="shared" si="45"/>
        <v>0.50340000000000007</v>
      </c>
      <c r="Y81" s="244">
        <f t="shared" si="46"/>
        <v>33.056600000000003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43.91</v>
      </c>
      <c r="Q82" s="137">
        <v>259.72000000000003</v>
      </c>
      <c r="R82" s="82">
        <v>7.4999999999999997E-3</v>
      </c>
      <c r="S82" s="194">
        <f t="shared" si="43"/>
        <v>2.2772250000000001</v>
      </c>
      <c r="T82" s="242">
        <f t="shared" si="44"/>
        <v>301.35277500000001</v>
      </c>
      <c r="U82" s="211">
        <v>52.11</v>
      </c>
      <c r="V82" s="112"/>
      <c r="W82" s="113">
        <v>1.4999999999999999E-2</v>
      </c>
      <c r="X82" s="196">
        <f t="shared" si="45"/>
        <v>0.78164999999999996</v>
      </c>
      <c r="Y82" s="213">
        <f t="shared" si="46"/>
        <v>51.32835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" customHeight="1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599.84999999999991</v>
      </c>
      <c r="Q98" s="195">
        <f>SUM(Q78:Q97)</f>
        <v>741.46</v>
      </c>
      <c r="R98" s="111"/>
      <c r="S98" s="195">
        <f>SUM(S78:S97)</f>
        <v>10.059825</v>
      </c>
      <c r="T98" s="195">
        <f>SUM(T78:T97)</f>
        <v>1331.2501750000001</v>
      </c>
      <c r="U98" s="114">
        <f>SUM(U78:U97)</f>
        <v>350.99</v>
      </c>
      <c r="V98" s="114">
        <f>SUM(V78:V97)</f>
        <v>0</v>
      </c>
      <c r="W98" s="112"/>
      <c r="X98" s="197">
        <f>SUM(X78:X97)</f>
        <v>5.26485</v>
      </c>
      <c r="Y98" s="197">
        <f>SUM(Y78:Y97)</f>
        <v>345.72514999999999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>P78+Q78+U78</f>
        <v>198.72</v>
      </c>
    </row>
    <row r="101" spans="14:30" x14ac:dyDescent="0.25">
      <c r="N101" s="85"/>
      <c r="Q101" s="215">
        <f>P79+Q79+U79</f>
        <v>412.32</v>
      </c>
    </row>
    <row r="102" spans="14:30" x14ac:dyDescent="0.25">
      <c r="N102" s="85"/>
      <c r="Q102" s="215">
        <f>P80+Q80+U80</f>
        <v>446.39</v>
      </c>
    </row>
    <row r="103" spans="14:30" x14ac:dyDescent="0.25">
      <c r="N103" s="85"/>
      <c r="Q103" s="215">
        <f>U81+Q81+P81</f>
        <v>279.13</v>
      </c>
    </row>
    <row r="104" spans="14:30" x14ac:dyDescent="0.25">
      <c r="N104" s="85"/>
      <c r="Q104" s="215">
        <f>P82+Q82+U82</f>
        <v>355.74</v>
      </c>
    </row>
    <row r="105" spans="14:30" x14ac:dyDescent="0.25">
      <c r="N105" s="85"/>
      <c r="Q105" s="215">
        <f>P83+Q83+U83</f>
        <v>0</v>
      </c>
    </row>
    <row r="106" spans="14:30" x14ac:dyDescent="0.25">
      <c r="N106" s="85"/>
      <c r="Q106" s="212">
        <f>P84+Q84+U84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P43" zoomScale="90" zoomScaleNormal="90" workbookViewId="0">
      <selection activeCell="P73" sqref="P7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195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44746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1070</v>
      </c>
      <c r="C12" s="15"/>
      <c r="D12" s="56"/>
      <c r="E12" s="16"/>
      <c r="F12" s="56"/>
      <c r="G12" s="56"/>
      <c r="H12" s="17"/>
      <c r="I12" s="83">
        <v>1070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185</v>
      </c>
      <c r="Q12" s="158">
        <v>6</v>
      </c>
      <c r="R12" s="159">
        <v>509.64</v>
      </c>
      <c r="S12" s="160"/>
      <c r="T12" s="160"/>
      <c r="U12" s="189">
        <f>((T12/U$10)*U$9)</f>
        <v>0</v>
      </c>
      <c r="V12" s="189">
        <f>R12*V$10</f>
        <v>3.8222999999999998</v>
      </c>
      <c r="W12" s="189">
        <f>+S12*V$10</f>
        <v>0</v>
      </c>
      <c r="X12" s="189">
        <f>+T12*X$10</f>
        <v>0</v>
      </c>
      <c r="Y12" s="189">
        <f>R12-V12</f>
        <v>505.8177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819</v>
      </c>
      <c r="C13" s="15"/>
      <c r="D13" s="56"/>
      <c r="E13" s="16"/>
      <c r="F13" s="56"/>
      <c r="G13" s="56"/>
      <c r="H13" s="17"/>
      <c r="I13" s="83">
        <v>819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186</v>
      </c>
      <c r="Q13" s="158">
        <v>6</v>
      </c>
      <c r="R13" s="159">
        <v>2302.1999999999998</v>
      </c>
      <c r="S13" s="160"/>
      <c r="T13" s="161">
        <v>30</v>
      </c>
      <c r="U13" s="189">
        <f t="shared" ref="U13:U41" si="2">((T13/U$10)*U$9)</f>
        <v>1.2931034482758621</v>
      </c>
      <c r="V13" s="189">
        <f t="shared" ref="V13:V41" si="3">R13*V$10</f>
        <v>17.266499999999997</v>
      </c>
      <c r="W13" s="189">
        <f t="shared" ref="W13:W41" si="4">+S13*V$10</f>
        <v>0</v>
      </c>
      <c r="X13" s="189">
        <f t="shared" ref="X13:X41" si="5">+T13*X$10</f>
        <v>0.75</v>
      </c>
      <c r="Y13" s="189">
        <f t="shared" ref="Y13:Z41" si="6">R13-V13</f>
        <v>2284.9334999999996</v>
      </c>
      <c r="Z13" s="189">
        <f t="shared" si="6"/>
        <v>0</v>
      </c>
      <c r="AA13" s="189">
        <f t="shared" ref="AA13:AA41" si="7">T13-U13-X13</f>
        <v>27.956896551724139</v>
      </c>
      <c r="AB13" s="156"/>
    </row>
    <row r="14" spans="1:28" ht="15.75" x14ac:dyDescent="0.25">
      <c r="A14" s="86" t="s">
        <v>83</v>
      </c>
      <c r="B14" s="57">
        <f>B13*B8</f>
        <v>4553.6399999999994</v>
      </c>
      <c r="C14" s="15"/>
      <c r="D14" s="56"/>
      <c r="E14" s="16"/>
      <c r="F14" s="56"/>
      <c r="G14" s="56"/>
      <c r="H14" s="17"/>
      <c r="I14" s="83">
        <v>4553.6400000000003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819</v>
      </c>
      <c r="C19" s="95"/>
      <c r="D19" s="94"/>
      <c r="E19" s="96"/>
      <c r="F19" s="94"/>
      <c r="G19" s="94"/>
      <c r="H19" s="98"/>
      <c r="I19" s="99">
        <v>819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4553.6399999999994</v>
      </c>
      <c r="C20" s="95"/>
      <c r="D20" s="94"/>
      <c r="E20" s="96"/>
      <c r="F20" s="94"/>
      <c r="G20" s="94"/>
      <c r="H20" s="98"/>
      <c r="I20" s="99">
        <v>4553.6400000000003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>
        <v>760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2811.8399999999997</v>
      </c>
      <c r="S42" s="190">
        <f t="shared" si="8"/>
        <v>0</v>
      </c>
      <c r="T42" s="190">
        <f t="shared" si="8"/>
        <v>30</v>
      </c>
      <c r="U42" s="190">
        <f t="shared" si="8"/>
        <v>1.2931034482758621</v>
      </c>
      <c r="V42" s="190">
        <f t="shared" si="8"/>
        <v>21.088799999999996</v>
      </c>
      <c r="W42" s="190">
        <f t="shared" si="8"/>
        <v>0</v>
      </c>
      <c r="X42" s="190">
        <f t="shared" si="8"/>
        <v>0.75</v>
      </c>
      <c r="Y42" s="190">
        <f t="shared" si="8"/>
        <v>2790.7511999999997</v>
      </c>
      <c r="Z42" s="190">
        <f t="shared" si="8"/>
        <v>0</v>
      </c>
      <c r="AA42" s="190">
        <f t="shared" si="8"/>
        <v>27.956896551724139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2811.8399999999997</v>
      </c>
      <c r="C46" s="116">
        <v>7.4999999999999997E-3</v>
      </c>
      <c r="D46" s="117">
        <f>B46*C46</f>
        <v>21.088799999999996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2790.7511999999997</v>
      </c>
      <c r="H46" s="173">
        <f>B$6+1</f>
        <v>44747</v>
      </c>
      <c r="I46" s="174"/>
      <c r="J46" s="81">
        <f t="shared" si="0"/>
        <v>2811.8399999999997</v>
      </c>
      <c r="K46" s="80">
        <v>2790.75</v>
      </c>
      <c r="L46" s="186">
        <f>K46-G46</f>
        <v>-1.1999999996987754E-3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2672.54</v>
      </c>
      <c r="C49" s="116">
        <v>7.4999999999999997E-3</v>
      </c>
      <c r="D49" s="117">
        <f t="shared" si="17"/>
        <v>20.044049999999999</v>
      </c>
      <c r="E49" s="172">
        <v>0</v>
      </c>
      <c r="F49" s="117">
        <f t="shared" si="15"/>
        <v>0</v>
      </c>
      <c r="G49" s="117">
        <f t="shared" si="16"/>
        <v>2652.49595</v>
      </c>
      <c r="H49" s="173">
        <f t="shared" si="19"/>
        <v>44747</v>
      </c>
      <c r="I49" s="176"/>
      <c r="J49" s="81">
        <f t="shared" si="0"/>
        <v>2672.54</v>
      </c>
      <c r="K49" s="80">
        <v>2652.5</v>
      </c>
      <c r="L49" s="186">
        <f t="shared" si="18"/>
        <v>-4.0500000000065484E-3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489.05999999999995</v>
      </c>
      <c r="C50" s="116">
        <v>7.4999999999999997E-3</v>
      </c>
      <c r="D50" s="117">
        <f t="shared" si="17"/>
        <v>3.6679499999999994</v>
      </c>
      <c r="E50" s="172">
        <v>0</v>
      </c>
      <c r="F50" s="117">
        <f t="shared" si="15"/>
        <v>0</v>
      </c>
      <c r="G50" s="117">
        <f t="shared" si="16"/>
        <v>485.39204999999993</v>
      </c>
      <c r="H50" s="173">
        <f t="shared" si="19"/>
        <v>44747</v>
      </c>
      <c r="I50" s="175"/>
      <c r="J50" s="81">
        <f t="shared" si="0"/>
        <v>489.05999999999995</v>
      </c>
      <c r="K50" s="80">
        <v>485.39</v>
      </c>
      <c r="L50" s="186">
        <f t="shared" si="18"/>
        <v>2.0499999999401552E-3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155.88999999999999</v>
      </c>
      <c r="C51" s="116">
        <v>1.4999999999999999E-2</v>
      </c>
      <c r="D51" s="117">
        <f>+B51*C51</f>
        <v>2.3383499999999997</v>
      </c>
      <c r="E51" s="172">
        <v>0</v>
      </c>
      <c r="F51" s="117">
        <f>D51*E51</f>
        <v>0</v>
      </c>
      <c r="G51" s="117">
        <f t="shared" si="16"/>
        <v>153.55165</v>
      </c>
      <c r="H51" s="173">
        <f t="shared" si="19"/>
        <v>44747</v>
      </c>
      <c r="I51" s="175"/>
      <c r="J51" s="81">
        <f t="shared" si="0"/>
        <v>155.88999999999999</v>
      </c>
      <c r="K51" s="80">
        <v>153.55000000000001</v>
      </c>
      <c r="L51" s="186">
        <f t="shared" si="18"/>
        <v>1.64999999998372E-3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30</v>
      </c>
      <c r="C52" s="116">
        <v>2.5000000000000001E-2</v>
      </c>
      <c r="D52" s="117">
        <f>B52*C52</f>
        <v>0.75</v>
      </c>
      <c r="E52" s="172">
        <v>0.05</v>
      </c>
      <c r="F52" s="117">
        <f>(B52/E$10)*E52</f>
        <v>1.2931034482758621</v>
      </c>
      <c r="G52" s="117">
        <f>B52-D52-F52</f>
        <v>27.956896551724139</v>
      </c>
      <c r="H52" s="188">
        <f t="shared" si="19"/>
        <v>44747</v>
      </c>
      <c r="I52" s="176">
        <v>30.08</v>
      </c>
      <c r="J52" s="81">
        <f t="shared" si="0"/>
        <v>-7.9999999999998295E-2</v>
      </c>
      <c r="K52" s="80">
        <v>27.96</v>
      </c>
      <c r="L52" s="186">
        <f>K52-G52</f>
        <v>3.1034482758620641E-3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47.889149999999987</v>
      </c>
      <c r="E61" s="177"/>
      <c r="F61" s="57">
        <f>SUM(F46:F58)</f>
        <v>1.2931034482758621</v>
      </c>
      <c r="G61" s="57">
        <f>SUM(G46:G58)</f>
        <v>6110.1477465517237</v>
      </c>
      <c r="H61" s="173">
        <f t="shared" si="19"/>
        <v>44747</v>
      </c>
      <c r="I61" s="175"/>
      <c r="J61" s="81">
        <f t="shared" si="0"/>
        <v>0</v>
      </c>
      <c r="K61" s="80"/>
      <c r="L61" s="186">
        <f t="shared" si="18"/>
        <v>6110.1477465517237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12220.295493103447</v>
      </c>
      <c r="H64" s="184"/>
      <c r="I64" s="175"/>
      <c r="J64" s="81">
        <f t="shared" si="0"/>
        <v>0</v>
      </c>
      <c r="K64" s="80"/>
      <c r="L64" s="186">
        <f t="shared" si="18"/>
        <v>12220.295493103447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11782.97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11630.91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11751.04</v>
      </c>
      <c r="C69" s="59"/>
      <c r="F69" s="87" t="s">
        <v>129</v>
      </c>
      <c r="G69" s="22"/>
      <c r="H69" s="89"/>
      <c r="I69" s="136"/>
      <c r="J69" s="136">
        <f>K52</f>
        <v>27.96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-120.13000000000102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884</v>
      </c>
      <c r="Q70" s="228">
        <v>2002</v>
      </c>
      <c r="R70" s="255">
        <v>1669.61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12.522074999999999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1657.0879249999998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31.929999999998472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27.96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211</v>
      </c>
      <c r="P73" s="228">
        <v>800</v>
      </c>
      <c r="Q73" s="228">
        <v>2002</v>
      </c>
      <c r="R73" s="255">
        <v>1002.93</v>
      </c>
      <c r="S73" s="228"/>
      <c r="T73" s="228"/>
      <c r="U73" s="189">
        <f t="shared" si="34"/>
        <v>0</v>
      </c>
      <c r="V73" s="189">
        <f t="shared" si="35"/>
        <v>7.5219749999999994</v>
      </c>
      <c r="W73" s="189">
        <f t="shared" si="36"/>
        <v>0</v>
      </c>
      <c r="X73" s="189">
        <f t="shared" si="37"/>
        <v>0</v>
      </c>
      <c r="Y73" s="189">
        <f t="shared" si="38"/>
        <v>995.40802499999995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2672.54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20.044049999999999</v>
      </c>
      <c r="W75" s="192">
        <f t="shared" si="41"/>
        <v>0</v>
      </c>
      <c r="X75" s="192">
        <f t="shared" si="41"/>
        <v>0</v>
      </c>
      <c r="Y75" s="192">
        <f t="shared" si="41"/>
        <v>2652.4959499999995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51.46</v>
      </c>
      <c r="Q78" s="137">
        <v>57.15</v>
      </c>
      <c r="R78" s="82">
        <v>7.4999999999999997E-3</v>
      </c>
      <c r="S78" s="194">
        <f>+(P78+Q78)*R78</f>
        <v>0.81457499999999994</v>
      </c>
      <c r="T78" s="242">
        <f>+(P78+Q78)-S78</f>
        <v>107.79542499999999</v>
      </c>
      <c r="U78" s="211">
        <v>12.25</v>
      </c>
      <c r="V78" s="112"/>
      <c r="W78" s="113">
        <v>1.4999999999999999E-2</v>
      </c>
      <c r="X78" s="196">
        <f>+(U78+V78)*W78</f>
        <v>0.18375</v>
      </c>
      <c r="Y78" s="242">
        <f>+(U78+V78)-X78</f>
        <v>12.06625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485.39</v>
      </c>
      <c r="N79" s="87">
        <v>2</v>
      </c>
      <c r="O79" s="87" t="s">
        <v>112</v>
      </c>
      <c r="P79" s="137">
        <v>186.7</v>
      </c>
      <c r="Q79" s="137">
        <v>21.12</v>
      </c>
      <c r="R79" s="82">
        <v>7.4999999999999997E-3</v>
      </c>
      <c r="S79" s="194">
        <f t="shared" ref="S79:S97" si="43">+(P79+Q79)*R79</f>
        <v>1.5586499999999999</v>
      </c>
      <c r="T79" s="242">
        <f t="shared" ref="T79:T97" si="44">+(P79+Q79)-S79</f>
        <v>206.26134999999999</v>
      </c>
      <c r="U79" s="211">
        <v>63.61</v>
      </c>
      <c r="V79" s="112"/>
      <c r="W79" s="113">
        <v>1.4999999999999999E-2</v>
      </c>
      <c r="X79" s="196">
        <f t="shared" ref="X79:X97" si="45">+(U79+V79)*W79</f>
        <v>0.95414999999999994</v>
      </c>
      <c r="Y79" s="242">
        <f t="shared" ref="Y79:Y97" si="46">+(U79+V79)-X79</f>
        <v>62.655850000000001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15.72</v>
      </c>
      <c r="Q80" s="137"/>
      <c r="R80" s="82">
        <v>7.4999999999999997E-3</v>
      </c>
      <c r="S80" s="194">
        <f t="shared" si="43"/>
        <v>0.1179</v>
      </c>
      <c r="T80" s="213">
        <f t="shared" si="44"/>
        <v>15.6021</v>
      </c>
      <c r="U80" s="211">
        <v>40.15</v>
      </c>
      <c r="V80" s="112"/>
      <c r="W80" s="113">
        <v>1.4999999999999999E-2</v>
      </c>
      <c r="X80" s="196">
        <f t="shared" si="45"/>
        <v>0.60224999999999995</v>
      </c>
      <c r="Y80" s="244">
        <f t="shared" si="46"/>
        <v>39.547750000000001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485.39</v>
      </c>
      <c r="N81" s="87">
        <v>4</v>
      </c>
      <c r="O81" s="87" t="s">
        <v>112</v>
      </c>
      <c r="P81" s="137">
        <v>50.83</v>
      </c>
      <c r="Q81" s="137">
        <v>106.08</v>
      </c>
      <c r="R81" s="82">
        <v>7.4999999999999997E-3</v>
      </c>
      <c r="S81" s="194">
        <f t="shared" si="43"/>
        <v>1.176825</v>
      </c>
      <c r="T81" s="242">
        <f t="shared" si="44"/>
        <v>155.73317499999999</v>
      </c>
      <c r="U81" s="211">
        <v>39.880000000000003</v>
      </c>
      <c r="V81" s="112"/>
      <c r="W81" s="113">
        <v>1.4999999999999999E-2</v>
      </c>
      <c r="X81" s="196">
        <f t="shared" si="45"/>
        <v>0.59820000000000007</v>
      </c>
      <c r="Y81" s="244">
        <f t="shared" si="46"/>
        <v>39.281800000000004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51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51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304.70999999999998</v>
      </c>
      <c r="Q98" s="195">
        <f>SUM(Q78:Q97)</f>
        <v>184.35</v>
      </c>
      <c r="R98" s="111"/>
      <c r="S98" s="195">
        <f>SUM(S78:S97)</f>
        <v>3.6679499999999998</v>
      </c>
      <c r="T98" s="195">
        <f>SUM(T78:T97)</f>
        <v>485.39205000000004</v>
      </c>
      <c r="U98" s="114">
        <f>SUM(U78:U97)</f>
        <v>155.88999999999999</v>
      </c>
      <c r="V98" s="114">
        <f>SUM(V78:V97)</f>
        <v>0</v>
      </c>
      <c r="W98" s="112"/>
      <c r="X98" s="197">
        <f>SUM(X78:X97)</f>
        <v>2.3383500000000002</v>
      </c>
      <c r="Y98" s="197">
        <f>SUM(Y78:Y97)</f>
        <v>153.55165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 t="shared" ref="P100:P105" si="50">P78+Q78+U78</f>
        <v>120.86</v>
      </c>
    </row>
    <row r="101" spans="14:30" x14ac:dyDescent="0.25">
      <c r="N101" s="85"/>
      <c r="P101" s="215">
        <f t="shared" si="50"/>
        <v>271.43</v>
      </c>
      <c r="Q101" s="212"/>
    </row>
    <row r="102" spans="14:30" x14ac:dyDescent="0.25">
      <c r="N102" s="85"/>
      <c r="P102" s="215">
        <f t="shared" si="50"/>
        <v>55.87</v>
      </c>
      <c r="Q102" s="212"/>
    </row>
    <row r="103" spans="14:30" x14ac:dyDescent="0.25">
      <c r="N103" s="85"/>
      <c r="P103" s="215">
        <f t="shared" si="50"/>
        <v>196.79</v>
      </c>
      <c r="Q103" s="212"/>
    </row>
    <row r="104" spans="14:30" x14ac:dyDescent="0.25">
      <c r="N104" s="85"/>
      <c r="P104" s="215">
        <f t="shared" si="50"/>
        <v>0</v>
      </c>
      <c r="Q104" s="212"/>
    </row>
    <row r="105" spans="14:30" x14ac:dyDescent="0.25">
      <c r="N105" s="85"/>
      <c r="P105" s="215">
        <f t="shared" si="50"/>
        <v>0</v>
      </c>
      <c r="Q105" s="212"/>
    </row>
    <row r="106" spans="14:30" x14ac:dyDescent="0.25">
      <c r="N106" s="85"/>
      <c r="Q106" s="212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Q58" zoomScale="90" zoomScaleNormal="90" workbookViewId="0">
      <selection activeCell="T72" sqref="T7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190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44747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2059.5</v>
      </c>
      <c r="C12" s="15"/>
      <c r="D12" s="56"/>
      <c r="E12" s="16"/>
      <c r="F12" s="56"/>
      <c r="G12" s="56"/>
      <c r="H12" s="17"/>
      <c r="I12" s="83">
        <v>2059.5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187</v>
      </c>
      <c r="Q12" s="158">
        <v>6</v>
      </c>
      <c r="R12" s="159">
        <v>1785.3</v>
      </c>
      <c r="S12" s="155"/>
      <c r="T12" s="155">
        <v>35.47</v>
      </c>
      <c r="U12" s="189">
        <f>((T12/U$10)*U$9)</f>
        <v>1.5288793103448277</v>
      </c>
      <c r="V12" s="189">
        <f>R12*V$10</f>
        <v>13.389749999999999</v>
      </c>
      <c r="W12" s="189">
        <f>+S12*V$10</f>
        <v>0</v>
      </c>
      <c r="X12" s="189">
        <f>+T12*X$10</f>
        <v>0.88675000000000004</v>
      </c>
      <c r="Y12" s="189">
        <f>R12-V12</f>
        <v>1771.9102499999999</v>
      </c>
      <c r="Z12" s="189">
        <f>S12-W12</f>
        <v>0</v>
      </c>
      <c r="AA12" s="189">
        <f>T12-U12-X12</f>
        <v>33.054370689655173</v>
      </c>
      <c r="AB12" s="156"/>
    </row>
    <row r="13" spans="1:28" ht="15.75" x14ac:dyDescent="0.25">
      <c r="A13" s="86" t="s">
        <v>76</v>
      </c>
      <c r="B13" s="89">
        <v>1038</v>
      </c>
      <c r="C13" s="15"/>
      <c r="D13" s="56"/>
      <c r="E13" s="16"/>
      <c r="F13" s="56"/>
      <c r="G13" s="56"/>
      <c r="H13" s="17"/>
      <c r="I13" s="83">
        <v>1038</v>
      </c>
      <c r="J13" s="81">
        <f>B13-I13</f>
        <v>0</v>
      </c>
      <c r="K13" s="75"/>
      <c r="L13" s="186">
        <f t="shared" ref="L13:L44" si="0">+G13-K13</f>
        <v>0</v>
      </c>
      <c r="M13" s="106"/>
      <c r="N13" s="104">
        <v>2</v>
      </c>
      <c r="O13" s="152" t="s">
        <v>216</v>
      </c>
      <c r="P13" s="158">
        <v>188</v>
      </c>
      <c r="Q13" s="158">
        <v>6</v>
      </c>
      <c r="R13" s="159">
        <v>2250.5300000000002</v>
      </c>
      <c r="S13" s="155"/>
      <c r="T13" s="157">
        <v>102.07</v>
      </c>
      <c r="U13" s="189">
        <f t="shared" ref="U13:U41" si="1">((T13/U$10)*U$9)</f>
        <v>4.3995689655172416</v>
      </c>
      <c r="V13" s="189">
        <f t="shared" ref="V13:V41" si="2">R13*V$10</f>
        <v>16.878975000000001</v>
      </c>
      <c r="W13" s="189">
        <f t="shared" ref="W13:W41" si="3">+S13*V$10</f>
        <v>0</v>
      </c>
      <c r="X13" s="189">
        <f t="shared" ref="X13:X41" si="4">+T13*X$10</f>
        <v>2.5517500000000002</v>
      </c>
      <c r="Y13" s="189">
        <f t="shared" ref="Y13:Z41" si="5">R13-V13</f>
        <v>2233.6510250000001</v>
      </c>
      <c r="Z13" s="189">
        <f t="shared" si="5"/>
        <v>0</v>
      </c>
      <c r="AA13" s="189">
        <f t="shared" ref="AA13:AA41" si="6">T13-U13-X13</f>
        <v>95.118681034482748</v>
      </c>
      <c r="AB13" s="156"/>
    </row>
    <row r="14" spans="1:28" ht="15.75" x14ac:dyDescent="0.25">
      <c r="A14" s="86" t="s">
        <v>83</v>
      </c>
      <c r="B14" s="57">
        <f>B13*B8</f>
        <v>5771.28</v>
      </c>
      <c r="C14" s="15"/>
      <c r="D14" s="56"/>
      <c r="E14" s="16"/>
      <c r="F14" s="56"/>
      <c r="G14" s="56"/>
      <c r="H14" s="17"/>
      <c r="I14" s="83">
        <v>5771.28</v>
      </c>
      <c r="J14" s="81">
        <f t="shared" ref="J14:J64" si="7">B14-I14</f>
        <v>0</v>
      </c>
      <c r="K14" s="80"/>
      <c r="L14" s="186">
        <f t="shared" si="0"/>
        <v>0</v>
      </c>
      <c r="M14" s="107"/>
      <c r="N14" s="104">
        <v>3</v>
      </c>
      <c r="O14" s="152" t="s">
        <v>214</v>
      </c>
      <c r="P14" s="158"/>
      <c r="Q14" s="158"/>
      <c r="R14" s="159"/>
      <c r="S14" s="155"/>
      <c r="T14" s="157"/>
      <c r="U14" s="189">
        <f t="shared" si="1"/>
        <v>0</v>
      </c>
      <c r="V14" s="189">
        <f t="shared" si="2"/>
        <v>0</v>
      </c>
      <c r="W14" s="189">
        <f t="shared" si="3"/>
        <v>0</v>
      </c>
      <c r="X14" s="189">
        <f t="shared" si="4"/>
        <v>0</v>
      </c>
      <c r="Y14" s="189">
        <f t="shared" si="5"/>
        <v>0</v>
      </c>
      <c r="Z14" s="189">
        <f t="shared" si="5"/>
        <v>0</v>
      </c>
      <c r="AA14" s="189">
        <f t="shared" si="6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7"/>
        <v>0</v>
      </c>
      <c r="K15" s="80"/>
      <c r="L15" s="186">
        <f t="shared" si="0"/>
        <v>0</v>
      </c>
      <c r="M15" s="107"/>
      <c r="N15" s="104">
        <v>4</v>
      </c>
      <c r="O15" s="152" t="s">
        <v>214</v>
      </c>
      <c r="P15" s="158"/>
      <c r="Q15" s="158"/>
      <c r="R15" s="159"/>
      <c r="S15" s="155"/>
      <c r="T15" s="157"/>
      <c r="U15" s="189">
        <f t="shared" si="1"/>
        <v>0</v>
      </c>
      <c r="V15" s="189">
        <f t="shared" si="2"/>
        <v>0</v>
      </c>
      <c r="W15" s="189">
        <f t="shared" si="3"/>
        <v>0</v>
      </c>
      <c r="X15" s="189">
        <f t="shared" si="4"/>
        <v>0</v>
      </c>
      <c r="Y15" s="189">
        <f t="shared" si="5"/>
        <v>0</v>
      </c>
      <c r="Z15" s="189">
        <f t="shared" si="5"/>
        <v>0</v>
      </c>
      <c r="AA15" s="189">
        <f t="shared" si="6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7"/>
        <v>0</v>
      </c>
      <c r="K16" s="80"/>
      <c r="L16" s="186">
        <f t="shared" si="0"/>
        <v>0</v>
      </c>
      <c r="M16" s="107"/>
      <c r="N16" s="104">
        <v>5</v>
      </c>
      <c r="O16" s="152" t="s">
        <v>69</v>
      </c>
      <c r="P16" s="158"/>
      <c r="Q16" s="158"/>
      <c r="R16" s="159"/>
      <c r="S16" s="155"/>
      <c r="T16" s="157"/>
      <c r="U16" s="189">
        <f t="shared" si="1"/>
        <v>0</v>
      </c>
      <c r="V16" s="189">
        <f t="shared" si="2"/>
        <v>0</v>
      </c>
      <c r="W16" s="189">
        <f t="shared" si="3"/>
        <v>0</v>
      </c>
      <c r="X16" s="189">
        <f t="shared" si="4"/>
        <v>0</v>
      </c>
      <c r="Y16" s="189">
        <f t="shared" si="5"/>
        <v>0</v>
      </c>
      <c r="Z16" s="189">
        <f t="shared" si="5"/>
        <v>0</v>
      </c>
      <c r="AA16" s="189">
        <f t="shared" si="6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7"/>
        <v>0</v>
      </c>
      <c r="K17" s="80"/>
      <c r="L17" s="186">
        <f t="shared" si="0"/>
        <v>0</v>
      </c>
      <c r="M17" s="107"/>
      <c r="N17" s="104">
        <v>6</v>
      </c>
      <c r="O17" s="152" t="s">
        <v>69</v>
      </c>
      <c r="P17" s="158"/>
      <c r="Q17" s="158"/>
      <c r="R17" s="159"/>
      <c r="S17" s="155"/>
      <c r="T17" s="157"/>
      <c r="U17" s="189">
        <f t="shared" si="1"/>
        <v>0</v>
      </c>
      <c r="V17" s="189">
        <f t="shared" si="2"/>
        <v>0</v>
      </c>
      <c r="W17" s="189">
        <f t="shared" si="3"/>
        <v>0</v>
      </c>
      <c r="X17" s="189">
        <f t="shared" si="4"/>
        <v>0</v>
      </c>
      <c r="Y17" s="189">
        <f t="shared" si="5"/>
        <v>0</v>
      </c>
      <c r="Z17" s="189">
        <f t="shared" si="5"/>
        <v>0</v>
      </c>
      <c r="AA17" s="189">
        <f t="shared" si="6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7"/>
        <v>0</v>
      </c>
      <c r="K18" s="80"/>
      <c r="L18" s="186">
        <f t="shared" si="0"/>
        <v>0</v>
      </c>
      <c r="M18" s="107"/>
      <c r="N18" s="104">
        <v>7</v>
      </c>
      <c r="O18" s="152" t="s">
        <v>69</v>
      </c>
      <c r="P18" s="158"/>
      <c r="Q18" s="158"/>
      <c r="R18" s="159"/>
      <c r="S18" s="155"/>
      <c r="T18" s="157"/>
      <c r="U18" s="189">
        <f t="shared" si="1"/>
        <v>0</v>
      </c>
      <c r="V18" s="189">
        <f t="shared" si="2"/>
        <v>0</v>
      </c>
      <c r="W18" s="189">
        <f t="shared" si="3"/>
        <v>0</v>
      </c>
      <c r="X18" s="189">
        <f t="shared" si="4"/>
        <v>0</v>
      </c>
      <c r="Y18" s="189">
        <f t="shared" si="5"/>
        <v>0</v>
      </c>
      <c r="Z18" s="189">
        <f t="shared" si="5"/>
        <v>0</v>
      </c>
      <c r="AA18" s="189">
        <f t="shared" si="6"/>
        <v>0</v>
      </c>
      <c r="AB18" s="156"/>
    </row>
    <row r="19" spans="1:28" ht="15.75" x14ac:dyDescent="0.25">
      <c r="A19" s="93" t="s">
        <v>81</v>
      </c>
      <c r="B19" s="97">
        <f>+B13+B15+B17</f>
        <v>1038</v>
      </c>
      <c r="C19" s="95"/>
      <c r="D19" s="94"/>
      <c r="E19" s="96"/>
      <c r="F19" s="94"/>
      <c r="G19" s="94"/>
      <c r="H19" s="98"/>
      <c r="I19" s="239">
        <v>1038</v>
      </c>
      <c r="J19" s="185">
        <f>B19-I19</f>
        <v>0</v>
      </c>
      <c r="K19" s="99"/>
      <c r="L19" s="187">
        <f t="shared" si="0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1"/>
        <v>0</v>
      </c>
      <c r="V19" s="189">
        <f t="shared" si="2"/>
        <v>0</v>
      </c>
      <c r="W19" s="189">
        <f t="shared" si="3"/>
        <v>0</v>
      </c>
      <c r="X19" s="189">
        <f t="shared" si="4"/>
        <v>0</v>
      </c>
      <c r="Y19" s="189">
        <f t="shared" si="5"/>
        <v>0</v>
      </c>
      <c r="Z19" s="189">
        <f t="shared" si="5"/>
        <v>0</v>
      </c>
      <c r="AA19" s="189">
        <f t="shared" si="6"/>
        <v>0</v>
      </c>
      <c r="AB19" s="156"/>
    </row>
    <row r="20" spans="1:28" ht="15.75" x14ac:dyDescent="0.25">
      <c r="A20" s="93" t="s">
        <v>82</v>
      </c>
      <c r="B20" s="97">
        <f>+B14+B16+B18</f>
        <v>5771.28</v>
      </c>
      <c r="C20" s="95"/>
      <c r="D20" s="94"/>
      <c r="E20" s="96"/>
      <c r="F20" s="94"/>
      <c r="G20" s="94"/>
      <c r="H20" s="98"/>
      <c r="I20" s="99">
        <v>5771.28</v>
      </c>
      <c r="J20" s="185">
        <f t="shared" si="7"/>
        <v>0</v>
      </c>
      <c r="K20" s="99"/>
      <c r="L20" s="187">
        <f t="shared" si="0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1"/>
        <v>0</v>
      </c>
      <c r="V20" s="189">
        <f t="shared" si="2"/>
        <v>0</v>
      </c>
      <c r="W20" s="189">
        <f t="shared" si="3"/>
        <v>0</v>
      </c>
      <c r="X20" s="189">
        <f t="shared" si="4"/>
        <v>0</v>
      </c>
      <c r="Y20" s="189">
        <f t="shared" si="5"/>
        <v>0</v>
      </c>
      <c r="Z20" s="189">
        <f t="shared" si="5"/>
        <v>0</v>
      </c>
      <c r="AA20" s="189">
        <f t="shared" si="6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7"/>
        <v>0</v>
      </c>
      <c r="K21" s="80"/>
      <c r="L21" s="186">
        <f t="shared" si="0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1"/>
        <v>0</v>
      </c>
      <c r="V21" s="189">
        <f t="shared" si="2"/>
        <v>0</v>
      </c>
      <c r="W21" s="189">
        <f t="shared" si="3"/>
        <v>0</v>
      </c>
      <c r="X21" s="189">
        <f t="shared" si="4"/>
        <v>0</v>
      </c>
      <c r="Y21" s="189">
        <f t="shared" si="5"/>
        <v>0</v>
      </c>
      <c r="Z21" s="189">
        <f t="shared" si="5"/>
        <v>0</v>
      </c>
      <c r="AA21" s="189">
        <f t="shared" si="6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7"/>
        <v>0</v>
      </c>
      <c r="K22" s="80"/>
      <c r="L22" s="186">
        <f t="shared" si="0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1"/>
        <v>0</v>
      </c>
      <c r="V22" s="189">
        <f t="shared" si="2"/>
        <v>0</v>
      </c>
      <c r="W22" s="189">
        <f t="shared" si="3"/>
        <v>0</v>
      </c>
      <c r="X22" s="189">
        <f t="shared" si="4"/>
        <v>0</v>
      </c>
      <c r="Y22" s="189">
        <f t="shared" si="5"/>
        <v>0</v>
      </c>
      <c r="Z22" s="189">
        <f t="shared" si="5"/>
        <v>0</v>
      </c>
      <c r="AA22" s="189">
        <f t="shared" si="6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7"/>
        <v>0</v>
      </c>
      <c r="K23" s="80"/>
      <c r="L23" s="186">
        <f t="shared" si="0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1"/>
        <v>0</v>
      </c>
      <c r="V23" s="189">
        <f t="shared" si="2"/>
        <v>0</v>
      </c>
      <c r="W23" s="189">
        <f t="shared" si="3"/>
        <v>0</v>
      </c>
      <c r="X23" s="189">
        <f t="shared" si="4"/>
        <v>0</v>
      </c>
      <c r="Y23" s="189">
        <f t="shared" si="5"/>
        <v>0</v>
      </c>
      <c r="Z23" s="189">
        <f t="shared" si="5"/>
        <v>0</v>
      </c>
      <c r="AA23" s="189">
        <f t="shared" si="6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7"/>
        <v>0</v>
      </c>
      <c r="K24" s="80"/>
      <c r="L24" s="186">
        <f t="shared" si="0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1"/>
        <v>0</v>
      </c>
      <c r="V24" s="189">
        <f t="shared" si="2"/>
        <v>0</v>
      </c>
      <c r="W24" s="189">
        <f t="shared" si="3"/>
        <v>0</v>
      </c>
      <c r="X24" s="189">
        <f t="shared" si="4"/>
        <v>0</v>
      </c>
      <c r="Y24" s="189">
        <f t="shared" si="5"/>
        <v>0</v>
      </c>
      <c r="Z24" s="189">
        <f t="shared" si="5"/>
        <v>0</v>
      </c>
      <c r="AA24" s="189">
        <f t="shared" si="6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7"/>
        <v>0</v>
      </c>
      <c r="K25" s="80"/>
      <c r="L25" s="186">
        <f t="shared" si="0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1"/>
        <v>0</v>
      </c>
      <c r="V25" s="189">
        <f t="shared" si="2"/>
        <v>0</v>
      </c>
      <c r="W25" s="189">
        <f t="shared" si="3"/>
        <v>0</v>
      </c>
      <c r="X25" s="189">
        <f t="shared" si="4"/>
        <v>0</v>
      </c>
      <c r="Y25" s="189">
        <f t="shared" si="5"/>
        <v>0</v>
      </c>
      <c r="Z25" s="189">
        <f t="shared" si="5"/>
        <v>0</v>
      </c>
      <c r="AA25" s="189">
        <f t="shared" si="6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7"/>
        <v>0</v>
      </c>
      <c r="K26" s="80"/>
      <c r="L26" s="186">
        <f t="shared" si="0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1"/>
        <v>0</v>
      </c>
      <c r="V26" s="189">
        <f t="shared" si="2"/>
        <v>0</v>
      </c>
      <c r="W26" s="189">
        <f t="shared" si="3"/>
        <v>0</v>
      </c>
      <c r="X26" s="189">
        <f t="shared" si="4"/>
        <v>0</v>
      </c>
      <c r="Y26" s="189">
        <f t="shared" si="5"/>
        <v>0</v>
      </c>
      <c r="Z26" s="189">
        <f t="shared" si="5"/>
        <v>0</v>
      </c>
      <c r="AA26" s="189">
        <f t="shared" si="6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7"/>
        <v>0</v>
      </c>
      <c r="K27" s="99"/>
      <c r="L27" s="187">
        <f t="shared" si="0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1"/>
        <v>0</v>
      </c>
      <c r="V27" s="189">
        <f t="shared" si="2"/>
        <v>0</v>
      </c>
      <c r="W27" s="189">
        <f t="shared" si="3"/>
        <v>0</v>
      </c>
      <c r="X27" s="189">
        <f t="shared" si="4"/>
        <v>0</v>
      </c>
      <c r="Y27" s="189">
        <f t="shared" si="5"/>
        <v>0</v>
      </c>
      <c r="Z27" s="189">
        <f t="shared" si="5"/>
        <v>0</v>
      </c>
      <c r="AA27" s="189">
        <f t="shared" si="6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7"/>
        <v>0</v>
      </c>
      <c r="K28" s="99"/>
      <c r="L28" s="187">
        <f t="shared" si="0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1"/>
        <v>0</v>
      </c>
      <c r="V28" s="189">
        <f t="shared" si="2"/>
        <v>0</v>
      </c>
      <c r="W28" s="189">
        <f t="shared" si="3"/>
        <v>0</v>
      </c>
      <c r="X28" s="189">
        <f t="shared" si="4"/>
        <v>0</v>
      </c>
      <c r="Y28" s="189">
        <f t="shared" si="5"/>
        <v>0</v>
      </c>
      <c r="Z28" s="189">
        <f t="shared" si="5"/>
        <v>0</v>
      </c>
      <c r="AA28" s="189">
        <f t="shared" si="6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7"/>
        <v>0</v>
      </c>
      <c r="K29" s="80"/>
      <c r="L29" s="186">
        <f t="shared" si="0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1"/>
        <v>0</v>
      </c>
      <c r="V29" s="189">
        <f t="shared" si="2"/>
        <v>0</v>
      </c>
      <c r="W29" s="189">
        <f t="shared" si="3"/>
        <v>0</v>
      </c>
      <c r="X29" s="189">
        <f t="shared" si="4"/>
        <v>0</v>
      </c>
      <c r="Y29" s="189">
        <f t="shared" si="5"/>
        <v>0</v>
      </c>
      <c r="Z29" s="189">
        <f t="shared" si="5"/>
        <v>0</v>
      </c>
      <c r="AA29" s="189">
        <f t="shared" si="6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7"/>
        <v>0</v>
      </c>
      <c r="K30" s="80"/>
      <c r="L30" s="186">
        <f t="shared" si="0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1"/>
        <v>0</v>
      </c>
      <c r="V30" s="189">
        <f t="shared" si="2"/>
        <v>0</v>
      </c>
      <c r="W30" s="189">
        <f t="shared" si="3"/>
        <v>0</v>
      </c>
      <c r="X30" s="189">
        <f t="shared" si="4"/>
        <v>0</v>
      </c>
      <c r="Y30" s="189">
        <f t="shared" si="5"/>
        <v>0</v>
      </c>
      <c r="Z30" s="189">
        <f t="shared" si="5"/>
        <v>0</v>
      </c>
      <c r="AA30" s="189">
        <f t="shared" si="6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7"/>
        <v>0</v>
      </c>
      <c r="K31" s="80"/>
      <c r="L31" s="186">
        <f t="shared" si="0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1"/>
        <v>0</v>
      </c>
      <c r="V31" s="189">
        <f t="shared" si="2"/>
        <v>0</v>
      </c>
      <c r="W31" s="189">
        <f t="shared" si="3"/>
        <v>0</v>
      </c>
      <c r="X31" s="189">
        <f t="shared" si="4"/>
        <v>0</v>
      </c>
      <c r="Y31" s="189">
        <f t="shared" si="5"/>
        <v>0</v>
      </c>
      <c r="Z31" s="189">
        <f t="shared" si="5"/>
        <v>0</v>
      </c>
      <c r="AA31" s="189">
        <f t="shared" si="6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7"/>
        <v>0</v>
      </c>
      <c r="K32" s="80"/>
      <c r="L32" s="186">
        <f t="shared" si="0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1"/>
        <v>0</v>
      </c>
      <c r="V32" s="189">
        <f t="shared" si="2"/>
        <v>0</v>
      </c>
      <c r="W32" s="189">
        <f t="shared" si="3"/>
        <v>0</v>
      </c>
      <c r="X32" s="189">
        <f t="shared" si="4"/>
        <v>0</v>
      </c>
      <c r="Y32" s="189">
        <f t="shared" si="5"/>
        <v>0</v>
      </c>
      <c r="Z32" s="189">
        <f t="shared" si="5"/>
        <v>0</v>
      </c>
      <c r="AA32" s="189">
        <f t="shared" si="6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7"/>
        <v>0</v>
      </c>
      <c r="K33" s="80"/>
      <c r="L33" s="186">
        <f t="shared" si="0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1"/>
        <v>0</v>
      </c>
      <c r="V33" s="189">
        <f t="shared" si="2"/>
        <v>0</v>
      </c>
      <c r="W33" s="189">
        <f t="shared" si="3"/>
        <v>0</v>
      </c>
      <c r="X33" s="189">
        <f t="shared" si="4"/>
        <v>0</v>
      </c>
      <c r="Y33" s="189">
        <f t="shared" si="5"/>
        <v>0</v>
      </c>
      <c r="Z33" s="189">
        <f t="shared" si="5"/>
        <v>0</v>
      </c>
      <c r="AA33" s="189">
        <f t="shared" si="6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7"/>
        <v>0</v>
      </c>
      <c r="K34" s="80"/>
      <c r="L34" s="186">
        <f t="shared" si="0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1"/>
        <v>0</v>
      </c>
      <c r="V34" s="189">
        <f t="shared" si="2"/>
        <v>0</v>
      </c>
      <c r="W34" s="189">
        <f t="shared" si="3"/>
        <v>0</v>
      </c>
      <c r="X34" s="189">
        <f t="shared" si="4"/>
        <v>0</v>
      </c>
      <c r="Y34" s="189">
        <f t="shared" si="5"/>
        <v>0</v>
      </c>
      <c r="Z34" s="189">
        <f t="shared" si="5"/>
        <v>0</v>
      </c>
      <c r="AA34" s="189">
        <f t="shared" si="6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7"/>
        <v>0</v>
      </c>
      <c r="K35" s="99"/>
      <c r="L35" s="187">
        <f t="shared" si="0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1"/>
        <v>0</v>
      </c>
      <c r="V35" s="189">
        <f t="shared" si="2"/>
        <v>0</v>
      </c>
      <c r="W35" s="189">
        <f t="shared" si="3"/>
        <v>0</v>
      </c>
      <c r="X35" s="189">
        <f t="shared" si="4"/>
        <v>0</v>
      </c>
      <c r="Y35" s="189">
        <f t="shared" si="5"/>
        <v>0</v>
      </c>
      <c r="Z35" s="189">
        <f t="shared" si="5"/>
        <v>0</v>
      </c>
      <c r="AA35" s="189">
        <f t="shared" si="6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7"/>
        <v>0</v>
      </c>
      <c r="K36" s="99"/>
      <c r="L36" s="187">
        <f t="shared" si="0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1"/>
        <v>0</v>
      </c>
      <c r="V36" s="189">
        <f t="shared" si="2"/>
        <v>0</v>
      </c>
      <c r="W36" s="189">
        <f t="shared" si="3"/>
        <v>0</v>
      </c>
      <c r="X36" s="189">
        <f t="shared" si="4"/>
        <v>0</v>
      </c>
      <c r="Y36" s="189">
        <f>R36-V36</f>
        <v>0</v>
      </c>
      <c r="Z36" s="189">
        <f t="shared" si="5"/>
        <v>0</v>
      </c>
      <c r="AA36" s="189">
        <f t="shared" si="6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7"/>
        <v>0</v>
      </c>
      <c r="K37" s="80"/>
      <c r="L37" s="186">
        <f t="shared" si="0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1"/>
        <v>0</v>
      </c>
      <c r="V37" s="189">
        <f t="shared" si="2"/>
        <v>0</v>
      </c>
      <c r="W37" s="189">
        <f t="shared" si="3"/>
        <v>0</v>
      </c>
      <c r="X37" s="189">
        <f t="shared" si="4"/>
        <v>0</v>
      </c>
      <c r="Y37" s="189">
        <f t="shared" si="5"/>
        <v>0</v>
      </c>
      <c r="Z37" s="189">
        <f t="shared" si="5"/>
        <v>0</v>
      </c>
      <c r="AA37" s="189">
        <f t="shared" si="6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7"/>
        <v>0</v>
      </c>
      <c r="K38" s="80"/>
      <c r="L38" s="186">
        <f t="shared" si="0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1"/>
        <v>0</v>
      </c>
      <c r="V38" s="189">
        <f t="shared" si="2"/>
        <v>0</v>
      </c>
      <c r="W38" s="189">
        <f t="shared" si="3"/>
        <v>0</v>
      </c>
      <c r="X38" s="189">
        <f t="shared" si="4"/>
        <v>0</v>
      </c>
      <c r="Y38" s="189">
        <f t="shared" si="5"/>
        <v>0</v>
      </c>
      <c r="Z38" s="189">
        <f t="shared" si="5"/>
        <v>0</v>
      </c>
      <c r="AA38" s="189">
        <f t="shared" si="6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7"/>
        <v>0</v>
      </c>
      <c r="K39" s="80"/>
      <c r="L39" s="186">
        <f t="shared" si="0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1"/>
        <v>0</v>
      </c>
      <c r="V39" s="189">
        <f t="shared" si="2"/>
        <v>0</v>
      </c>
      <c r="W39" s="189">
        <f t="shared" si="3"/>
        <v>0</v>
      </c>
      <c r="X39" s="189">
        <f t="shared" si="4"/>
        <v>0</v>
      </c>
      <c r="Y39" s="189">
        <f t="shared" si="5"/>
        <v>0</v>
      </c>
      <c r="Z39" s="189">
        <f t="shared" si="5"/>
        <v>0</v>
      </c>
      <c r="AA39" s="189">
        <f t="shared" si="6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7"/>
        <v>0</v>
      </c>
      <c r="K40" s="80"/>
      <c r="L40" s="186">
        <f t="shared" si="0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1"/>
        <v>0</v>
      </c>
      <c r="V40" s="189">
        <f t="shared" si="2"/>
        <v>0</v>
      </c>
      <c r="W40" s="189">
        <f t="shared" si="3"/>
        <v>0</v>
      </c>
      <c r="X40" s="189">
        <f t="shared" si="4"/>
        <v>0</v>
      </c>
      <c r="Y40" s="189">
        <f t="shared" si="5"/>
        <v>0</v>
      </c>
      <c r="Z40" s="189">
        <f t="shared" si="5"/>
        <v>0</v>
      </c>
      <c r="AA40" s="189">
        <f t="shared" si="6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7"/>
        <v>0</v>
      </c>
      <c r="K41" s="80"/>
      <c r="L41" s="186">
        <f t="shared" si="0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1"/>
        <v>0</v>
      </c>
      <c r="V41" s="189">
        <f t="shared" si="2"/>
        <v>0</v>
      </c>
      <c r="W41" s="189">
        <f t="shared" si="3"/>
        <v>0</v>
      </c>
      <c r="X41" s="189">
        <f t="shared" si="4"/>
        <v>0</v>
      </c>
      <c r="Y41" s="189">
        <f t="shared" si="5"/>
        <v>0</v>
      </c>
      <c r="Z41" s="189">
        <f t="shared" si="5"/>
        <v>0</v>
      </c>
      <c r="AA41" s="189">
        <f t="shared" si="6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7"/>
        <v>0</v>
      </c>
      <c r="K42" s="80"/>
      <c r="L42" s="186">
        <f t="shared" si="0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4035.83</v>
      </c>
      <c r="S42" s="190">
        <f t="shared" si="8"/>
        <v>0</v>
      </c>
      <c r="T42" s="190">
        <f t="shared" si="8"/>
        <v>137.54</v>
      </c>
      <c r="U42" s="190">
        <f t="shared" si="8"/>
        <v>5.9284482758620696</v>
      </c>
      <c r="V42" s="190">
        <f t="shared" si="8"/>
        <v>30.268725</v>
      </c>
      <c r="W42" s="190">
        <f t="shared" si="8"/>
        <v>0</v>
      </c>
      <c r="X42" s="190">
        <f t="shared" si="8"/>
        <v>3.4385000000000003</v>
      </c>
      <c r="Y42" s="190">
        <f t="shared" si="8"/>
        <v>4005.561275</v>
      </c>
      <c r="Z42" s="190">
        <f t="shared" si="8"/>
        <v>0</v>
      </c>
      <c r="AA42" s="190">
        <f t="shared" si="8"/>
        <v>128.17305172413791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7"/>
        <v>0</v>
      </c>
      <c r="K43" s="99"/>
      <c r="L43" s="187">
        <f t="shared" si="0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239"/>
      <c r="J44" s="185">
        <f t="shared" si="7"/>
        <v>0</v>
      </c>
      <c r="K44" s="99"/>
      <c r="L44" s="187">
        <f t="shared" si="0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7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4035.83</v>
      </c>
      <c r="C46" s="116">
        <v>7.4999999999999997E-3</v>
      </c>
      <c r="D46" s="117">
        <f>B46*C46</f>
        <v>30.268725</v>
      </c>
      <c r="E46" s="172">
        <v>0</v>
      </c>
      <c r="F46" s="117">
        <f t="shared" ref="F46:F50" si="15">D46*E46</f>
        <v>0</v>
      </c>
      <c r="G46" s="117">
        <f t="shared" ref="G46:G51" si="16">B46-D46-F46</f>
        <v>4005.561275</v>
      </c>
      <c r="H46" s="173">
        <f>B$6+1</f>
        <v>44748</v>
      </c>
      <c r="I46" s="174"/>
      <c r="J46" s="81">
        <f t="shared" si="7"/>
        <v>4035.83</v>
      </c>
      <c r="K46" s="80">
        <v>4005.56</v>
      </c>
      <c r="L46" s="186">
        <f>K46-G46</f>
        <v>-1.2750000000778527E-3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44748</v>
      </c>
      <c r="I47" s="175"/>
      <c r="J47" s="81">
        <f t="shared" si="7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44748</v>
      </c>
      <c r="I48" s="176"/>
      <c r="J48" s="81">
        <f t="shared" si="7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3107.95</v>
      </c>
      <c r="C49" s="116">
        <v>7.4999999999999997E-3</v>
      </c>
      <c r="D49" s="117">
        <f t="shared" si="17"/>
        <v>23.309624999999997</v>
      </c>
      <c r="E49" s="172">
        <v>0</v>
      </c>
      <c r="F49" s="117">
        <f t="shared" si="15"/>
        <v>0</v>
      </c>
      <c r="G49" s="117">
        <f t="shared" si="16"/>
        <v>3084.6403749999999</v>
      </c>
      <c r="H49" s="173">
        <f t="shared" si="19"/>
        <v>44748</v>
      </c>
      <c r="I49" s="176"/>
      <c r="J49" s="81">
        <f t="shared" si="7"/>
        <v>3107.95</v>
      </c>
      <c r="K49" s="80">
        <v>3084.64</v>
      </c>
      <c r="L49" s="186">
        <f t="shared" si="18"/>
        <v>3.7500000007639755E-4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395.23999999999995</v>
      </c>
      <c r="C50" s="116">
        <v>7.4999999999999997E-3</v>
      </c>
      <c r="D50" s="117">
        <f t="shared" si="17"/>
        <v>2.9642999999999997</v>
      </c>
      <c r="E50" s="172">
        <v>0</v>
      </c>
      <c r="F50" s="117">
        <f t="shared" si="15"/>
        <v>0</v>
      </c>
      <c r="G50" s="117">
        <f t="shared" si="16"/>
        <v>392.27569999999997</v>
      </c>
      <c r="H50" s="173">
        <f t="shared" si="19"/>
        <v>44748</v>
      </c>
      <c r="I50" s="175"/>
      <c r="J50" s="81">
        <f t="shared" si="7"/>
        <v>395.23999999999995</v>
      </c>
      <c r="K50" s="80">
        <v>392.28</v>
      </c>
      <c r="L50" s="186">
        <f t="shared" si="18"/>
        <v>-4.3000000000006366E-3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422.11</v>
      </c>
      <c r="C51" s="116">
        <v>1.4999999999999999E-2</v>
      </c>
      <c r="D51" s="117">
        <f>+B51*C51</f>
        <v>6.3316499999999998</v>
      </c>
      <c r="E51" s="172">
        <v>0</v>
      </c>
      <c r="F51" s="117">
        <f>D51*E51</f>
        <v>0</v>
      </c>
      <c r="G51" s="117">
        <f t="shared" si="16"/>
        <v>415.77834999999999</v>
      </c>
      <c r="H51" s="173">
        <f t="shared" si="19"/>
        <v>44748</v>
      </c>
      <c r="I51" s="175"/>
      <c r="J51" s="81">
        <f t="shared" si="7"/>
        <v>422.11</v>
      </c>
      <c r="K51" s="80">
        <v>415.78</v>
      </c>
      <c r="L51" s="186">
        <f t="shared" si="18"/>
        <v>-1.64999999998372E-3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137.54</v>
      </c>
      <c r="C52" s="116">
        <v>2.5000000000000001E-2</v>
      </c>
      <c r="D52" s="117">
        <f>B52*C52</f>
        <v>3.4384999999999999</v>
      </c>
      <c r="E52" s="172">
        <v>0.05</v>
      </c>
      <c r="F52" s="117">
        <f>(B52/E$10)*E52</f>
        <v>5.9284482758620696</v>
      </c>
      <c r="G52" s="117">
        <f>B52-D52-F52</f>
        <v>128.17305172413791</v>
      </c>
      <c r="H52" s="188">
        <f t="shared" si="19"/>
        <v>44748</v>
      </c>
      <c r="I52" s="176">
        <v>137.54</v>
      </c>
      <c r="J52" s="81">
        <f t="shared" si="7"/>
        <v>0</v>
      </c>
      <c r="K52" s="80">
        <v>128.16999999999999</v>
      </c>
      <c r="L52" s="186">
        <f>K52-G52</f>
        <v>-3.0517241379186544E-3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44748</v>
      </c>
      <c r="I53" s="176"/>
      <c r="J53" s="81">
        <f t="shared" si="7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44748</v>
      </c>
      <c r="I54" s="176"/>
      <c r="J54" s="81">
        <f t="shared" si="7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44748</v>
      </c>
      <c r="I55" s="176"/>
      <c r="J55" s="81">
        <f t="shared" si="7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44748</v>
      </c>
      <c r="I56" s="176"/>
      <c r="J56" s="81">
        <f t="shared" si="7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44750</v>
      </c>
      <c r="I57" s="175"/>
      <c r="J57" s="81">
        <f t="shared" si="7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44752</v>
      </c>
      <c r="I58" s="175"/>
      <c r="J58" s="81">
        <f t="shared" si="7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44777</v>
      </c>
      <c r="I60" s="175"/>
      <c r="J60" s="81">
        <f t="shared" si="7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66.31280000000001</v>
      </c>
      <c r="E61" s="177"/>
      <c r="F61" s="57">
        <f>SUM(F46:F58)</f>
        <v>5.9284482758620696</v>
      </c>
      <c r="G61" s="57">
        <f>SUM(G46:G58)</f>
        <v>8026.4287517241373</v>
      </c>
      <c r="H61" s="173">
        <f t="shared" si="19"/>
        <v>44748</v>
      </c>
      <c r="I61" s="175"/>
      <c r="J61" s="81">
        <f t="shared" si="7"/>
        <v>0</v>
      </c>
      <c r="K61" s="80"/>
      <c r="L61" s="186">
        <f t="shared" si="18"/>
        <v>8026.4287517241373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44748</v>
      </c>
      <c r="I62" s="176"/>
      <c r="J62" s="81">
        <f t="shared" si="7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16052.857503448275</v>
      </c>
      <c r="H64" s="184"/>
      <c r="I64" s="175"/>
      <c r="J64" s="81">
        <f t="shared" si="7"/>
        <v>0</v>
      </c>
      <c r="K64" s="80"/>
      <c r="L64" s="186">
        <f t="shared" si="18"/>
        <v>16052.857503448275</v>
      </c>
      <c r="M64" s="130"/>
      <c r="N64" s="87">
        <v>1</v>
      </c>
      <c r="O64" s="122" t="s">
        <v>182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15929.450000000003</v>
      </c>
      <c r="G65" s="22"/>
      <c r="L65" s="132"/>
      <c r="M65" s="131"/>
      <c r="N65" s="87">
        <v>2</v>
      </c>
      <c r="O65" s="122" t="s">
        <v>182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182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15742.33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182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15898.42</v>
      </c>
      <c r="C69" s="59"/>
      <c r="F69" s="87" t="s">
        <v>129</v>
      </c>
      <c r="G69" s="22"/>
      <c r="H69" s="89">
        <f>+G52</f>
        <v>128.17305172413791</v>
      </c>
      <c r="I69" s="136"/>
      <c r="J69" s="136">
        <f>K52</f>
        <v>128.16999999999999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-156.09000000000015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885</v>
      </c>
      <c r="Q70" s="228">
        <v>2002</v>
      </c>
      <c r="R70" s="255">
        <v>2192.44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16.443300000000001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2175.9967000000001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31.030000000002474</v>
      </c>
      <c r="C71" s="64"/>
      <c r="F71" s="87" t="s">
        <v>131</v>
      </c>
      <c r="G71" s="137"/>
      <c r="H71" s="87"/>
      <c r="I71" s="81"/>
      <c r="J71" s="81">
        <f>+J69-H69-H70-H71-H72-H73</f>
        <v>-3.0517241379186544E-3</v>
      </c>
      <c r="N71" s="87">
        <v>2</v>
      </c>
      <c r="O71" s="122" t="s">
        <v>188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211</v>
      </c>
      <c r="P73" s="228">
        <v>801</v>
      </c>
      <c r="Q73" s="228">
        <v>2002</v>
      </c>
      <c r="R73" s="255">
        <v>915.51</v>
      </c>
      <c r="S73" s="228"/>
      <c r="T73" s="228"/>
      <c r="U73" s="189">
        <f t="shared" si="34"/>
        <v>0</v>
      </c>
      <c r="V73" s="189">
        <f t="shared" si="35"/>
        <v>6.8663249999999998</v>
      </c>
      <c r="W73" s="189">
        <f t="shared" si="36"/>
        <v>0</v>
      </c>
      <c r="X73" s="189">
        <f t="shared" si="37"/>
        <v>0</v>
      </c>
      <c r="Y73" s="189">
        <f t="shared" si="38"/>
        <v>908.64367500000003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128.17305172413791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3107.95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23.309625</v>
      </c>
      <c r="W75" s="192">
        <f t="shared" si="41"/>
        <v>0</v>
      </c>
      <c r="X75" s="192">
        <f t="shared" si="41"/>
        <v>0</v>
      </c>
      <c r="Y75" s="192">
        <f t="shared" si="41"/>
        <v>3084.6403749999999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10.37</v>
      </c>
      <c r="Q78" s="137"/>
      <c r="R78" s="82">
        <v>7.4999999999999997E-3</v>
      </c>
      <c r="S78" s="194">
        <f>+(P78+Q78)*R78</f>
        <v>7.7774999999999997E-2</v>
      </c>
      <c r="T78" s="244">
        <f>+(P78+Q78)-S78</f>
        <v>10.292224999999998</v>
      </c>
      <c r="U78" s="211">
        <v>51.01</v>
      </c>
      <c r="V78" s="112"/>
      <c r="W78" s="113">
        <v>1.4999999999999999E-2</v>
      </c>
      <c r="X78" s="196">
        <f>+(U78+V78)*W78</f>
        <v>0.76515</v>
      </c>
      <c r="Y78" s="242">
        <f>+(U78+V78)-X78</f>
        <v>50.24485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392.28</v>
      </c>
      <c r="N79" s="87">
        <v>2</v>
      </c>
      <c r="O79" s="87" t="s">
        <v>112</v>
      </c>
      <c r="P79" s="137">
        <v>109.75</v>
      </c>
      <c r="Q79" s="137">
        <v>23.58</v>
      </c>
      <c r="R79" s="82">
        <v>7.4999999999999997E-3</v>
      </c>
      <c r="S79" s="194">
        <f t="shared" ref="S79:S97" si="43">+(P79+Q79)*R79</f>
        <v>0.99997499999999984</v>
      </c>
      <c r="T79" s="244">
        <f t="shared" ref="T79:T97" si="44">+(P79+Q79)-S79</f>
        <v>132.33002499999998</v>
      </c>
      <c r="U79" s="211">
        <v>85.54</v>
      </c>
      <c r="V79" s="112"/>
      <c r="W79" s="113">
        <v>1.4999999999999999E-2</v>
      </c>
      <c r="X79" s="196">
        <f t="shared" ref="X79:X97" si="45">+(U79+V79)*W79</f>
        <v>1.2831000000000001</v>
      </c>
      <c r="Y79" s="242">
        <f t="shared" ref="Y79:Y97" si="46">+(U79+V79)-X79</f>
        <v>84.256900000000002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130.29</v>
      </c>
      <c r="Q80" s="87">
        <v>50.7</v>
      </c>
      <c r="R80" s="82">
        <v>7.4999999999999997E-3</v>
      </c>
      <c r="S80" s="194">
        <f t="shared" si="43"/>
        <v>1.3574250000000001</v>
      </c>
      <c r="T80" s="213">
        <f t="shared" si="44"/>
        <v>179.632575</v>
      </c>
      <c r="U80" s="211">
        <v>52.83</v>
      </c>
      <c r="V80" s="112"/>
      <c r="W80" s="113">
        <v>1.4999999999999999E-2</v>
      </c>
      <c r="X80" s="196">
        <f t="shared" si="45"/>
        <v>0.79244999999999999</v>
      </c>
      <c r="Y80" s="213">
        <f t="shared" si="46"/>
        <v>52.037549999999996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392.28</v>
      </c>
      <c r="N81" s="87">
        <v>4</v>
      </c>
      <c r="O81" s="87" t="s">
        <v>112</v>
      </c>
      <c r="P81" s="87">
        <v>44.25</v>
      </c>
      <c r="Q81" s="87">
        <v>26.3</v>
      </c>
      <c r="R81" s="82">
        <v>7.4999999999999997E-3</v>
      </c>
      <c r="S81" s="194">
        <f t="shared" si="43"/>
        <v>0.52912499999999996</v>
      </c>
      <c r="T81" s="242">
        <f t="shared" si="44"/>
        <v>70.020875000000004</v>
      </c>
      <c r="U81" s="112">
        <v>232.73</v>
      </c>
      <c r="V81" s="112"/>
      <c r="W81" s="113">
        <v>1.4999999999999999E-2</v>
      </c>
      <c r="X81" s="196">
        <f t="shared" si="45"/>
        <v>3.4909499999999998</v>
      </c>
      <c r="Y81" s="242">
        <f t="shared" si="46"/>
        <v>229.23904999999999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294.65999999999997</v>
      </c>
      <c r="Q98" s="195">
        <f>SUM(Q78:Q97)</f>
        <v>100.58</v>
      </c>
      <c r="R98" s="111"/>
      <c r="S98" s="195">
        <f>SUM(S78:S97)</f>
        <v>2.9643000000000002</v>
      </c>
      <c r="T98" s="195">
        <f>SUM(T78:T97)</f>
        <v>392.27569999999997</v>
      </c>
      <c r="U98" s="114">
        <f>SUM(U78:U97)</f>
        <v>422.11</v>
      </c>
      <c r="V98" s="114">
        <f>SUM(V78:V97)</f>
        <v>0</v>
      </c>
      <c r="W98" s="112"/>
      <c r="X98" s="197">
        <f>SUM(X78:X97)</f>
        <v>6.3316499999999998</v>
      </c>
      <c r="Y98" s="197">
        <f>SUM(Y78:Y97)</f>
        <v>415.77835000000005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61.379999999999995</v>
      </c>
    </row>
    <row r="103" spans="14:30" x14ac:dyDescent="0.25">
      <c r="N103" s="85"/>
      <c r="Q103" s="215">
        <f>U79+Q79+P79</f>
        <v>218.87</v>
      </c>
    </row>
    <row r="104" spans="14:30" x14ac:dyDescent="0.25">
      <c r="N104" s="85"/>
      <c r="Q104" s="215">
        <f>P80+Q80+U80</f>
        <v>233.82</v>
      </c>
    </row>
    <row r="105" spans="14:30" x14ac:dyDescent="0.25">
      <c r="N105" s="85"/>
      <c r="Q105" s="215">
        <f>P81+Q81+U81</f>
        <v>303.27999999999997</v>
      </c>
    </row>
    <row r="106" spans="14:30" x14ac:dyDescent="0.25">
      <c r="N106" s="85"/>
      <c r="Q106" s="215">
        <f>P82+U82+Q82</f>
        <v>0</v>
      </c>
    </row>
    <row r="107" spans="14:30" x14ac:dyDescent="0.25">
      <c r="N107" s="85"/>
      <c r="Q107" s="238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56" zoomScale="90" zoomScaleNormal="90" workbookViewId="0">
      <selection activeCell="X80" sqref="X8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192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44748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  <c r="R8" s="212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1625</v>
      </c>
      <c r="C12" s="15"/>
      <c r="D12" s="56"/>
      <c r="E12" s="16"/>
      <c r="F12" s="56"/>
      <c r="G12" s="56"/>
      <c r="H12" s="17"/>
      <c r="I12" s="83"/>
      <c r="J12" s="81">
        <f>B12-I12</f>
        <v>1625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>
        <v>189</v>
      </c>
      <c r="Q12" s="153">
        <v>6</v>
      </c>
      <c r="R12" s="154">
        <v>1315.12</v>
      </c>
      <c r="S12" s="155"/>
      <c r="T12" s="155"/>
      <c r="U12" s="189">
        <f>((T12/U$10)*U$9)</f>
        <v>0</v>
      </c>
      <c r="V12" s="189">
        <f>R12*V$10</f>
        <v>9.8633999999999986</v>
      </c>
      <c r="W12" s="189">
        <f>+S12*V$10</f>
        <v>0</v>
      </c>
      <c r="X12" s="189">
        <f>+T12*X$10</f>
        <v>0</v>
      </c>
      <c r="Y12" s="189">
        <f>R12-V12</f>
        <v>1305.2565999999999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937</v>
      </c>
      <c r="C13" s="15"/>
      <c r="D13" s="56"/>
      <c r="E13" s="16"/>
      <c r="F13" s="56"/>
      <c r="G13" s="56"/>
      <c r="H13" s="17"/>
      <c r="I13" s="83"/>
      <c r="J13" s="81">
        <f t="shared" ref="J13:J20" si="0">B13-I13</f>
        <v>937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>
        <v>190</v>
      </c>
      <c r="Q13" s="153">
        <v>6</v>
      </c>
      <c r="R13" s="154">
        <v>1849.93</v>
      </c>
      <c r="S13" s="155"/>
      <c r="T13" s="157">
        <v>13.01</v>
      </c>
      <c r="U13" s="189">
        <f t="shared" ref="U13:U41" si="2">((T13/U$10)*U$9)</f>
        <v>0.56077586206896557</v>
      </c>
      <c r="V13" s="189">
        <f t="shared" ref="V13:V41" si="3">R13*V$10</f>
        <v>13.874475</v>
      </c>
      <c r="W13" s="189">
        <f t="shared" ref="W13:W41" si="4">+S13*V$10</f>
        <v>0</v>
      </c>
      <c r="X13" s="189">
        <f t="shared" ref="X13:X41" si="5">+T13*X$10</f>
        <v>0.32525000000000004</v>
      </c>
      <c r="Y13" s="189">
        <f t="shared" ref="Y13:Z41" si="6">R13-V13</f>
        <v>1836.055525</v>
      </c>
      <c r="Z13" s="189">
        <f t="shared" si="6"/>
        <v>0</v>
      </c>
      <c r="AA13" s="189">
        <f t="shared" ref="AA13:AA41" si="7">T13-U13-X13</f>
        <v>12.123974137931034</v>
      </c>
      <c r="AB13" s="156"/>
    </row>
    <row r="14" spans="1:28" ht="15.75" x14ac:dyDescent="0.25">
      <c r="A14" s="86" t="s">
        <v>83</v>
      </c>
      <c r="B14" s="57">
        <f>B13*B8</f>
        <v>5209.7199999999993</v>
      </c>
      <c r="C14" s="15"/>
      <c r="D14" s="56"/>
      <c r="E14" s="16"/>
      <c r="F14" s="56"/>
      <c r="G14" s="56"/>
      <c r="H14" s="17"/>
      <c r="I14" s="83"/>
      <c r="J14" s="81">
        <f t="shared" si="0"/>
        <v>5209.7199999999993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937</v>
      </c>
      <c r="C19" s="95"/>
      <c r="D19" s="94"/>
      <c r="E19" s="96"/>
      <c r="F19" s="94"/>
      <c r="G19" s="94"/>
      <c r="H19" s="98"/>
      <c r="I19" s="99"/>
      <c r="J19" s="185">
        <f t="shared" si="0"/>
        <v>937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5209.7199999999993</v>
      </c>
      <c r="C20" s="95"/>
      <c r="D20" s="94"/>
      <c r="E20" s="96"/>
      <c r="F20" s="94"/>
      <c r="G20" s="94"/>
      <c r="H20" s="98"/>
      <c r="I20" s="99"/>
      <c r="J20" s="185">
        <f t="shared" si="0"/>
        <v>5209.7199999999993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/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>B22-I22</f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ref="J23:J64" si="8">B23-I23</f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8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8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8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8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8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8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8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8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8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8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8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8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8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24.63</v>
      </c>
      <c r="C37" s="100"/>
      <c r="D37" s="66"/>
      <c r="E37" s="67"/>
      <c r="F37" s="66"/>
      <c r="G37" s="66"/>
      <c r="H37" s="102"/>
      <c r="I37" s="79"/>
      <c r="J37" s="81">
        <f t="shared" si="8"/>
        <v>24.63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136.94279999999998</v>
      </c>
      <c r="C38" s="100"/>
      <c r="D38" s="66"/>
      <c r="E38" s="67"/>
      <c r="F38" s="66"/>
      <c r="G38" s="66"/>
      <c r="H38" s="102"/>
      <c r="I38" s="79"/>
      <c r="J38" s="81">
        <f t="shared" si="8"/>
        <v>136.94279999999998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8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8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8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8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9">SUM(R12:R41)</f>
        <v>3165.05</v>
      </c>
      <c r="S42" s="190">
        <f t="shared" si="9"/>
        <v>0</v>
      </c>
      <c r="T42" s="190">
        <f t="shared" si="9"/>
        <v>13.01</v>
      </c>
      <c r="U42" s="190">
        <f t="shared" si="9"/>
        <v>0.56077586206896557</v>
      </c>
      <c r="V42" s="190">
        <f t="shared" si="9"/>
        <v>23.737874999999999</v>
      </c>
      <c r="W42" s="190">
        <f t="shared" si="9"/>
        <v>0</v>
      </c>
      <c r="X42" s="190">
        <f t="shared" si="9"/>
        <v>0.32525000000000004</v>
      </c>
      <c r="Y42" s="190">
        <f t="shared" si="9"/>
        <v>3141.3121249999999</v>
      </c>
      <c r="Z42" s="190">
        <f t="shared" si="9"/>
        <v>0</v>
      </c>
      <c r="AA42" s="190">
        <f t="shared" si="9"/>
        <v>12.123974137931034</v>
      </c>
      <c r="AB42" s="166"/>
    </row>
    <row r="43" spans="1:28" ht="15.75" x14ac:dyDescent="0.25">
      <c r="A43" s="93" t="s">
        <v>103</v>
      </c>
      <c r="B43" s="97">
        <f>+B37+B39+B41</f>
        <v>24.63</v>
      </c>
      <c r="C43" s="95"/>
      <c r="D43" s="94"/>
      <c r="E43" s="96"/>
      <c r="F43" s="94"/>
      <c r="G43" s="94"/>
      <c r="H43" s="98"/>
      <c r="I43" s="99"/>
      <c r="J43" s="185">
        <f t="shared" si="8"/>
        <v>24.63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104</v>
      </c>
      <c r="B44" s="97">
        <f>+B38+B40+B42</f>
        <v>136.94279999999998</v>
      </c>
      <c r="C44" s="95"/>
      <c r="D44" s="94"/>
      <c r="E44" s="96"/>
      <c r="F44" s="94"/>
      <c r="G44" s="94"/>
      <c r="H44" s="98"/>
      <c r="I44" s="99"/>
      <c r="J44" s="185">
        <f t="shared" si="8"/>
        <v>136.94279999999998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8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28</v>
      </c>
      <c r="B46" s="117">
        <f>R42</f>
        <v>3165.05</v>
      </c>
      <c r="C46" s="116">
        <v>7.4999999999999997E-3</v>
      </c>
      <c r="D46" s="117">
        <f>B46*C46</f>
        <v>23.737874999999999</v>
      </c>
      <c r="E46" s="172">
        <v>0</v>
      </c>
      <c r="F46" s="117">
        <f t="shared" ref="F46:F50" si="16">D46*E46</f>
        <v>0</v>
      </c>
      <c r="G46" s="117">
        <f t="shared" ref="G46:G51" si="17">B46-D46-F46</f>
        <v>3141.3121250000004</v>
      </c>
      <c r="H46" s="173">
        <f>B$6+1</f>
        <v>44749</v>
      </c>
      <c r="I46" s="174"/>
      <c r="J46" s="81">
        <f t="shared" si="8"/>
        <v>3165.05</v>
      </c>
      <c r="K46" s="80">
        <v>3141.31</v>
      </c>
      <c r="L46" s="186">
        <f t="shared" ref="L46:L64" si="18">+G46-K46</f>
        <v>2.1250000004329195E-3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44749</v>
      </c>
      <c r="I47" s="175"/>
      <c r="J47" s="81">
        <f t="shared" si="8"/>
        <v>0</v>
      </c>
      <c r="K47" s="80"/>
      <c r="L47" s="186">
        <f t="shared" si="18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9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44749</v>
      </c>
      <c r="I48" s="176"/>
      <c r="J48" s="81">
        <f t="shared" si="8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7</v>
      </c>
      <c r="B49" s="117">
        <f>R75</f>
        <v>2838.52</v>
      </c>
      <c r="C49" s="116">
        <v>7.4999999999999997E-3</v>
      </c>
      <c r="D49" s="117">
        <f t="shared" si="19"/>
        <v>21.288899999999998</v>
      </c>
      <c r="E49" s="172">
        <v>0</v>
      </c>
      <c r="F49" s="117">
        <f t="shared" si="16"/>
        <v>0</v>
      </c>
      <c r="G49" s="117">
        <f t="shared" si="17"/>
        <v>2817.2311</v>
      </c>
      <c r="H49" s="173">
        <f t="shared" si="20"/>
        <v>44749</v>
      </c>
      <c r="I49" s="176"/>
      <c r="J49" s="81">
        <f t="shared" si="8"/>
        <v>2838.52</v>
      </c>
      <c r="K49" s="80">
        <v>2817.23</v>
      </c>
      <c r="L49" s="186">
        <f t="shared" si="18"/>
        <v>1.0999999999512511E-3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62</v>
      </c>
      <c r="B50" s="171">
        <f>P98+Q98</f>
        <v>599.1</v>
      </c>
      <c r="C50" s="116">
        <v>7.4999999999999997E-3</v>
      </c>
      <c r="D50" s="117">
        <f t="shared" si="19"/>
        <v>4.4932499999999997</v>
      </c>
      <c r="E50" s="172">
        <v>0</v>
      </c>
      <c r="F50" s="117">
        <f t="shared" si="16"/>
        <v>0</v>
      </c>
      <c r="G50" s="117">
        <f t="shared" si="17"/>
        <v>594.60675000000003</v>
      </c>
      <c r="H50" s="173">
        <f t="shared" si="20"/>
        <v>44749</v>
      </c>
      <c r="I50" s="175"/>
      <c r="J50" s="81">
        <f t="shared" si="8"/>
        <v>599.1</v>
      </c>
      <c r="K50" s="80">
        <v>594.61</v>
      </c>
      <c r="L50" s="186">
        <f t="shared" si="18"/>
        <v>-3.2499999999799911E-3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68</v>
      </c>
      <c r="B51" s="117">
        <f>U98+V98</f>
        <v>542.93999999999994</v>
      </c>
      <c r="C51" s="116">
        <v>1.4999999999999999E-2</v>
      </c>
      <c r="D51" s="117">
        <f>+B51*C51</f>
        <v>8.1440999999999981</v>
      </c>
      <c r="E51" s="172">
        <v>0</v>
      </c>
      <c r="F51" s="117">
        <f>D51*E51</f>
        <v>0</v>
      </c>
      <c r="G51" s="117">
        <f t="shared" si="17"/>
        <v>534.79589999999996</v>
      </c>
      <c r="H51" s="173">
        <f t="shared" si="20"/>
        <v>44749</v>
      </c>
      <c r="I51" s="175"/>
      <c r="J51" s="81">
        <f t="shared" si="8"/>
        <v>542.93999999999994</v>
      </c>
      <c r="K51" s="80">
        <v>534.79999999999995</v>
      </c>
      <c r="L51" s="186">
        <f t="shared" si="18"/>
        <v>-4.0999999999939973E-3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119</v>
      </c>
      <c r="B52" s="117">
        <f>T42</f>
        <v>13.01</v>
      </c>
      <c r="C52" s="116">
        <v>2.5000000000000001E-2</v>
      </c>
      <c r="D52" s="117">
        <f>B52*C52</f>
        <v>0.32525000000000004</v>
      </c>
      <c r="E52" s="172">
        <v>0.05</v>
      </c>
      <c r="F52" s="117">
        <f>(B52/E$10)*E52</f>
        <v>0.56077586206896557</v>
      </c>
      <c r="G52" s="117">
        <f>B52-D52-F52</f>
        <v>12.123974137931034</v>
      </c>
      <c r="H52" s="188">
        <f t="shared" si="20"/>
        <v>44749</v>
      </c>
      <c r="I52" s="176"/>
      <c r="J52" s="81">
        <f t="shared" si="8"/>
        <v>13.01</v>
      </c>
      <c r="K52" s="80">
        <v>12.12</v>
      </c>
      <c r="L52" s="186">
        <f t="shared" si="18"/>
        <v>3.97413793103496E-3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44749</v>
      </c>
      <c r="I53" s="176"/>
      <c r="J53" s="81">
        <f t="shared" si="8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44749</v>
      </c>
      <c r="I54" s="176"/>
      <c r="J54" s="81">
        <f t="shared" si="8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44749</v>
      </c>
      <c r="I55" s="176"/>
      <c r="J55" s="81">
        <f t="shared" si="8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44749</v>
      </c>
      <c r="I56" s="176"/>
      <c r="J56" s="81">
        <f t="shared" si="8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44751</v>
      </c>
      <c r="I57" s="175"/>
      <c r="J57" s="81">
        <f t="shared" si="8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44753</v>
      </c>
      <c r="I58" s="175"/>
      <c r="J58" s="81">
        <f t="shared" si="8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44778</v>
      </c>
      <c r="I60" s="175"/>
      <c r="J60" s="81">
        <f t="shared" si="8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57.989374999999995</v>
      </c>
      <c r="E61" s="177"/>
      <c r="F61" s="57">
        <f>SUM(F46:F58)</f>
        <v>0.56077586206896557</v>
      </c>
      <c r="G61" s="57">
        <f>SUM(G46:G58)</f>
        <v>7100.0698491379317</v>
      </c>
      <c r="H61" s="173">
        <f t="shared" si="20"/>
        <v>44749</v>
      </c>
      <c r="I61" s="175"/>
      <c r="J61" s="81">
        <f t="shared" si="8"/>
        <v>0</v>
      </c>
      <c r="K61" s="80"/>
      <c r="L61" s="186">
        <f t="shared" si="18"/>
        <v>7100.0698491379317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44749</v>
      </c>
      <c r="I62" s="176"/>
      <c r="J62" s="81">
        <f t="shared" si="8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14200.139698275863</v>
      </c>
      <c r="H64" s="184"/>
      <c r="I64" s="175"/>
      <c r="J64" s="81">
        <f t="shared" si="8"/>
        <v>0</v>
      </c>
      <c r="K64" s="80"/>
      <c r="L64" s="186">
        <f t="shared" si="18"/>
        <v>14200.139698275863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14130.282800000001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19</v>
      </c>
      <c r="B68" s="77">
        <v>14102.07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14101.02</v>
      </c>
      <c r="C69" s="59"/>
      <c r="F69" s="87" t="s">
        <v>129</v>
      </c>
      <c r="G69" s="22"/>
      <c r="H69" s="89"/>
      <c r="I69" s="136"/>
      <c r="J69" s="136"/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1.0499999999992724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886</v>
      </c>
      <c r="Q70" s="228">
        <v>2002</v>
      </c>
      <c r="R70" s="256">
        <v>2235.9299999999998</v>
      </c>
      <c r="S70" s="228"/>
      <c r="T70" s="87"/>
      <c r="U70" s="189">
        <f t="shared" ref="U70:U74" si="35">((T70/U$10)*U$9)</f>
        <v>0</v>
      </c>
      <c r="V70" s="189">
        <f t="shared" ref="V70:V74" si="36">R70*V$10</f>
        <v>16.769475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2219.1605249999998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29.262800000000425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8"/>
      <c r="S71" s="228"/>
      <c r="T71" s="87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8"/>
      <c r="S72" s="228"/>
      <c r="T72" s="87"/>
      <c r="U72" s="189">
        <f t="shared" si="35"/>
        <v>0</v>
      </c>
      <c r="V72" s="189">
        <f t="shared" si="36"/>
        <v>0</v>
      </c>
      <c r="W72" s="189">
        <f t="shared" si="37"/>
        <v>0</v>
      </c>
      <c r="X72" s="189">
        <f t="shared" si="38"/>
        <v>0</v>
      </c>
      <c r="Y72" s="189">
        <f t="shared" si="39"/>
        <v>0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802</v>
      </c>
      <c r="Q73" s="228">
        <v>2002</v>
      </c>
      <c r="R73" s="256">
        <v>602.59</v>
      </c>
      <c r="S73" s="228"/>
      <c r="T73" s="87"/>
      <c r="U73" s="189">
        <f t="shared" si="35"/>
        <v>0</v>
      </c>
      <c r="V73" s="189">
        <f t="shared" si="36"/>
        <v>4.519425</v>
      </c>
      <c r="W73" s="189">
        <f t="shared" si="37"/>
        <v>0</v>
      </c>
      <c r="X73" s="189">
        <f t="shared" si="38"/>
        <v>0</v>
      </c>
      <c r="Y73" s="189">
        <f t="shared" si="39"/>
        <v>598.07057500000008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 t="s">
        <v>185</v>
      </c>
      <c r="P74" s="228"/>
      <c r="Q74" s="228"/>
      <c r="R74" s="228"/>
      <c r="S74" s="228"/>
      <c r="T74" s="87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2838.52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21.288899999999998</v>
      </c>
      <c r="W75" s="192">
        <f t="shared" si="42"/>
        <v>0</v>
      </c>
      <c r="X75" s="192">
        <f t="shared" si="42"/>
        <v>0</v>
      </c>
      <c r="Y75" s="192">
        <f t="shared" si="42"/>
        <v>2817.2311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102.48</v>
      </c>
      <c r="Q78" s="137"/>
      <c r="R78" s="82">
        <v>7.4999999999999997E-3</v>
      </c>
      <c r="S78" s="194">
        <f>+(P78+Q78)*R78</f>
        <v>0.76859999999999995</v>
      </c>
      <c r="T78" s="242">
        <f>+(P78+Q78)-S78</f>
        <v>101.7114</v>
      </c>
      <c r="U78" s="211">
        <v>145.36000000000001</v>
      </c>
      <c r="V78" s="112"/>
      <c r="W78" s="113">
        <v>1.4999999999999999E-2</v>
      </c>
      <c r="X78" s="196">
        <f>+(U78+V78)*W78</f>
        <v>2.1804000000000001</v>
      </c>
      <c r="Y78" s="242">
        <f>+(U78+V78)-X78</f>
        <v>143.17960000000002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244.49</v>
      </c>
      <c r="Q79" s="137">
        <v>135.97999999999999</v>
      </c>
      <c r="R79" s="82">
        <v>7.4999999999999997E-3</v>
      </c>
      <c r="S79" s="194">
        <f t="shared" ref="S79:S97" si="44">+(P79+Q79)*R79</f>
        <v>2.8535250000000003</v>
      </c>
      <c r="T79" s="242">
        <f t="shared" ref="T79:T97" si="45">+(P79+Q79)-S79</f>
        <v>377.61647500000004</v>
      </c>
      <c r="U79" s="211">
        <v>181.03</v>
      </c>
      <c r="V79" s="112"/>
      <c r="W79" s="113">
        <v>1.4999999999999999E-2</v>
      </c>
      <c r="X79" s="196">
        <f t="shared" ref="X79:X97" si="46">+(U79+V79)*W79</f>
        <v>2.7154499999999997</v>
      </c>
      <c r="Y79" s="242">
        <f t="shared" ref="Y79:Y97" si="47">+(U79+V79)-X79</f>
        <v>178.31455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43.37</v>
      </c>
      <c r="Q80" s="137"/>
      <c r="R80" s="82">
        <v>7.4999999999999997E-3</v>
      </c>
      <c r="S80" s="194">
        <f t="shared" si="44"/>
        <v>0.32527499999999998</v>
      </c>
      <c r="T80" s="213">
        <f t="shared" si="45"/>
        <v>43.044725</v>
      </c>
      <c r="U80" s="211">
        <v>62.57</v>
      </c>
      <c r="V80" s="112"/>
      <c r="W80" s="113">
        <v>1.4999999999999999E-2</v>
      </c>
      <c r="X80" s="196">
        <f t="shared" si="46"/>
        <v>0.93855</v>
      </c>
      <c r="Y80" s="213">
        <f t="shared" si="47"/>
        <v>61.631450000000001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65.89</v>
      </c>
      <c r="Q81" s="137">
        <v>6.89</v>
      </c>
      <c r="R81" s="82">
        <v>7.4999999999999997E-3</v>
      </c>
      <c r="S81" s="194">
        <f t="shared" si="44"/>
        <v>0.54584999999999995</v>
      </c>
      <c r="T81" s="242">
        <f t="shared" si="45"/>
        <v>72.23415</v>
      </c>
      <c r="U81" s="211">
        <v>153.97999999999999</v>
      </c>
      <c r="V81" s="112"/>
      <c r="W81" s="113">
        <v>1.4999999999999999E-2</v>
      </c>
      <c r="X81" s="196">
        <f t="shared" si="46"/>
        <v>2.3096999999999999</v>
      </c>
      <c r="Y81" s="242">
        <f t="shared" si="47"/>
        <v>151.6703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4"/>
        <v>0</v>
      </c>
      <c r="T83" s="219">
        <f t="shared" si="45"/>
        <v>0</v>
      </c>
      <c r="U83" s="112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4"/>
        <v>0</v>
      </c>
      <c r="T84" s="220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456.23</v>
      </c>
      <c r="Q98" s="195">
        <f>SUM(Q78:Q97)</f>
        <v>142.86999999999998</v>
      </c>
      <c r="R98" s="111"/>
      <c r="S98" s="195">
        <f>SUM(S78:S97)</f>
        <v>4.4932500000000006</v>
      </c>
      <c r="T98" s="195">
        <f>SUM(T78:T97)</f>
        <v>594.60675000000003</v>
      </c>
      <c r="U98" s="114">
        <f>SUM(U78:U97)</f>
        <v>542.93999999999994</v>
      </c>
      <c r="V98" s="114">
        <f>SUM(V78:V97)</f>
        <v>0</v>
      </c>
      <c r="W98" s="112"/>
      <c r="X98" s="197">
        <f>SUM(X78:X97)</f>
        <v>8.1440999999999999</v>
      </c>
      <c r="Y98" s="197">
        <f>SUM(Y78:Y97)</f>
        <v>534.79589999999996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215">
        <f t="shared" ref="Q103:Q106" si="51">P78+Q78+U78</f>
        <v>247.84000000000003</v>
      </c>
    </row>
    <row r="104" spans="14:30" x14ac:dyDescent="0.25">
      <c r="N104" s="85"/>
      <c r="Q104" s="215">
        <f t="shared" si="51"/>
        <v>561.5</v>
      </c>
    </row>
    <row r="105" spans="14:30" x14ac:dyDescent="0.25">
      <c r="N105" s="85"/>
      <c r="Q105" s="235">
        <f t="shared" si="51"/>
        <v>105.94</v>
      </c>
    </row>
    <row r="106" spans="14:30" x14ac:dyDescent="0.25">
      <c r="N106" s="85"/>
      <c r="Q106" s="235">
        <f t="shared" si="51"/>
        <v>226.76</v>
      </c>
    </row>
    <row r="107" spans="14:30" x14ac:dyDescent="0.25">
      <c r="N107" s="85"/>
      <c r="Q107" s="235">
        <f>P82+Q82+U82</f>
        <v>0</v>
      </c>
    </row>
    <row r="108" spans="14:30" x14ac:dyDescent="0.25">
      <c r="N108" s="85"/>
      <c r="Q108" s="84">
        <f>P83+Q83+U83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X16" zoomScale="90" zoomScaleNormal="90" workbookViewId="0">
      <selection activeCell="Z49" sqref="Z4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190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44749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1759.5</v>
      </c>
      <c r="C12" s="15"/>
      <c r="D12" s="56"/>
      <c r="E12" s="16"/>
      <c r="F12" s="56"/>
      <c r="G12" s="56"/>
      <c r="H12" s="17"/>
      <c r="I12" s="83">
        <v>1759.5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>
        <v>191</v>
      </c>
      <c r="Q12" s="153">
        <v>6</v>
      </c>
      <c r="R12" s="154">
        <v>1288.32</v>
      </c>
      <c r="S12" s="155"/>
      <c r="T12" s="155"/>
      <c r="U12" s="189">
        <f>((T12/U$10)*U$9)</f>
        <v>0</v>
      </c>
      <c r="V12" s="189">
        <f>R12*V$10</f>
        <v>9.6623999999999999</v>
      </c>
      <c r="W12" s="189">
        <f>+S12*V$10</f>
        <v>0</v>
      </c>
      <c r="X12" s="189">
        <f>+T12*X$10</f>
        <v>0</v>
      </c>
      <c r="Y12" s="189">
        <f>R12-V12</f>
        <v>1278.6576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855</v>
      </c>
      <c r="C13" s="15"/>
      <c r="D13" s="56"/>
      <c r="E13" s="16"/>
      <c r="F13" s="56"/>
      <c r="G13" s="56"/>
      <c r="H13" s="17"/>
      <c r="I13" s="83">
        <v>855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3">
        <v>192</v>
      </c>
      <c r="Q13" s="153">
        <v>6</v>
      </c>
      <c r="R13" s="154">
        <v>1616.4</v>
      </c>
      <c r="S13" s="155"/>
      <c r="T13" s="157">
        <v>76.11</v>
      </c>
      <c r="U13" s="189">
        <f t="shared" ref="U13:U41" si="2">((T13/U$10)*U$9)</f>
        <v>3.2806034482758619</v>
      </c>
      <c r="V13" s="189">
        <f t="shared" ref="V13:V41" si="3">R13*V$10</f>
        <v>12.123000000000001</v>
      </c>
      <c r="W13" s="189">
        <f t="shared" ref="W13:W41" si="4">+S13*V$10</f>
        <v>0</v>
      </c>
      <c r="X13" s="189">
        <f t="shared" ref="X13:X41" si="5">+T13*X$10</f>
        <v>1.9027500000000002</v>
      </c>
      <c r="Y13" s="189">
        <f t="shared" ref="Y13:Z41" si="6">R13-V13</f>
        <v>1604.277</v>
      </c>
      <c r="Z13" s="189">
        <f t="shared" si="6"/>
        <v>0</v>
      </c>
      <c r="AA13" s="189">
        <f t="shared" ref="AA13:AA41" si="7">T13-U13-X13</f>
        <v>70.926646551724133</v>
      </c>
      <c r="AB13" s="156"/>
    </row>
    <row r="14" spans="1:28" ht="15.75" x14ac:dyDescent="0.25">
      <c r="A14" s="86" t="s">
        <v>83</v>
      </c>
      <c r="B14" s="57">
        <f>B13*B8</f>
        <v>4753.7999999999993</v>
      </c>
      <c r="C14" s="15"/>
      <c r="D14" s="56"/>
      <c r="E14" s="16"/>
      <c r="F14" s="56"/>
      <c r="G14" s="56"/>
      <c r="H14" s="17"/>
      <c r="I14" s="83"/>
      <c r="J14" s="81">
        <f t="shared" si="0"/>
        <v>4753.7999999999993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855</v>
      </c>
      <c r="C19" s="95"/>
      <c r="D19" s="94"/>
      <c r="E19" s="96"/>
      <c r="F19" s="94"/>
      <c r="G19" s="94"/>
      <c r="H19" s="98"/>
      <c r="I19" s="99">
        <v>855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4753.7999999999993</v>
      </c>
      <c r="C20" s="95"/>
      <c r="D20" s="94"/>
      <c r="E20" s="96"/>
      <c r="F20" s="94"/>
      <c r="G20" s="94"/>
      <c r="H20" s="98"/>
      <c r="I20" s="99">
        <v>4762.3500000000004</v>
      </c>
      <c r="J20" s="185">
        <f t="shared" si="0"/>
        <v>-8.5500000000010914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2904.7200000000003</v>
      </c>
      <c r="S42" s="190">
        <f t="shared" si="8"/>
        <v>0</v>
      </c>
      <c r="T42" s="190">
        <f t="shared" si="8"/>
        <v>76.11</v>
      </c>
      <c r="U42" s="190">
        <f t="shared" si="8"/>
        <v>3.2806034482758619</v>
      </c>
      <c r="V42" s="190">
        <f t="shared" si="8"/>
        <v>21.785400000000003</v>
      </c>
      <c r="W42" s="190">
        <f t="shared" si="8"/>
        <v>0</v>
      </c>
      <c r="X42" s="190">
        <f t="shared" si="8"/>
        <v>1.9027500000000002</v>
      </c>
      <c r="Y42" s="190">
        <f t="shared" si="8"/>
        <v>2882.9346</v>
      </c>
      <c r="Z42" s="190">
        <f t="shared" si="8"/>
        <v>0</v>
      </c>
      <c r="AA42" s="190">
        <f t="shared" si="8"/>
        <v>70.926646551724133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2904.7200000000003</v>
      </c>
      <c r="C46" s="116">
        <v>7.4999999999999997E-3</v>
      </c>
      <c r="D46" s="117">
        <f>B46*C46</f>
        <v>21.785400000000003</v>
      </c>
      <c r="E46" s="172">
        <v>0</v>
      </c>
      <c r="F46" s="117">
        <f t="shared" ref="F46:F50" si="15">D46*E46</f>
        <v>0</v>
      </c>
      <c r="G46" s="117">
        <f t="shared" ref="G46:G51" si="16">B46-D46-F46</f>
        <v>2882.9346</v>
      </c>
      <c r="H46" s="173">
        <f>B$6+1</f>
        <v>44750</v>
      </c>
      <c r="I46" s="174"/>
      <c r="J46" s="81">
        <f t="shared" si="0"/>
        <v>2904.7200000000003</v>
      </c>
      <c r="K46" s="80">
        <v>2882.93</v>
      </c>
      <c r="L46" s="186">
        <f>K46-G46</f>
        <v>-4.6000000002095476E-3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3167.67</v>
      </c>
      <c r="C49" s="116">
        <v>7.4999999999999997E-3</v>
      </c>
      <c r="D49" s="117">
        <f t="shared" si="17"/>
        <v>23.757525000000001</v>
      </c>
      <c r="E49" s="172">
        <v>0</v>
      </c>
      <c r="F49" s="117">
        <f t="shared" si="15"/>
        <v>0</v>
      </c>
      <c r="G49" s="117">
        <f t="shared" si="16"/>
        <v>3143.9124750000001</v>
      </c>
      <c r="H49" s="173">
        <f t="shared" si="19"/>
        <v>44750</v>
      </c>
      <c r="I49" s="176"/>
      <c r="J49" s="81">
        <f t="shared" si="0"/>
        <v>3167.67</v>
      </c>
      <c r="K49" s="80">
        <f>1636.81+1507.1</f>
        <v>3143.91</v>
      </c>
      <c r="L49" s="186">
        <f t="shared" si="18"/>
        <v>2.4750000002313755E-3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953.88999999999987</v>
      </c>
      <c r="C50" s="116">
        <v>7.4999999999999997E-3</v>
      </c>
      <c r="D50" s="117">
        <f t="shared" si="17"/>
        <v>7.1541749999999986</v>
      </c>
      <c r="E50" s="172">
        <v>0</v>
      </c>
      <c r="F50" s="117">
        <f t="shared" si="15"/>
        <v>0</v>
      </c>
      <c r="G50" s="117">
        <f t="shared" si="16"/>
        <v>946.73582499999986</v>
      </c>
      <c r="H50" s="173">
        <f t="shared" si="19"/>
        <v>44750</v>
      </c>
      <c r="I50" s="175"/>
      <c r="J50" s="81">
        <f t="shared" si="0"/>
        <v>953.88999999999987</v>
      </c>
      <c r="K50" s="80">
        <v>946.74</v>
      </c>
      <c r="L50" s="186">
        <f t="shared" si="18"/>
        <v>-4.1750000001457011E-3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1030.8499999999999</v>
      </c>
      <c r="C51" s="116">
        <v>1.4999999999999999E-2</v>
      </c>
      <c r="D51" s="117">
        <f>+B51*C51</f>
        <v>15.462749999999998</v>
      </c>
      <c r="E51" s="172">
        <v>0</v>
      </c>
      <c r="F51" s="117">
        <f>D51*E51</f>
        <v>0</v>
      </c>
      <c r="G51" s="117">
        <f t="shared" si="16"/>
        <v>1015.3872499999999</v>
      </c>
      <c r="H51" s="173">
        <f t="shared" si="19"/>
        <v>44750</v>
      </c>
      <c r="I51" s="175"/>
      <c r="J51" s="81">
        <f t="shared" si="0"/>
        <v>1030.8499999999999</v>
      </c>
      <c r="K51" s="80">
        <v>1015.39</v>
      </c>
      <c r="L51" s="186">
        <f t="shared" si="18"/>
        <v>-2.7500000001055014E-3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76.11</v>
      </c>
      <c r="C52" s="116">
        <v>2.5000000000000001E-2</v>
      </c>
      <c r="D52" s="117">
        <f>B52*C52</f>
        <v>1.9027500000000002</v>
      </c>
      <c r="E52" s="172">
        <v>0.05</v>
      </c>
      <c r="F52" s="117">
        <f>(B52/E$10)*E52</f>
        <v>3.2806034482758619</v>
      </c>
      <c r="G52" s="117">
        <f>B52-D52-F52</f>
        <v>70.926646551724133</v>
      </c>
      <c r="H52" s="188">
        <f t="shared" si="19"/>
        <v>44750</v>
      </c>
      <c r="I52" s="176">
        <v>76.11</v>
      </c>
      <c r="J52" s="81">
        <f t="shared" si="0"/>
        <v>0</v>
      </c>
      <c r="K52" s="80">
        <v>70.930000000000007</v>
      </c>
      <c r="L52" s="186">
        <f>K52-G52</f>
        <v>3.3534482758739159E-3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120.75</v>
      </c>
      <c r="C56" s="116">
        <v>2.5000000000000001E-2</v>
      </c>
      <c r="D56" s="117">
        <f t="shared" si="20"/>
        <v>3.0187500000000003</v>
      </c>
      <c r="E56" s="172">
        <v>0.05</v>
      </c>
      <c r="F56" s="117">
        <f t="shared" si="21"/>
        <v>5.2047413793103452</v>
      </c>
      <c r="G56" s="117">
        <f t="shared" si="22"/>
        <v>112.52650862068965</v>
      </c>
      <c r="H56" s="173">
        <f t="shared" si="19"/>
        <v>44750</v>
      </c>
      <c r="I56" s="176">
        <v>120.75</v>
      </c>
      <c r="J56" s="81">
        <f t="shared" si="0"/>
        <v>0</v>
      </c>
      <c r="K56" s="80"/>
      <c r="L56" s="186">
        <f t="shared" si="18"/>
        <v>112.52650862068965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73.08135</v>
      </c>
      <c r="E61" s="177"/>
      <c r="F61" s="57">
        <f>SUM(F46:F58)</f>
        <v>8.4853448275862071</v>
      </c>
      <c r="G61" s="57">
        <f>SUM(G46:G58)</f>
        <v>8172.4233051724132</v>
      </c>
      <c r="H61" s="173">
        <f t="shared" si="19"/>
        <v>44750</v>
      </c>
      <c r="I61" s="175"/>
      <c r="J61" s="81">
        <f t="shared" si="0"/>
        <v>0</v>
      </c>
      <c r="K61" s="80"/>
      <c r="L61" s="186">
        <f t="shared" si="18"/>
        <v>8172.4233051724132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16344.846610344826</v>
      </c>
      <c r="H64" s="184"/>
      <c r="I64" s="175"/>
      <c r="J64" s="81">
        <f t="shared" si="0"/>
        <v>0</v>
      </c>
      <c r="K64" s="80"/>
      <c r="L64" s="186">
        <f t="shared" si="18"/>
        <v>16344.846610344826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14767.29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14623.79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14751.89</v>
      </c>
      <c r="C69" s="59"/>
      <c r="F69" s="87" t="s">
        <v>129</v>
      </c>
      <c r="G69" s="22"/>
      <c r="H69" s="89"/>
      <c r="I69" s="136"/>
      <c r="J69" s="136">
        <f>K52</f>
        <v>70.930000000000007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-128.09999999999854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887</v>
      </c>
      <c r="Q70" s="228">
        <v>2002</v>
      </c>
      <c r="R70" s="255">
        <v>1676.81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12.576074999999999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1664.233925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15.400000000001455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70.930000000000007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208</v>
      </c>
      <c r="P73" s="228">
        <v>803</v>
      </c>
      <c r="Q73" s="228">
        <v>2002</v>
      </c>
      <c r="R73" s="255">
        <v>785.2</v>
      </c>
      <c r="S73" s="228"/>
      <c r="T73" s="228">
        <v>21.85</v>
      </c>
      <c r="U73" s="189">
        <f t="shared" si="34"/>
        <v>0.9418103448275863</v>
      </c>
      <c r="V73" s="189">
        <f t="shared" si="35"/>
        <v>5.8890000000000002</v>
      </c>
      <c r="W73" s="189">
        <f t="shared" si="36"/>
        <v>0</v>
      </c>
      <c r="X73" s="189">
        <f t="shared" si="37"/>
        <v>0.54625000000000001</v>
      </c>
      <c r="Y73" s="189">
        <f t="shared" si="38"/>
        <v>779.31100000000004</v>
      </c>
      <c r="Z73" s="189">
        <f t="shared" si="38"/>
        <v>0</v>
      </c>
      <c r="AA73" s="189">
        <f t="shared" si="39"/>
        <v>20.361939655172414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208</v>
      </c>
      <c r="P74" s="228">
        <v>804</v>
      </c>
      <c r="Q74" s="228">
        <v>2002</v>
      </c>
      <c r="R74" s="255">
        <v>705.66</v>
      </c>
      <c r="S74" s="228"/>
      <c r="T74" s="228">
        <v>98.9</v>
      </c>
      <c r="U74" s="189">
        <f t="shared" si="34"/>
        <v>4.2629310344827598</v>
      </c>
      <c r="V74" s="189">
        <f t="shared" si="35"/>
        <v>5.2924499999999997</v>
      </c>
      <c r="W74" s="189">
        <f t="shared" si="36"/>
        <v>0</v>
      </c>
      <c r="X74" s="189">
        <f t="shared" si="37"/>
        <v>2.4725000000000001</v>
      </c>
      <c r="Y74" s="189">
        <f t="shared" si="38"/>
        <v>700.36754999999994</v>
      </c>
      <c r="Z74" s="189">
        <f t="shared" si="38"/>
        <v>0</v>
      </c>
      <c r="AA74" s="189">
        <f t="shared" si="39"/>
        <v>92.164568965517248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3167.67</v>
      </c>
      <c r="S75" s="192"/>
      <c r="T75" s="192">
        <f>SUM(T70:T74)</f>
        <v>120.75</v>
      </c>
      <c r="U75" s="192">
        <f>SUM(U70:U74)</f>
        <v>5.2047413793103461</v>
      </c>
      <c r="V75" s="192">
        <f t="shared" ref="V75:AA75" si="41">SUM(V70:V74)</f>
        <v>23.757524999999998</v>
      </c>
      <c r="W75" s="192">
        <f t="shared" si="41"/>
        <v>0</v>
      </c>
      <c r="X75" s="192">
        <f t="shared" si="41"/>
        <v>3.0187500000000003</v>
      </c>
      <c r="Y75" s="192">
        <f t="shared" si="41"/>
        <v>3143.9124750000001</v>
      </c>
      <c r="Z75" s="192">
        <f t="shared" si="41"/>
        <v>0</v>
      </c>
      <c r="AA75" s="193">
        <f t="shared" si="41"/>
        <v>112.52650862068967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209</v>
      </c>
      <c r="P78" s="137">
        <v>175.17</v>
      </c>
      <c r="Q78" s="137">
        <v>9.73</v>
      </c>
      <c r="R78" s="82">
        <v>7.4999999999999997E-3</v>
      </c>
      <c r="S78" s="216">
        <f>+(P78+Q78)*R78</f>
        <v>1.3867499999999997</v>
      </c>
      <c r="T78" s="242">
        <f>+(P78+Q78)-S78</f>
        <v>183.51324999999997</v>
      </c>
      <c r="U78" s="211">
        <v>197.21</v>
      </c>
      <c r="V78" s="112"/>
      <c r="W78" s="113">
        <v>1.4999999999999999E-2</v>
      </c>
      <c r="X78" s="196">
        <f>+(U78+V78)*W78</f>
        <v>2.9581499999999998</v>
      </c>
      <c r="Y78" s="242">
        <f>+(U78+V78)-X78</f>
        <v>194.25185000000002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209</v>
      </c>
      <c r="P79" s="137">
        <v>26.32</v>
      </c>
      <c r="Q79" s="87">
        <v>202.85</v>
      </c>
      <c r="R79" s="82">
        <v>7.4999999999999997E-3</v>
      </c>
      <c r="S79" s="216">
        <f t="shared" ref="S79:S97" si="43">+(P79+Q79)*R79</f>
        <v>1.7187749999999999</v>
      </c>
      <c r="T79" s="242">
        <f t="shared" ref="T79:T97" si="44">+(P79+Q79)-S79</f>
        <v>227.45122499999999</v>
      </c>
      <c r="U79" s="211">
        <v>222.54</v>
      </c>
      <c r="V79" s="112"/>
      <c r="W79" s="113">
        <v>1.4999999999999999E-2</v>
      </c>
      <c r="X79" s="196">
        <f t="shared" ref="X79:X97" si="45">+(U79+V79)*W79</f>
        <v>3.3380999999999998</v>
      </c>
      <c r="Y79" s="242">
        <f t="shared" ref="Y79:Y97" si="46">+(U79+V79)-X79</f>
        <v>219.20189999999999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209</v>
      </c>
      <c r="P80" s="137">
        <v>155.08000000000001</v>
      </c>
      <c r="Q80" s="137">
        <v>40.58</v>
      </c>
      <c r="R80" s="82">
        <v>7.4999999999999997E-3</v>
      </c>
      <c r="S80" s="216">
        <f t="shared" si="43"/>
        <v>1.4674500000000001</v>
      </c>
      <c r="T80" s="213">
        <f t="shared" si="44"/>
        <v>194.19255000000001</v>
      </c>
      <c r="U80" s="211">
        <v>443.65</v>
      </c>
      <c r="V80" s="112"/>
      <c r="W80" s="113">
        <v>1.4999999999999999E-2</v>
      </c>
      <c r="X80" s="196">
        <f t="shared" si="45"/>
        <v>6.6547499999999991</v>
      </c>
      <c r="Y80" s="251">
        <f t="shared" si="46"/>
        <v>436.99525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209</v>
      </c>
      <c r="P81" s="137">
        <v>56.12</v>
      </c>
      <c r="Q81" s="137">
        <v>71.53</v>
      </c>
      <c r="R81" s="82">
        <v>7.4999999999999997E-3</v>
      </c>
      <c r="S81" s="216">
        <f t="shared" si="43"/>
        <v>0.95737499999999998</v>
      </c>
      <c r="T81" s="213">
        <f t="shared" si="44"/>
        <v>126.69262500000001</v>
      </c>
      <c r="U81" s="211">
        <v>34.35</v>
      </c>
      <c r="V81" s="112"/>
      <c r="W81" s="113">
        <v>1.4999999999999999E-2</v>
      </c>
      <c r="X81" s="196">
        <f t="shared" si="45"/>
        <v>0.51524999999999999</v>
      </c>
      <c r="Y81" s="251">
        <f t="shared" si="46"/>
        <v>33.83475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209</v>
      </c>
      <c r="P82" s="137">
        <v>46.1</v>
      </c>
      <c r="Q82" s="137">
        <v>170.41</v>
      </c>
      <c r="R82" s="82">
        <v>7.4999999999999997E-3</v>
      </c>
      <c r="S82" s="216">
        <f t="shared" si="43"/>
        <v>1.6238249999999999</v>
      </c>
      <c r="T82" s="242">
        <f t="shared" si="44"/>
        <v>214.88617499999998</v>
      </c>
      <c r="U82" s="211">
        <v>133.1</v>
      </c>
      <c r="V82" s="112"/>
      <c r="W82" s="113">
        <v>1.4999999999999999E-2</v>
      </c>
      <c r="X82" s="196">
        <f t="shared" si="45"/>
        <v>1.9964999999999999</v>
      </c>
      <c r="Y82" s="242">
        <f t="shared" si="46"/>
        <v>131.1035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209</v>
      </c>
      <c r="P83" s="137"/>
      <c r="Q83" s="8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209</v>
      </c>
      <c r="P84" s="87"/>
      <c r="Q84" s="87"/>
      <c r="R84" s="82">
        <v>7.4999999999999997E-3</v>
      </c>
      <c r="S84" s="216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209</v>
      </c>
      <c r="P85" s="87"/>
      <c r="Q85" s="87"/>
      <c r="R85" s="82">
        <v>7.4999999999999997E-3</v>
      </c>
      <c r="S85" s="216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209</v>
      </c>
      <c r="P86" s="87"/>
      <c r="Q86" s="87"/>
      <c r="R86" s="82">
        <v>7.4999999999999997E-3</v>
      </c>
      <c r="S86" s="216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209</v>
      </c>
      <c r="P87" s="87"/>
      <c r="Q87" s="87"/>
      <c r="R87" s="82">
        <v>7.4999999999999997E-3</v>
      </c>
      <c r="S87" s="216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209</v>
      </c>
      <c r="P88" s="87"/>
      <c r="Q88" s="87"/>
      <c r="R88" s="82">
        <v>7.4999999999999997E-3</v>
      </c>
      <c r="S88" s="216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209</v>
      </c>
      <c r="P89" s="87"/>
      <c r="Q89" s="87"/>
      <c r="R89" s="82">
        <v>7.4999999999999997E-3</v>
      </c>
      <c r="S89" s="216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458.79</v>
      </c>
      <c r="Q98" s="195">
        <f>SUM(Q78:Q97)</f>
        <v>495.09999999999991</v>
      </c>
      <c r="R98" s="111"/>
      <c r="S98" s="195">
        <f>SUM(S78:S97)</f>
        <v>7.1541749999999995</v>
      </c>
      <c r="T98" s="195">
        <f>SUM(T78:T97)</f>
        <v>946.73582499999998</v>
      </c>
      <c r="U98" s="114">
        <f>SUM(U78:U97)</f>
        <v>1030.8499999999999</v>
      </c>
      <c r="V98" s="114">
        <f>SUM(V78:V97)</f>
        <v>0</v>
      </c>
      <c r="W98" s="112"/>
      <c r="X98" s="197">
        <f>SUM(X78:X97)</f>
        <v>15.462749999999998</v>
      </c>
      <c r="Y98" s="197">
        <f>SUM(Y78:Y97)</f>
        <v>1015.38725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382.11</v>
      </c>
    </row>
    <row r="102" spans="14:30" x14ac:dyDescent="0.25">
      <c r="N102" s="85"/>
      <c r="Q102" s="215">
        <f>P79+U79+Q79</f>
        <v>451.71</v>
      </c>
    </row>
    <row r="103" spans="14:30" x14ac:dyDescent="0.25">
      <c r="N103" s="85"/>
      <c r="Q103" s="215">
        <f>P80+Q80+U80</f>
        <v>639.30999999999995</v>
      </c>
    </row>
    <row r="104" spans="14:30" x14ac:dyDescent="0.25">
      <c r="N104" s="85"/>
      <c r="Q104" s="215">
        <f>P81+Q81+U81</f>
        <v>162</v>
      </c>
    </row>
    <row r="105" spans="14:30" x14ac:dyDescent="0.25">
      <c r="N105" s="85"/>
      <c r="Q105" s="212">
        <f>P82+Q82+U82</f>
        <v>349.61</v>
      </c>
    </row>
    <row r="106" spans="14:30" x14ac:dyDescent="0.25">
      <c r="N106" s="85"/>
      <c r="Q106" s="212">
        <f>P83+U83+Q83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50" zoomScale="90" zoomScaleNormal="90" workbookViewId="0">
      <selection activeCell="Y70" sqref="Y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4.71093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187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44750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>
        <v>5.57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>
        <v>5.61</v>
      </c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1323</v>
      </c>
      <c r="C12" s="15"/>
      <c r="D12" s="56"/>
      <c r="E12" s="16"/>
      <c r="F12" s="56"/>
      <c r="G12" s="56"/>
      <c r="H12" s="17"/>
      <c r="I12" s="83">
        <v>1323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193</v>
      </c>
      <c r="Q12" s="158">
        <v>6</v>
      </c>
      <c r="R12" s="159">
        <v>1095.57</v>
      </c>
      <c r="S12" s="160"/>
      <c r="T12" s="160"/>
      <c r="U12" s="189">
        <f>((T12/U$10)*U$9)</f>
        <v>0</v>
      </c>
      <c r="V12" s="189">
        <f>R12*V$10</f>
        <v>8.2167749999999984</v>
      </c>
      <c r="W12" s="189">
        <f>+S12*V$10</f>
        <v>0</v>
      </c>
      <c r="X12" s="189">
        <f>+T12*X$10</f>
        <v>0</v>
      </c>
      <c r="Y12" s="189">
        <f>R12-V12</f>
        <v>1087.3532249999998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194</v>
      </c>
      <c r="Q13" s="158">
        <v>6</v>
      </c>
      <c r="R13" s="159">
        <v>1493.03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11.197725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1481.832275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44.48</v>
      </c>
      <c r="C14" s="15"/>
      <c r="D14" s="56"/>
      <c r="E14" s="16"/>
      <c r="F14" s="56"/>
      <c r="G14" s="56"/>
      <c r="H14" s="17"/>
      <c r="I14" s="83"/>
      <c r="J14" s="81">
        <f t="shared" si="0"/>
        <v>44.48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577</v>
      </c>
      <c r="C15" s="15"/>
      <c r="D15" s="56"/>
      <c r="E15" s="16"/>
      <c r="F15" s="56"/>
      <c r="G15" s="56"/>
      <c r="H15" s="17"/>
      <c r="I15" s="83"/>
      <c r="J15" s="81">
        <f t="shared" si="0"/>
        <v>577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979</v>
      </c>
      <c r="Q15" s="153">
        <v>6</v>
      </c>
      <c r="R15" s="154">
        <v>3177.14</v>
      </c>
      <c r="S15" s="155"/>
      <c r="T15" s="157"/>
      <c r="U15" s="189">
        <f t="shared" si="2"/>
        <v>0</v>
      </c>
      <c r="V15" s="189">
        <f t="shared" si="3"/>
        <v>23.82855</v>
      </c>
      <c r="W15" s="189">
        <f t="shared" si="4"/>
        <v>0</v>
      </c>
      <c r="X15" s="189">
        <f t="shared" si="5"/>
        <v>0</v>
      </c>
      <c r="Y15" s="189">
        <f t="shared" si="6"/>
        <v>3153.3114499999997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214" t="s">
        <v>83</v>
      </c>
      <c r="B16" s="57">
        <f>B15*B9</f>
        <v>3213.8900000000003</v>
      </c>
      <c r="C16" s="15"/>
      <c r="D16" s="56"/>
      <c r="E16" s="16"/>
      <c r="F16" s="56"/>
      <c r="G16" s="56"/>
      <c r="H16" s="17"/>
      <c r="I16" s="83"/>
      <c r="J16" s="81">
        <f t="shared" si="0"/>
        <v>3213.8900000000003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>
        <v>550</v>
      </c>
      <c r="C17" s="15"/>
      <c r="D17" s="56"/>
      <c r="E17" s="16"/>
      <c r="F17" s="56"/>
      <c r="G17" s="56"/>
      <c r="H17" s="17"/>
      <c r="I17" s="83"/>
      <c r="J17" s="81">
        <f t="shared" si="0"/>
        <v>550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3085.5</v>
      </c>
      <c r="C18" s="15"/>
      <c r="D18" s="56"/>
      <c r="E18" s="16"/>
      <c r="F18" s="56"/>
      <c r="G18" s="56"/>
      <c r="H18" s="17"/>
      <c r="I18" s="83"/>
      <c r="J18" s="81">
        <f t="shared" si="0"/>
        <v>3085.5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1135</v>
      </c>
      <c r="C19" s="95"/>
      <c r="D19" s="94"/>
      <c r="E19" s="96"/>
      <c r="F19" s="94"/>
      <c r="G19" s="94"/>
      <c r="H19" s="98"/>
      <c r="I19" s="99"/>
      <c r="J19" s="185">
        <f>B19-I19</f>
        <v>1135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6343.8700000000008</v>
      </c>
      <c r="C20" s="95"/>
      <c r="D20" s="94"/>
      <c r="E20" s="96"/>
      <c r="F20" s="94"/>
      <c r="G20" s="94"/>
      <c r="H20" s="98"/>
      <c r="I20" s="99">
        <v>6367.35</v>
      </c>
      <c r="J20" s="185">
        <f t="shared" si="0"/>
        <v>-23.479999999999563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K38-B38:B38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>
        <v>13.19</v>
      </c>
      <c r="C41" s="100"/>
      <c r="D41" s="66"/>
      <c r="E41" s="67"/>
      <c r="F41" s="66"/>
      <c r="G41" s="66"/>
      <c r="H41" s="102"/>
      <c r="I41" s="79">
        <v>13.19</v>
      </c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73.995900000000006</v>
      </c>
      <c r="C42" s="100"/>
      <c r="D42" s="66"/>
      <c r="E42" s="67"/>
      <c r="F42" s="66"/>
      <c r="G42" s="66"/>
      <c r="H42" s="102"/>
      <c r="I42" s="79">
        <v>74</v>
      </c>
      <c r="J42" s="81">
        <f t="shared" si="0"/>
        <v>-4.0999999999939973E-3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5765.74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43.243049999999997</v>
      </c>
      <c r="W42" s="190">
        <f t="shared" si="8"/>
        <v>0</v>
      </c>
      <c r="X42" s="190">
        <f t="shared" si="8"/>
        <v>0</v>
      </c>
      <c r="Y42" s="190">
        <f t="shared" si="8"/>
        <v>5722.4969499999988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13.19</v>
      </c>
      <c r="C43" s="95"/>
      <c r="D43" s="94"/>
      <c r="E43" s="96"/>
      <c r="F43" s="94"/>
      <c r="G43" s="94"/>
      <c r="H43" s="98"/>
      <c r="I43" s="99">
        <v>13.19</v>
      </c>
      <c r="J43" s="185">
        <f t="shared" si="0"/>
        <v>0</v>
      </c>
      <c r="K43" s="99"/>
      <c r="L43" s="187">
        <f>K43-B43</f>
        <v>-13.19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73.995900000000006</v>
      </c>
      <c r="C44" s="95"/>
      <c r="D44" s="94"/>
      <c r="E44" s="96"/>
      <c r="F44" s="94"/>
      <c r="G44" s="94"/>
      <c r="H44" s="98"/>
      <c r="I44" s="99">
        <v>74</v>
      </c>
      <c r="J44" s="185">
        <f t="shared" si="0"/>
        <v>-4.0999999999939973E-3</v>
      </c>
      <c r="K44" s="99"/>
      <c r="L44" s="187">
        <f>K44-B44</f>
        <v>-73.995900000000006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5765.74</v>
      </c>
      <c r="C46" s="116">
        <v>7.4999999999999997E-3</v>
      </c>
      <c r="D46" s="117">
        <f>B46*C46</f>
        <v>43.243049999999997</v>
      </c>
      <c r="E46" s="172">
        <v>0</v>
      </c>
      <c r="F46" s="117">
        <f t="shared" ref="F46:F50" si="15">D46*E46</f>
        <v>0</v>
      </c>
      <c r="G46" s="117">
        <f t="shared" ref="G46:G51" si="16">B46-D46-F46</f>
        <v>5722.4969499999997</v>
      </c>
      <c r="H46" s="173">
        <f>B$6+1</f>
        <v>44751</v>
      </c>
      <c r="I46" s="174"/>
      <c r="J46" s="81">
        <f t="shared" si="0"/>
        <v>5765.74</v>
      </c>
      <c r="K46" s="80">
        <v>5722.5</v>
      </c>
      <c r="L46" s="186">
        <f>K46-G46</f>
        <v>3.0500000002575689E-3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5474.4400000000005</v>
      </c>
      <c r="C49" s="116">
        <v>7.4999999999999997E-3</v>
      </c>
      <c r="D49" s="117">
        <f t="shared" si="17"/>
        <v>41.058300000000003</v>
      </c>
      <c r="E49" s="172">
        <v>0</v>
      </c>
      <c r="F49" s="117">
        <f t="shared" si="15"/>
        <v>0</v>
      </c>
      <c r="G49" s="117">
        <f t="shared" si="16"/>
        <v>5433.3817000000008</v>
      </c>
      <c r="H49" s="173">
        <f t="shared" si="19"/>
        <v>44751</v>
      </c>
      <c r="I49" s="176"/>
      <c r="J49" s="81">
        <f t="shared" si="0"/>
        <v>5474.4400000000005</v>
      </c>
      <c r="K49" s="80"/>
      <c r="L49" s="186">
        <f t="shared" si="18"/>
        <v>5433.3817000000008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750.59999999999991</v>
      </c>
      <c r="C50" s="116">
        <v>7.4999999999999997E-3</v>
      </c>
      <c r="D50" s="117">
        <f t="shared" si="17"/>
        <v>5.6294999999999993</v>
      </c>
      <c r="E50" s="172">
        <v>0</v>
      </c>
      <c r="F50" s="117">
        <f t="shared" si="15"/>
        <v>0</v>
      </c>
      <c r="G50" s="117">
        <f t="shared" si="16"/>
        <v>744.9704999999999</v>
      </c>
      <c r="H50" s="173">
        <f t="shared" si="19"/>
        <v>44751</v>
      </c>
      <c r="I50" s="175"/>
      <c r="J50" s="81">
        <f t="shared" si="0"/>
        <v>750.59999999999991</v>
      </c>
      <c r="K50" s="80">
        <v>744.97</v>
      </c>
      <c r="L50" s="186">
        <f t="shared" si="18"/>
        <v>4.9999999987448973E-4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903.12</v>
      </c>
      <c r="C51" s="116">
        <v>1.4999999999999999E-2</v>
      </c>
      <c r="D51" s="117">
        <f>+B51*C51</f>
        <v>13.546799999999999</v>
      </c>
      <c r="E51" s="172">
        <v>0</v>
      </c>
      <c r="F51" s="117">
        <f>D51*E51</f>
        <v>0</v>
      </c>
      <c r="G51" s="117">
        <f t="shared" si="16"/>
        <v>889.57320000000004</v>
      </c>
      <c r="H51" s="173">
        <f t="shared" si="19"/>
        <v>44751</v>
      </c>
      <c r="I51" s="175"/>
      <c r="J51" s="81">
        <f t="shared" si="0"/>
        <v>903.12</v>
      </c>
      <c r="K51" s="80">
        <v>889.57</v>
      </c>
      <c r="L51" s="186">
        <f t="shared" si="18"/>
        <v>3.1999999999925421E-3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44751</v>
      </c>
      <c r="I56" s="176">
        <v>381.83</v>
      </c>
      <c r="J56" s="81">
        <f t="shared" si="0"/>
        <v>-381.83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103.47765</v>
      </c>
      <c r="E61" s="177"/>
      <c r="F61" s="57">
        <f>SUM(F46:F58)</f>
        <v>0</v>
      </c>
      <c r="G61" s="57">
        <f>SUM(G46:G58)</f>
        <v>12790.422350000001</v>
      </c>
      <c r="H61" s="173">
        <f t="shared" si="19"/>
        <v>44751</v>
      </c>
      <c r="I61" s="175"/>
      <c r="J61" s="81">
        <f t="shared" si="0"/>
        <v>0</v>
      </c>
      <c r="K61" s="80"/>
      <c r="L61" s="186">
        <f t="shared" si="18"/>
        <v>12790.422350000001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25580.844700000001</v>
      </c>
      <c r="H64" s="184"/>
      <c r="I64" s="175"/>
      <c r="J64" s="81">
        <f t="shared" si="0"/>
        <v>0</v>
      </c>
      <c r="K64" s="80"/>
      <c r="L64" s="186">
        <f t="shared" si="18"/>
        <v>25580.844700000001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20634.765899999999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222</v>
      </c>
      <c r="B68" s="77">
        <v>20395.939999999999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223</v>
      </c>
      <c r="B69" s="62">
        <v>20568.580000000002</v>
      </c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-172.64000000000306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889</v>
      </c>
      <c r="Q70" s="228">
        <v>2002</v>
      </c>
      <c r="R70" s="222">
        <v>1468.65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11.014875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1457.635125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</f>
        <v>66.185899999996764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>
        <v>888</v>
      </c>
      <c r="Q71" s="228">
        <v>2002</v>
      </c>
      <c r="R71" s="255">
        <v>2017.6</v>
      </c>
      <c r="S71" s="228"/>
      <c r="T71" s="222"/>
      <c r="U71" s="189">
        <f t="shared" si="34"/>
        <v>0</v>
      </c>
      <c r="V71" s="189">
        <f t="shared" si="35"/>
        <v>15.131999999999998</v>
      </c>
      <c r="W71" s="189">
        <f t="shared" si="36"/>
        <v>0</v>
      </c>
      <c r="X71" s="189">
        <f t="shared" si="37"/>
        <v>0</v>
      </c>
      <c r="Y71" s="189">
        <f t="shared" si="38"/>
        <v>2002.4679999999998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185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52">
        <v>805</v>
      </c>
      <c r="Q73" s="228">
        <v>2002</v>
      </c>
      <c r="R73" s="255">
        <v>1988.19</v>
      </c>
      <c r="S73" s="228"/>
      <c r="T73" s="228"/>
      <c r="U73" s="189">
        <f t="shared" si="34"/>
        <v>0</v>
      </c>
      <c r="V73" s="189">
        <f t="shared" si="35"/>
        <v>14.911424999999999</v>
      </c>
      <c r="W73" s="189">
        <f t="shared" si="36"/>
        <v>0</v>
      </c>
      <c r="X73" s="189">
        <f t="shared" si="37"/>
        <v>0</v>
      </c>
      <c r="Y73" s="189">
        <f t="shared" si="38"/>
        <v>1973.278575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5474.4400000000005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41.058299999999996</v>
      </c>
      <c r="W75" s="192">
        <f t="shared" si="41"/>
        <v>0</v>
      </c>
      <c r="X75" s="192">
        <f t="shared" si="41"/>
        <v>0</v>
      </c>
      <c r="Y75" s="192">
        <f t="shared" si="41"/>
        <v>5433.3816999999999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28.54</v>
      </c>
      <c r="Q78" s="137">
        <v>10</v>
      </c>
      <c r="R78" s="82">
        <v>7.4999999999999997E-3</v>
      </c>
      <c r="S78" s="216">
        <f>+(P78+Q78)*R78</f>
        <v>0.28904999999999997</v>
      </c>
      <c r="T78" s="242">
        <f>+(P78+Q78)-S78</f>
        <v>38.250949999999996</v>
      </c>
      <c r="U78" s="211">
        <v>128.16</v>
      </c>
      <c r="V78" s="112"/>
      <c r="W78" s="113">
        <v>1.4999999999999999E-2</v>
      </c>
      <c r="X78" s="196">
        <f>+(U78+V78)*W78</f>
        <v>1.9223999999999999</v>
      </c>
      <c r="Y78" s="242">
        <f>+(U78+V78)-X78</f>
        <v>126.2376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744.97</v>
      </c>
      <c r="N79" s="87">
        <v>2</v>
      </c>
      <c r="O79" s="87" t="s">
        <v>112</v>
      </c>
      <c r="P79" s="137">
        <v>35.35</v>
      </c>
      <c r="Q79" s="137">
        <v>12.43</v>
      </c>
      <c r="R79" s="82">
        <v>7.4999999999999997E-3</v>
      </c>
      <c r="S79" s="216">
        <f t="shared" ref="S79:S97" si="43">+(P79+Q79)*R79</f>
        <v>0.35835</v>
      </c>
      <c r="T79" s="242">
        <f t="shared" ref="T79:T97" si="44">+(P79+Q79)-S79</f>
        <v>47.42165</v>
      </c>
      <c r="U79" s="211">
        <v>171.37</v>
      </c>
      <c r="V79" s="112"/>
      <c r="W79" s="113">
        <v>1.4999999999999999E-2</v>
      </c>
      <c r="X79" s="196">
        <f t="shared" ref="X79:X97" si="45">+(U79+V79)*W79</f>
        <v>2.5705499999999999</v>
      </c>
      <c r="Y79" s="242">
        <f t="shared" ref="Y79:Y97" si="46">+(U79+V79)-X79</f>
        <v>168.79945000000001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347.18</v>
      </c>
      <c r="Q80" s="137">
        <v>7.2</v>
      </c>
      <c r="R80" s="82">
        <v>7.4999999999999997E-3</v>
      </c>
      <c r="S80" s="216">
        <f t="shared" si="43"/>
        <v>2.6578499999999998</v>
      </c>
      <c r="T80" s="213">
        <f t="shared" si="44"/>
        <v>351.72215</v>
      </c>
      <c r="U80" s="211">
        <v>294.44</v>
      </c>
      <c r="V80" s="112"/>
      <c r="W80" s="113">
        <v>1.4999999999999999E-2</v>
      </c>
      <c r="X80" s="196">
        <f t="shared" si="45"/>
        <v>4.4165999999999999</v>
      </c>
      <c r="Y80" s="213">
        <f t="shared" si="46"/>
        <v>290.02339999999998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744.97</v>
      </c>
      <c r="N81" s="87">
        <v>4</v>
      </c>
      <c r="O81" s="87" t="s">
        <v>112</v>
      </c>
      <c r="P81" s="137">
        <v>44.14</v>
      </c>
      <c r="Q81" s="137">
        <v>21.44</v>
      </c>
      <c r="R81" s="82">
        <v>7.4999999999999997E-3</v>
      </c>
      <c r="S81" s="194">
        <f t="shared" si="43"/>
        <v>0.49184999999999995</v>
      </c>
      <c r="T81" s="242">
        <f t="shared" si="44"/>
        <v>65.088149999999999</v>
      </c>
      <c r="U81" s="211">
        <v>171.64</v>
      </c>
      <c r="V81" s="112"/>
      <c r="W81" s="113">
        <v>1.4999999999999999E-2</v>
      </c>
      <c r="X81" s="196">
        <f t="shared" si="45"/>
        <v>2.5745999999999998</v>
      </c>
      <c r="Y81" s="242">
        <f t="shared" si="46"/>
        <v>169.06539999999998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173.7</v>
      </c>
      <c r="Q82" s="137">
        <v>70.62</v>
      </c>
      <c r="R82" s="82">
        <v>7.4999999999999997E-3</v>
      </c>
      <c r="S82" s="194">
        <f t="shared" si="43"/>
        <v>1.8323999999999998</v>
      </c>
      <c r="T82" s="242">
        <f t="shared" si="44"/>
        <v>242.48759999999999</v>
      </c>
      <c r="U82" s="211">
        <v>137.51</v>
      </c>
      <c r="V82" s="112"/>
      <c r="W82" s="113">
        <v>1.4999999999999999E-2</v>
      </c>
      <c r="X82" s="196">
        <f t="shared" si="45"/>
        <v>2.0626499999999997</v>
      </c>
      <c r="Y82" s="242">
        <f t="shared" si="46"/>
        <v>135.44735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628.91</v>
      </c>
      <c r="Q98" s="195">
        <f>SUM(Q78:Q97)</f>
        <v>121.69</v>
      </c>
      <c r="R98" s="111"/>
      <c r="S98" s="195">
        <f>SUM(S78:S97)</f>
        <v>5.6295000000000002</v>
      </c>
      <c r="T98" s="195">
        <f>SUM(T78:T97)</f>
        <v>744.9704999999999</v>
      </c>
      <c r="U98" s="114">
        <f>SUM(U78:U97)</f>
        <v>903.12</v>
      </c>
      <c r="V98" s="114">
        <f>SUM(V78:V97)</f>
        <v>0</v>
      </c>
      <c r="W98" s="112"/>
      <c r="X98" s="197">
        <f>SUM(X78:X97)</f>
        <v>13.546799999999999</v>
      </c>
      <c r="Y98" s="197">
        <f>SUM(Y78:Y97)</f>
        <v>889.57319999999993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 t="shared" ref="P101:P106" si="50">P78+Q78+U78</f>
        <v>166.7</v>
      </c>
    </row>
    <row r="102" spans="14:30" x14ac:dyDescent="0.25">
      <c r="N102" s="85"/>
      <c r="P102" s="215">
        <f t="shared" si="50"/>
        <v>219.15</v>
      </c>
    </row>
    <row r="103" spans="14:30" x14ac:dyDescent="0.25">
      <c r="N103" s="85"/>
      <c r="P103" s="215">
        <f t="shared" si="50"/>
        <v>648.81999999999994</v>
      </c>
    </row>
    <row r="104" spans="14:30" x14ac:dyDescent="0.25">
      <c r="N104" s="85"/>
      <c r="P104" s="215">
        <f>P81+Q81+U81</f>
        <v>237.21999999999997</v>
      </c>
    </row>
    <row r="105" spans="14:30" x14ac:dyDescent="0.25">
      <c r="N105" s="85"/>
      <c r="P105" s="215">
        <f>P82+Q82+U82</f>
        <v>381.83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W44" zoomScale="90" zoomScaleNormal="90" workbookViewId="0">
      <selection activeCell="Y72" sqref="Y7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2851562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187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44751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8">
        <v>5.61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2301.5</v>
      </c>
      <c r="C12" s="15"/>
      <c r="D12" s="56"/>
      <c r="E12" s="16"/>
      <c r="F12" s="56"/>
      <c r="G12" s="56"/>
      <c r="H12" s="17"/>
      <c r="I12" s="83">
        <v>2301.5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195</v>
      </c>
      <c r="Q12" s="158">
        <v>6</v>
      </c>
      <c r="R12" s="159">
        <v>1557.4</v>
      </c>
      <c r="S12" s="160"/>
      <c r="T12" s="160"/>
      <c r="U12" s="189">
        <f>((T12/U$10)*U$9)</f>
        <v>0</v>
      </c>
      <c r="V12" s="189">
        <f>R12*V$10</f>
        <v>11.6805</v>
      </c>
      <c r="W12" s="189">
        <f>+S12*V$10</f>
        <v>0</v>
      </c>
      <c r="X12" s="189">
        <f>+T12*X$10</f>
        <v>0</v>
      </c>
      <c r="Y12" s="189">
        <f>R12-V12</f>
        <v>1545.7195000000002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1597</v>
      </c>
      <c r="C13" s="15"/>
      <c r="D13" s="56"/>
      <c r="E13" s="16"/>
      <c r="F13" s="56"/>
      <c r="G13" s="56"/>
      <c r="H13" s="17"/>
      <c r="I13" s="83">
        <v>1597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>
        <v>196</v>
      </c>
      <c r="Q13" s="153">
        <v>6</v>
      </c>
      <c r="R13" s="154">
        <v>2098.58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15.739349999999998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2082.8406500000001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8959.17</v>
      </c>
      <c r="C14" s="15"/>
      <c r="D14" s="56"/>
      <c r="E14" s="16"/>
      <c r="F14" s="56"/>
      <c r="G14" s="56"/>
      <c r="H14" s="17"/>
      <c r="I14" s="83">
        <v>8959.17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980</v>
      </c>
      <c r="Q15" s="153">
        <v>6</v>
      </c>
      <c r="R15" s="154">
        <v>2196.41</v>
      </c>
      <c r="S15" s="155"/>
      <c r="T15" s="157">
        <v>63.17</v>
      </c>
      <c r="U15" s="189">
        <f t="shared" si="2"/>
        <v>2.7228448275862074</v>
      </c>
      <c r="V15" s="189">
        <f t="shared" si="3"/>
        <v>16.473074999999998</v>
      </c>
      <c r="W15" s="189">
        <f t="shared" si="4"/>
        <v>0</v>
      </c>
      <c r="X15" s="189">
        <f t="shared" si="5"/>
        <v>1.57925</v>
      </c>
      <c r="Y15" s="189">
        <f t="shared" si="6"/>
        <v>2179.936925</v>
      </c>
      <c r="Z15" s="189">
        <f t="shared" si="6"/>
        <v>0</v>
      </c>
      <c r="AA15" s="189">
        <f t="shared" si="7"/>
        <v>58.867905172413792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214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1597</v>
      </c>
      <c r="C19" s="95"/>
      <c r="D19" s="94"/>
      <c r="E19" s="96"/>
      <c r="F19" s="94"/>
      <c r="G19" s="94"/>
      <c r="H19" s="98"/>
      <c r="I19" s="99">
        <v>1597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8959.17</v>
      </c>
      <c r="C20" s="95"/>
      <c r="D20" s="94"/>
      <c r="E20" s="96"/>
      <c r="F20" s="94"/>
      <c r="G20" s="94"/>
      <c r="H20" s="98"/>
      <c r="I20" s="99">
        <v>8959.17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5852.3899999999994</v>
      </c>
      <c r="S42" s="190">
        <f t="shared" si="8"/>
        <v>0</v>
      </c>
      <c r="T42" s="190">
        <f>SUM(T12:T41)</f>
        <v>63.17</v>
      </c>
      <c r="U42" s="190">
        <f t="shared" si="8"/>
        <v>2.7228448275862074</v>
      </c>
      <c r="V42" s="190">
        <f t="shared" si="8"/>
        <v>43.892924999999991</v>
      </c>
      <c r="W42" s="190">
        <f t="shared" si="8"/>
        <v>0</v>
      </c>
      <c r="X42" s="190">
        <f t="shared" si="8"/>
        <v>1.57925</v>
      </c>
      <c r="Y42" s="190">
        <f t="shared" si="8"/>
        <v>5808.4970750000002</v>
      </c>
      <c r="Z42" s="190">
        <f t="shared" si="8"/>
        <v>0</v>
      </c>
      <c r="AA42" s="190">
        <f t="shared" si="8"/>
        <v>58.867905172413792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5852.3899999999994</v>
      </c>
      <c r="C46" s="116">
        <v>7.4999999999999997E-3</v>
      </c>
      <c r="D46" s="117">
        <f>B46*C46</f>
        <v>43.892924999999991</v>
      </c>
      <c r="E46" s="172">
        <v>0</v>
      </c>
      <c r="F46" s="117">
        <f t="shared" ref="F46:F50" si="15">D46*E46</f>
        <v>0</v>
      </c>
      <c r="G46" s="117">
        <f t="shared" ref="G46:G51" si="16">B46-D46-F46</f>
        <v>5808.4970749999993</v>
      </c>
      <c r="H46" s="173">
        <f>B$6+1</f>
        <v>44752</v>
      </c>
      <c r="I46" s="174"/>
      <c r="J46" s="81">
        <f t="shared" si="0"/>
        <v>5852.3899999999994</v>
      </c>
      <c r="K46" s="80">
        <v>5808.5</v>
      </c>
      <c r="L46" s="186">
        <f t="shared" ref="L46:L64" si="17">+G46-K46</f>
        <v>-2.9250000006868504E-3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44752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5893.18</v>
      </c>
      <c r="C49" s="116">
        <v>7.4999999999999997E-3</v>
      </c>
      <c r="D49" s="117">
        <f t="shared" si="18"/>
        <v>44.19885</v>
      </c>
      <c r="E49" s="172">
        <v>0</v>
      </c>
      <c r="F49" s="117">
        <f t="shared" si="15"/>
        <v>0</v>
      </c>
      <c r="G49" s="117">
        <f t="shared" si="16"/>
        <v>5848.9811500000005</v>
      </c>
      <c r="H49" s="173">
        <f t="shared" si="19"/>
        <v>44752</v>
      </c>
      <c r="I49" s="176"/>
      <c r="J49" s="81">
        <f t="shared" si="0"/>
        <v>5893.18</v>
      </c>
      <c r="K49" s="80">
        <v>5848.98</v>
      </c>
      <c r="L49" s="186">
        <f t="shared" si="17"/>
        <v>1.1500000009618816E-3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467.68</v>
      </c>
      <c r="C50" s="116">
        <v>7.4999999999999997E-3</v>
      </c>
      <c r="D50" s="117">
        <f t="shared" si="18"/>
        <v>3.5076000000000001</v>
      </c>
      <c r="E50" s="172">
        <v>0</v>
      </c>
      <c r="F50" s="117">
        <f t="shared" si="15"/>
        <v>0</v>
      </c>
      <c r="G50" s="117">
        <f t="shared" si="16"/>
        <v>464.17239999999998</v>
      </c>
      <c r="H50" s="173">
        <f t="shared" si="19"/>
        <v>44752</v>
      </c>
      <c r="I50" s="175"/>
      <c r="J50" s="81">
        <f t="shared" si="0"/>
        <v>467.68</v>
      </c>
      <c r="K50" s="80">
        <v>464.17</v>
      </c>
      <c r="L50" s="186">
        <f t="shared" si="17"/>
        <v>2.3999999999659849E-3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425.51</v>
      </c>
      <c r="C51" s="116">
        <v>1.4999999999999999E-2</v>
      </c>
      <c r="D51" s="117">
        <f>+B51*C51</f>
        <v>6.3826499999999999</v>
      </c>
      <c r="E51" s="172">
        <v>0</v>
      </c>
      <c r="F51" s="117">
        <f>D51*E51</f>
        <v>0</v>
      </c>
      <c r="G51" s="117">
        <f t="shared" si="16"/>
        <v>419.12734999999998</v>
      </c>
      <c r="H51" s="173">
        <f t="shared" si="19"/>
        <v>44752</v>
      </c>
      <c r="I51" s="175"/>
      <c r="J51" s="81">
        <f t="shared" si="0"/>
        <v>425.51</v>
      </c>
      <c r="K51" s="80">
        <v>419.13</v>
      </c>
      <c r="L51" s="186">
        <f t="shared" si="17"/>
        <v>-2.6500000000169166E-3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63.17</v>
      </c>
      <c r="C52" s="116">
        <v>2.5000000000000001E-2</v>
      </c>
      <c r="D52" s="117">
        <f>B52*C52</f>
        <v>1.57925</v>
      </c>
      <c r="E52" s="172">
        <v>0.05</v>
      </c>
      <c r="F52" s="117">
        <f>(B52/E$10)*E52</f>
        <v>2.7228448275862074</v>
      </c>
      <c r="G52" s="117">
        <f>B52-D52-F52</f>
        <v>58.867905172413792</v>
      </c>
      <c r="H52" s="188">
        <f t="shared" si="19"/>
        <v>44752</v>
      </c>
      <c r="I52" s="176">
        <v>63.17</v>
      </c>
      <c r="J52" s="81">
        <f t="shared" si="0"/>
        <v>0</v>
      </c>
      <c r="K52" s="80">
        <v>58.87</v>
      </c>
      <c r="L52" s="186">
        <f>K52-G52</f>
        <v>2.0948275862053833E-3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44752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44752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44752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99.561274999999981</v>
      </c>
      <c r="E61" s="177"/>
      <c r="F61" s="57">
        <f>SUM(F46:F58)</f>
        <v>2.7228448275862074</v>
      </c>
      <c r="G61" s="57">
        <f>SUM(G46:G58)</f>
        <v>12599.645880172413</v>
      </c>
      <c r="H61" s="173">
        <f t="shared" si="19"/>
        <v>44752</v>
      </c>
      <c r="I61" s="175"/>
      <c r="J61" s="81">
        <f t="shared" si="0"/>
        <v>0</v>
      </c>
      <c r="K61" s="80"/>
      <c r="L61" s="186">
        <f t="shared" si="17"/>
        <v>12599.645880172413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44752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25199.291760344826</v>
      </c>
      <c r="H64" s="184"/>
      <c r="I64" s="175"/>
      <c r="J64" s="81">
        <f t="shared" si="0"/>
        <v>0</v>
      </c>
      <c r="K64" s="80"/>
      <c r="L64" s="186">
        <f t="shared" si="17"/>
        <v>25199.291760344826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23962.599999999995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224</v>
      </c>
      <c r="B68" s="77">
        <v>23683.22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225</v>
      </c>
      <c r="B69" s="62">
        <v>23927.99</v>
      </c>
      <c r="C69" s="59"/>
      <c r="F69" s="87" t="s">
        <v>129</v>
      </c>
      <c r="G69" s="22"/>
      <c r="H69" s="89"/>
      <c r="I69" s="136"/>
      <c r="J69" s="136">
        <f>K52</f>
        <v>58.87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-244.77000000000044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890</v>
      </c>
      <c r="Q70" s="228">
        <v>2002</v>
      </c>
      <c r="R70" s="255">
        <v>1163.98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8.729849999999999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1155.2501500000001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34.609999999993306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58.87</v>
      </c>
      <c r="N71" s="87">
        <v>2</v>
      </c>
      <c r="O71" s="122" t="s">
        <v>188</v>
      </c>
      <c r="P71" s="228">
        <v>891</v>
      </c>
      <c r="Q71" s="228">
        <v>2002</v>
      </c>
      <c r="R71" s="255">
        <v>1424.34</v>
      </c>
      <c r="S71" s="228"/>
      <c r="T71" s="228"/>
      <c r="U71" s="189">
        <f t="shared" si="34"/>
        <v>0</v>
      </c>
      <c r="V71" s="189">
        <f t="shared" si="35"/>
        <v>10.682549999999999</v>
      </c>
      <c r="W71" s="189">
        <f t="shared" si="36"/>
        <v>0</v>
      </c>
      <c r="X71" s="189">
        <f t="shared" si="37"/>
        <v>0</v>
      </c>
      <c r="Y71" s="189">
        <f t="shared" si="38"/>
        <v>1413.6574499999999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806</v>
      </c>
      <c r="Q73" s="228">
        <v>2002</v>
      </c>
      <c r="R73" s="255">
        <v>1583.68</v>
      </c>
      <c r="S73" s="228"/>
      <c r="T73" s="228"/>
      <c r="U73" s="189">
        <f t="shared" si="34"/>
        <v>0</v>
      </c>
      <c r="V73" s="189">
        <f t="shared" si="35"/>
        <v>11.877599999999999</v>
      </c>
      <c r="W73" s="189">
        <f t="shared" si="36"/>
        <v>0</v>
      </c>
      <c r="X73" s="189">
        <f t="shared" si="37"/>
        <v>0</v>
      </c>
      <c r="Y73" s="189">
        <f t="shared" si="38"/>
        <v>1571.8024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807</v>
      </c>
      <c r="Q74" s="228">
        <v>2002</v>
      </c>
      <c r="R74" s="255">
        <v>1721.18</v>
      </c>
      <c r="S74" s="228"/>
      <c r="T74" s="222"/>
      <c r="U74" s="189">
        <f t="shared" si="34"/>
        <v>0</v>
      </c>
      <c r="V74" s="189">
        <f t="shared" si="35"/>
        <v>12.908849999999999</v>
      </c>
      <c r="W74" s="189">
        <f t="shared" si="36"/>
        <v>0</v>
      </c>
      <c r="X74" s="189">
        <f t="shared" si="37"/>
        <v>0</v>
      </c>
      <c r="Y74" s="189">
        <f t="shared" si="38"/>
        <v>1708.27115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5893.18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44.19885</v>
      </c>
      <c r="W75" s="192">
        <f t="shared" si="41"/>
        <v>0</v>
      </c>
      <c r="X75" s="192">
        <f t="shared" si="41"/>
        <v>0</v>
      </c>
      <c r="Y75" s="192">
        <f t="shared" si="41"/>
        <v>5848.9811499999996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7.81</v>
      </c>
      <c r="Q78" s="137"/>
      <c r="R78" s="82">
        <v>7.4999999999999997E-3</v>
      </c>
      <c r="S78" s="216">
        <f>+(P78+Q78)*R78</f>
        <v>5.8574999999999995E-2</v>
      </c>
      <c r="T78" s="242">
        <f>+(P78+Q78)-S78</f>
        <v>7.7514249999999993</v>
      </c>
      <c r="U78" s="211">
        <v>70.39</v>
      </c>
      <c r="V78" s="112"/>
      <c r="W78" s="113">
        <v>1.4999999999999999E-2</v>
      </c>
      <c r="X78" s="196">
        <f>+(U78+V78)*W78</f>
        <v>1.05585</v>
      </c>
      <c r="Y78" s="242">
        <f>+(U78+V78)-X78</f>
        <v>69.334149999999994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148.19999999999999</v>
      </c>
      <c r="Q79" s="137">
        <v>12.79</v>
      </c>
      <c r="R79" s="82">
        <v>7.4999999999999997E-3</v>
      </c>
      <c r="S79" s="216">
        <f t="shared" ref="S79:S97" si="43">+(P79+Q79)*R79</f>
        <v>1.2074249999999997</v>
      </c>
      <c r="T79" s="242">
        <f t="shared" ref="T79:T97" si="44">+(P79+Q79)-S79</f>
        <v>159.78257499999998</v>
      </c>
      <c r="U79" s="211">
        <v>14.96</v>
      </c>
      <c r="V79" s="112"/>
      <c r="W79" s="113">
        <v>1.4999999999999999E-2</v>
      </c>
      <c r="X79" s="196">
        <f t="shared" ref="X79:X97" si="45">+(U79+V79)*W79</f>
        <v>0.22440000000000002</v>
      </c>
      <c r="Y79" s="242">
        <f t="shared" ref="Y79:Y97" si="46">+(U79+V79)-X79</f>
        <v>14.735600000000002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94.15</v>
      </c>
      <c r="Q80" s="137">
        <v>36.340000000000003</v>
      </c>
      <c r="R80" s="82">
        <v>7.4999999999999997E-3</v>
      </c>
      <c r="S80" s="216">
        <f t="shared" si="43"/>
        <v>0.97867500000000007</v>
      </c>
      <c r="T80" s="213">
        <f t="shared" si="44"/>
        <v>129.511325</v>
      </c>
      <c r="U80" s="211">
        <v>161.77000000000001</v>
      </c>
      <c r="V80" s="112"/>
      <c r="W80" s="113">
        <v>1.4999999999999999E-2</v>
      </c>
      <c r="X80" s="196">
        <f t="shared" si="45"/>
        <v>2.4265500000000002</v>
      </c>
      <c r="Y80" s="213">
        <f t="shared" si="46"/>
        <v>159.34345000000002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71.75</v>
      </c>
      <c r="Q81" s="137">
        <v>35.82</v>
      </c>
      <c r="R81" s="82">
        <v>7.4999999999999997E-3</v>
      </c>
      <c r="S81" s="216">
        <f t="shared" si="43"/>
        <v>0.80677499999999991</v>
      </c>
      <c r="T81" s="213">
        <f t="shared" si="44"/>
        <v>106.76322499999999</v>
      </c>
      <c r="U81" s="211">
        <v>54.8</v>
      </c>
      <c r="V81" s="112"/>
      <c r="W81" s="113">
        <v>1.4999999999999999E-2</v>
      </c>
      <c r="X81" s="196">
        <f t="shared" si="45"/>
        <v>0.82199999999999995</v>
      </c>
      <c r="Y81" s="213">
        <f t="shared" si="46"/>
        <v>53.977999999999994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42.59</v>
      </c>
      <c r="Q82" s="137">
        <v>18.23</v>
      </c>
      <c r="R82" s="82">
        <v>7.4999999999999997E-3</v>
      </c>
      <c r="S82" s="216">
        <f t="shared" si="43"/>
        <v>0.45615000000000006</v>
      </c>
      <c r="T82" s="244">
        <f t="shared" si="44"/>
        <v>60.363850000000006</v>
      </c>
      <c r="U82" s="211">
        <v>123.59</v>
      </c>
      <c r="V82" s="112"/>
      <c r="W82" s="113">
        <v>1.4999999999999999E-2</v>
      </c>
      <c r="X82" s="196">
        <f t="shared" si="45"/>
        <v>1.85385</v>
      </c>
      <c r="Y82" s="242">
        <f t="shared" si="46"/>
        <v>121.73615000000001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216">
        <f t="shared" si="43"/>
        <v>0</v>
      </c>
      <c r="T85" s="216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216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211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222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222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</f>
        <v>364.5</v>
      </c>
      <c r="Q98" s="195">
        <f>SUM(Q78:Q97)</f>
        <v>103.18</v>
      </c>
      <c r="R98" s="111"/>
      <c r="S98" s="195">
        <f>SUM(S78:S97)</f>
        <v>3.5076000000000001</v>
      </c>
      <c r="T98" s="195">
        <f>SUM(T78:T97)</f>
        <v>464.17239999999998</v>
      </c>
      <c r="U98" s="114">
        <f>SUM(U78:U97)</f>
        <v>425.51</v>
      </c>
      <c r="V98" s="114">
        <f>SUM(V78:V97)</f>
        <v>0</v>
      </c>
      <c r="W98" s="112"/>
      <c r="X98" s="197">
        <f>SUM(X78:X97)</f>
        <v>6.3826499999999999</v>
      </c>
      <c r="Y98" s="197">
        <f>SUM(Y78:Y97)</f>
        <v>419.12735000000004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84"/>
    </row>
    <row r="104" spans="14:30" x14ac:dyDescent="0.25">
      <c r="N104" s="85"/>
      <c r="Q104" s="215">
        <f>P78+U78+Q78</f>
        <v>78.2</v>
      </c>
    </row>
    <row r="105" spans="14:30" x14ac:dyDescent="0.25">
      <c r="N105" s="85"/>
      <c r="Q105" s="215">
        <f t="shared" ref="Q105:Q111" si="50">P79+Q79+U79</f>
        <v>175.95</v>
      </c>
    </row>
    <row r="106" spans="14:30" x14ac:dyDescent="0.25">
      <c r="N106" s="85"/>
      <c r="Q106" s="215">
        <f t="shared" si="50"/>
        <v>292.26</v>
      </c>
    </row>
    <row r="107" spans="14:30" x14ac:dyDescent="0.25">
      <c r="N107" s="85"/>
      <c r="Q107" s="215">
        <f t="shared" si="50"/>
        <v>162.37</v>
      </c>
    </row>
    <row r="108" spans="14:30" x14ac:dyDescent="0.25">
      <c r="N108" s="85"/>
      <c r="Q108" s="215">
        <f t="shared" si="50"/>
        <v>184.41000000000003</v>
      </c>
    </row>
    <row r="109" spans="14:30" x14ac:dyDescent="0.25">
      <c r="N109" s="85"/>
      <c r="Q109" s="235">
        <f t="shared" si="50"/>
        <v>0</v>
      </c>
    </row>
    <row r="110" spans="14:30" x14ac:dyDescent="0.25">
      <c r="N110" s="85"/>
      <c r="Q110" s="84">
        <f t="shared" si="50"/>
        <v>0</v>
      </c>
    </row>
    <row r="111" spans="14:30" x14ac:dyDescent="0.25">
      <c r="N111" s="85"/>
      <c r="Q111" s="85">
        <f t="shared" si="50"/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X48" zoomScale="90" zoomScaleNormal="90" workbookViewId="0">
      <selection activeCell="Y71" sqref="Y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187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44752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5.61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1569</v>
      </c>
      <c r="C12" s="15"/>
      <c r="D12" s="56"/>
      <c r="E12" s="16"/>
      <c r="F12" s="56"/>
      <c r="G12" s="56"/>
      <c r="H12" s="17"/>
      <c r="I12" s="83">
        <v>1569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197</v>
      </c>
      <c r="Q12" s="158">
        <v>6</v>
      </c>
      <c r="R12" s="159">
        <v>3059.99</v>
      </c>
      <c r="S12" s="160"/>
      <c r="T12" s="160">
        <v>18.27</v>
      </c>
      <c r="U12" s="189">
        <f>((T12/U$10)*U$9)</f>
        <v>0.78750000000000009</v>
      </c>
      <c r="V12" s="189">
        <f>R12*V$10</f>
        <v>22.949924999999997</v>
      </c>
      <c r="W12" s="189">
        <f>+S12*V$10</f>
        <v>0</v>
      </c>
      <c r="X12" s="189">
        <f>+T12*X$10</f>
        <v>0.45674999999999999</v>
      </c>
      <c r="Y12" s="189">
        <f>R12-V12</f>
        <v>3037.0400749999999</v>
      </c>
      <c r="Z12" s="189">
        <f>S12-W12</f>
        <v>0</v>
      </c>
      <c r="AA12" s="189">
        <f>T12-U12-X12</f>
        <v>17.025749999999999</v>
      </c>
      <c r="AB12" s="156"/>
    </row>
    <row r="13" spans="1:28" ht="15.75" x14ac:dyDescent="0.25">
      <c r="A13" s="86" t="s">
        <v>76</v>
      </c>
      <c r="B13" s="89">
        <v>1307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1307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198</v>
      </c>
      <c r="Q13" s="158">
        <v>6</v>
      </c>
      <c r="R13" s="159">
        <v>676.27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5.072025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671.19797499999993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7332.27</v>
      </c>
      <c r="C14" s="15"/>
      <c r="D14" s="56"/>
      <c r="E14" s="16"/>
      <c r="F14" s="56"/>
      <c r="G14" s="56"/>
      <c r="H14" s="17"/>
      <c r="I14" s="83"/>
      <c r="J14" s="81">
        <f t="shared" si="0"/>
        <v>7332.27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>
        <v>981</v>
      </c>
      <c r="Q14" s="158">
        <v>6</v>
      </c>
      <c r="R14" s="159">
        <v>1836.58</v>
      </c>
      <c r="S14" s="160"/>
      <c r="T14" s="161">
        <v>46</v>
      </c>
      <c r="U14" s="189">
        <f t="shared" si="2"/>
        <v>1.9827586206896552</v>
      </c>
      <c r="V14" s="189">
        <f t="shared" si="3"/>
        <v>13.774349999999998</v>
      </c>
      <c r="W14" s="189">
        <f t="shared" si="4"/>
        <v>0</v>
      </c>
      <c r="X14" s="189">
        <f t="shared" si="5"/>
        <v>1.1500000000000001</v>
      </c>
      <c r="Y14" s="189">
        <f t="shared" si="6"/>
        <v>1822.80565</v>
      </c>
      <c r="Z14" s="189">
        <f t="shared" si="6"/>
        <v>0</v>
      </c>
      <c r="AA14" s="189">
        <f t="shared" si="7"/>
        <v>42.867241379310343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186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186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1307</v>
      </c>
      <c r="C19" s="95"/>
      <c r="D19" s="94"/>
      <c r="E19" s="96"/>
      <c r="F19" s="94"/>
      <c r="G19" s="94"/>
      <c r="H19" s="98"/>
      <c r="I19" s="99"/>
      <c r="J19" s="185">
        <f>B19-I19</f>
        <v>1307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7332.27</v>
      </c>
      <c r="C20" s="95"/>
      <c r="D20" s="94"/>
      <c r="E20" s="96"/>
      <c r="F20" s="94"/>
      <c r="G20" s="94"/>
      <c r="H20" s="98"/>
      <c r="I20" s="99">
        <v>7332.27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5572.84</v>
      </c>
      <c r="S42" s="190">
        <f t="shared" si="8"/>
        <v>0</v>
      </c>
      <c r="T42" s="190">
        <f t="shared" si="8"/>
        <v>64.27</v>
      </c>
      <c r="U42" s="190">
        <f t="shared" si="8"/>
        <v>2.7702586206896553</v>
      </c>
      <c r="V42" s="190">
        <f t="shared" si="8"/>
        <v>41.796299999999995</v>
      </c>
      <c r="W42" s="190">
        <f t="shared" si="8"/>
        <v>0</v>
      </c>
      <c r="X42" s="190">
        <f t="shared" si="8"/>
        <v>1.6067500000000001</v>
      </c>
      <c r="Y42" s="190">
        <f t="shared" si="8"/>
        <v>5531.0437000000002</v>
      </c>
      <c r="Z42" s="190">
        <f t="shared" si="8"/>
        <v>0</v>
      </c>
      <c r="AA42" s="190">
        <f t="shared" si="8"/>
        <v>59.892991379310345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5572.84</v>
      </c>
      <c r="C46" s="116">
        <v>7.4999999999999997E-3</v>
      </c>
      <c r="D46" s="117">
        <f>B46*C46</f>
        <v>41.796300000000002</v>
      </c>
      <c r="E46" s="172">
        <v>0</v>
      </c>
      <c r="F46" s="117">
        <f t="shared" ref="F46:F50" si="15">D46*E46</f>
        <v>0</v>
      </c>
      <c r="G46" s="117">
        <f t="shared" ref="G46:G51" si="16">B46-D46-F46</f>
        <v>5531.0437000000002</v>
      </c>
      <c r="H46" s="173">
        <f>B$6+1</f>
        <v>44753</v>
      </c>
      <c r="I46" s="174"/>
      <c r="J46" s="81">
        <f t="shared" si="0"/>
        <v>5572.84</v>
      </c>
      <c r="K46" s="80">
        <v>5531.04</v>
      </c>
      <c r="L46" s="186">
        <f>K46-G46</f>
        <v>-3.7000000002080924E-3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6057.1</v>
      </c>
      <c r="C49" s="116">
        <v>7.4999999999999997E-3</v>
      </c>
      <c r="D49" s="117">
        <f t="shared" si="17"/>
        <v>45.428249999999998</v>
      </c>
      <c r="E49" s="172">
        <v>0</v>
      </c>
      <c r="F49" s="117">
        <f t="shared" si="15"/>
        <v>0</v>
      </c>
      <c r="G49" s="117">
        <f t="shared" si="16"/>
        <v>6011.6717500000004</v>
      </c>
      <c r="H49" s="173">
        <f t="shared" si="19"/>
        <v>44753</v>
      </c>
      <c r="I49" s="176"/>
      <c r="J49" s="81">
        <f t="shared" si="0"/>
        <v>6057.1</v>
      </c>
      <c r="K49" s="80">
        <v>6011.67</v>
      </c>
      <c r="L49" s="186">
        <f t="shared" si="18"/>
        <v>1.7500000003565219E-3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1094.68</v>
      </c>
      <c r="C50" s="116">
        <v>7.4999999999999997E-3</v>
      </c>
      <c r="D50" s="117">
        <f t="shared" si="17"/>
        <v>8.2101000000000006</v>
      </c>
      <c r="E50" s="172">
        <v>0</v>
      </c>
      <c r="F50" s="117">
        <f t="shared" si="15"/>
        <v>0</v>
      </c>
      <c r="G50" s="117">
        <f t="shared" si="16"/>
        <v>1086.4699000000001</v>
      </c>
      <c r="H50" s="173">
        <f t="shared" si="19"/>
        <v>44753</v>
      </c>
      <c r="I50" s="175"/>
      <c r="J50" s="81">
        <f t="shared" si="0"/>
        <v>1094.68</v>
      </c>
      <c r="K50" s="80">
        <v>1086.47</v>
      </c>
      <c r="L50" s="186">
        <f t="shared" si="18"/>
        <v>-9.9999999974897946E-5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362.19</v>
      </c>
      <c r="C51" s="116">
        <v>1.4999999999999999E-2</v>
      </c>
      <c r="D51" s="117">
        <f>+B51*C51</f>
        <v>5.4328500000000002</v>
      </c>
      <c r="E51" s="172">
        <v>0</v>
      </c>
      <c r="F51" s="117">
        <f>D51*E51</f>
        <v>0</v>
      </c>
      <c r="G51" s="117">
        <f t="shared" si="16"/>
        <v>356.75715000000002</v>
      </c>
      <c r="H51" s="173">
        <f t="shared" si="19"/>
        <v>44753</v>
      </c>
      <c r="I51" s="175"/>
      <c r="J51" s="81">
        <f t="shared" si="0"/>
        <v>362.19</v>
      </c>
      <c r="K51" s="80">
        <v>356.76</v>
      </c>
      <c r="L51" s="186">
        <f t="shared" si="18"/>
        <v>-2.8499999999667125E-3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64.27</v>
      </c>
      <c r="C52" s="116">
        <v>2.5000000000000001E-2</v>
      </c>
      <c r="D52" s="117">
        <f>B52*C52</f>
        <v>1.6067499999999999</v>
      </c>
      <c r="E52" s="172">
        <v>0.05</v>
      </c>
      <c r="F52" s="117">
        <f>(B52/E$10)*E52</f>
        <v>2.7702586206896553</v>
      </c>
      <c r="G52" s="117">
        <f>B52-D52-F52</f>
        <v>59.892991379310345</v>
      </c>
      <c r="H52" s="188">
        <f t="shared" si="19"/>
        <v>44753</v>
      </c>
      <c r="I52" s="176">
        <v>64.27</v>
      </c>
      <c r="J52" s="81">
        <f t="shared" si="0"/>
        <v>0</v>
      </c>
      <c r="K52" s="80">
        <v>59.89</v>
      </c>
      <c r="L52" s="186">
        <f>K52-G52</f>
        <v>-2.9913793103446551E-3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154.30000000000001</v>
      </c>
      <c r="C56" s="116">
        <v>2.5000000000000001E-2</v>
      </c>
      <c r="D56" s="117">
        <f t="shared" si="20"/>
        <v>3.8575000000000004</v>
      </c>
      <c r="E56" s="172">
        <v>0.05</v>
      </c>
      <c r="F56" s="117">
        <f t="shared" si="21"/>
        <v>6.6508620689655196</v>
      </c>
      <c r="G56" s="117">
        <f t="shared" si="22"/>
        <v>143.7916379310345</v>
      </c>
      <c r="H56" s="173">
        <f t="shared" si="19"/>
        <v>44753</v>
      </c>
      <c r="I56" s="176">
        <v>154.30000000000001</v>
      </c>
      <c r="J56" s="81">
        <f t="shared" si="0"/>
        <v>0</v>
      </c>
      <c r="K56" s="80"/>
      <c r="L56" s="186">
        <f t="shared" si="18"/>
        <v>143.7916379310345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106.33175</v>
      </c>
      <c r="E61" s="177"/>
      <c r="F61" s="57">
        <f>SUM(F46:F58)</f>
        <v>9.4211206896551758</v>
      </c>
      <c r="G61" s="57">
        <f>SUM(G46:G58)</f>
        <v>13189.627129310344</v>
      </c>
      <c r="H61" s="173">
        <f t="shared" si="19"/>
        <v>44753</v>
      </c>
      <c r="I61" s="175"/>
      <c r="J61" s="81">
        <f t="shared" si="0"/>
        <v>0</v>
      </c>
      <c r="K61" s="80"/>
      <c r="L61" s="186">
        <f t="shared" si="18"/>
        <v>13189.627129310344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26379.254258620687</v>
      </c>
      <c r="H64" s="184"/>
      <c r="I64" s="175"/>
      <c r="J64" s="81">
        <f t="shared" si="0"/>
        <v>0</v>
      </c>
      <c r="K64" s="80"/>
      <c r="L64" s="186">
        <f t="shared" si="18"/>
        <v>26379.254258620687</v>
      </c>
      <c r="M64" s="130"/>
      <c r="N64" s="87">
        <v>1</v>
      </c>
      <c r="O64" s="122" t="s">
        <v>169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22206.649999999998</v>
      </c>
      <c r="G65" s="22"/>
      <c r="L65" s="132"/>
      <c r="M65" s="131"/>
      <c r="N65" s="87">
        <v>2</v>
      </c>
      <c r="O65" s="122" t="s">
        <v>169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169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169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21972.44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169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22162.12</v>
      </c>
      <c r="C69" s="59"/>
      <c r="F69" s="87" t="s">
        <v>129</v>
      </c>
      <c r="G69" s="22"/>
      <c r="H69" s="89"/>
      <c r="I69" s="136"/>
      <c r="J69" s="136"/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-189.68000000000029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892</v>
      </c>
      <c r="Q70" s="228">
        <v>2002</v>
      </c>
      <c r="R70" s="255">
        <v>3083.98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23.129849999999998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3060.8501500000002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44.529999999998836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>
        <v>893</v>
      </c>
      <c r="Q71" s="228">
        <v>2002</v>
      </c>
      <c r="R71" s="225">
        <v>1158.95</v>
      </c>
      <c r="S71" s="228"/>
      <c r="T71" s="228"/>
      <c r="U71" s="189">
        <f t="shared" si="34"/>
        <v>0</v>
      </c>
      <c r="V71" s="189">
        <f t="shared" si="35"/>
        <v>8.6921250000000008</v>
      </c>
      <c r="W71" s="189">
        <f t="shared" si="36"/>
        <v>0</v>
      </c>
      <c r="X71" s="189">
        <f t="shared" si="37"/>
        <v>0</v>
      </c>
      <c r="Y71" s="189">
        <f t="shared" si="38"/>
        <v>1150.257875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185</v>
      </c>
      <c r="P72" s="228">
        <v>808</v>
      </c>
      <c r="Q72" s="228">
        <v>2002</v>
      </c>
      <c r="R72" s="255">
        <v>1814.17</v>
      </c>
      <c r="S72" s="228"/>
      <c r="T72" s="228">
        <v>154.30000000000001</v>
      </c>
      <c r="U72" s="189">
        <f t="shared" si="34"/>
        <v>6.6508620689655196</v>
      </c>
      <c r="V72" s="189">
        <f t="shared" si="35"/>
        <v>13.606275</v>
      </c>
      <c r="W72" s="189">
        <f t="shared" si="36"/>
        <v>0</v>
      </c>
      <c r="X72" s="189">
        <f t="shared" si="37"/>
        <v>3.8575000000000004</v>
      </c>
      <c r="Y72" s="189">
        <f t="shared" si="38"/>
        <v>1800.563725</v>
      </c>
      <c r="Z72" s="189">
        <f t="shared" si="38"/>
        <v>0</v>
      </c>
      <c r="AA72" s="189">
        <f t="shared" si="39"/>
        <v>143.7916379310345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/>
      <c r="Q73" s="228"/>
      <c r="R73" s="222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B75" s="85">
        <v>44.59</v>
      </c>
      <c r="N75" s="303" t="s">
        <v>128</v>
      </c>
      <c r="O75" s="303"/>
      <c r="P75" s="304"/>
      <c r="Q75" s="304"/>
      <c r="R75" s="192">
        <f>SUM(R70:R74)</f>
        <v>6057.1</v>
      </c>
      <c r="S75" s="192"/>
      <c r="T75" s="192">
        <f>SUM(T70:T74)</f>
        <v>154.30000000000001</v>
      </c>
      <c r="U75" s="192">
        <f>SUM(U70:U74)</f>
        <v>6.6508620689655196</v>
      </c>
      <c r="V75" s="192">
        <f t="shared" ref="V75:AA75" si="41">SUM(V70:V74)</f>
        <v>45.428249999999998</v>
      </c>
      <c r="W75" s="192">
        <f t="shared" si="41"/>
        <v>0</v>
      </c>
      <c r="X75" s="192">
        <f t="shared" si="41"/>
        <v>3.8575000000000004</v>
      </c>
      <c r="Y75" s="192">
        <f t="shared" si="41"/>
        <v>6011.6717500000004</v>
      </c>
      <c r="Z75" s="192">
        <f t="shared" si="41"/>
        <v>0</v>
      </c>
      <c r="AA75" s="193">
        <f t="shared" si="41"/>
        <v>143.7916379310345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361.22</v>
      </c>
      <c r="Q78" s="137">
        <v>9.01</v>
      </c>
      <c r="R78" s="82">
        <v>7.4999999999999997E-3</v>
      </c>
      <c r="S78" s="194">
        <f>+(P78+Q78)*R78</f>
        <v>2.7767249999999999</v>
      </c>
      <c r="T78" s="242">
        <f>+(P78+Q78)-S78</f>
        <v>367.45327500000002</v>
      </c>
      <c r="U78" s="211">
        <v>112.65</v>
      </c>
      <c r="V78" s="112"/>
      <c r="W78" s="113">
        <v>1.4999999999999999E-2</v>
      </c>
      <c r="X78" s="196">
        <f>+(U78+V78)*W78</f>
        <v>1.6897500000000001</v>
      </c>
      <c r="Y78" s="242">
        <f>+(U78+V78)-X78</f>
        <v>110.96025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1086.47</v>
      </c>
      <c r="N79" s="87">
        <v>2</v>
      </c>
      <c r="O79" s="87" t="s">
        <v>112</v>
      </c>
      <c r="P79" s="137">
        <v>36.4</v>
      </c>
      <c r="Q79" s="137"/>
      <c r="R79" s="82">
        <v>7.4999999999999997E-3</v>
      </c>
      <c r="S79" s="194">
        <f t="shared" ref="S79:S97" si="43">+(P79+Q79)*R79</f>
        <v>0.27299999999999996</v>
      </c>
      <c r="T79" s="242">
        <f t="shared" ref="T79:T97" si="44">+(P79+Q79)-S79</f>
        <v>36.126999999999995</v>
      </c>
      <c r="U79" s="211">
        <v>86.32</v>
      </c>
      <c r="V79" s="112"/>
      <c r="W79" s="113">
        <v>1.4999999999999999E-2</v>
      </c>
      <c r="X79" s="196">
        <f t="shared" ref="X79:X97" si="45">+(U79+V79)*W79</f>
        <v>1.2948</v>
      </c>
      <c r="Y79" s="242">
        <f t="shared" ref="Y79:Y97" si="46">+(U79+V79)-X79</f>
        <v>85.025199999999998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8" customHeight="1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260.81</v>
      </c>
      <c r="Q80" s="137">
        <v>148.65</v>
      </c>
      <c r="R80" s="82">
        <v>7.4999999999999997E-3</v>
      </c>
      <c r="S80" s="194">
        <f t="shared" si="43"/>
        <v>3.0709500000000003</v>
      </c>
      <c r="T80" s="213">
        <f t="shared" si="44"/>
        <v>406.38905000000005</v>
      </c>
      <c r="U80" s="211">
        <v>25.13</v>
      </c>
      <c r="V80" s="112"/>
      <c r="W80" s="113">
        <v>1.4999999999999999E-2</v>
      </c>
      <c r="X80" s="196">
        <f t="shared" si="45"/>
        <v>0.37694999999999995</v>
      </c>
      <c r="Y80" s="213">
        <f t="shared" si="46"/>
        <v>24.753049999999998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1086.47</v>
      </c>
      <c r="N81" s="87">
        <v>4</v>
      </c>
      <c r="O81" s="87" t="s">
        <v>112</v>
      </c>
      <c r="P81" s="137">
        <v>156.57</v>
      </c>
      <c r="Q81" s="137">
        <v>55.01</v>
      </c>
      <c r="R81" s="82">
        <v>7.4999999999999997E-3</v>
      </c>
      <c r="S81" s="194">
        <f t="shared" si="43"/>
        <v>1.5868499999999999</v>
      </c>
      <c r="T81" s="242">
        <f t="shared" si="44"/>
        <v>209.99314999999999</v>
      </c>
      <c r="U81" s="211">
        <v>63.14</v>
      </c>
      <c r="V81" s="112"/>
      <c r="W81" s="113">
        <v>1.4999999999999999E-2</v>
      </c>
      <c r="X81" s="196">
        <f t="shared" si="45"/>
        <v>0.94709999999999994</v>
      </c>
      <c r="Y81" s="242">
        <f t="shared" si="46"/>
        <v>62.192900000000002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67.010000000000005</v>
      </c>
      <c r="Q82" s="137"/>
      <c r="R82" s="82">
        <v>7.4999999999999997E-3</v>
      </c>
      <c r="S82" s="194">
        <f t="shared" si="43"/>
        <v>0.50257499999999999</v>
      </c>
      <c r="T82" s="242">
        <f t="shared" si="44"/>
        <v>66.507425000000012</v>
      </c>
      <c r="U82" s="211">
        <v>74.95</v>
      </c>
      <c r="V82" s="112"/>
      <c r="W82" s="113">
        <v>1.4999999999999999E-2</v>
      </c>
      <c r="X82" s="196">
        <f t="shared" si="45"/>
        <v>1.12425</v>
      </c>
      <c r="Y82" s="242">
        <f t="shared" si="46"/>
        <v>73.825749999999999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882.01</v>
      </c>
      <c r="Q98" s="195">
        <f>SUM(Q78:Q97)</f>
        <v>212.67</v>
      </c>
      <c r="R98" s="111"/>
      <c r="S98" s="195">
        <f>SUM(S78:S97)</f>
        <v>8.2101000000000006</v>
      </c>
      <c r="T98" s="195">
        <f>SUM(T78:T97)</f>
        <v>1086.4699000000001</v>
      </c>
      <c r="U98" s="114">
        <f>SUM(U78:U97)</f>
        <v>362.19</v>
      </c>
      <c r="V98" s="114">
        <f>SUM(V78:V97)</f>
        <v>0</v>
      </c>
      <c r="W98" s="112"/>
      <c r="X98" s="197">
        <f>SUM(X78:X97)</f>
        <v>5.4328500000000002</v>
      </c>
      <c r="Y98" s="197">
        <f>SUM(Y78:Y97)</f>
        <v>356.75715000000002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P102" s="84"/>
    </row>
    <row r="103" spans="14:30" x14ac:dyDescent="0.25">
      <c r="N103" s="85"/>
      <c r="P103" s="215">
        <f>P78+Q78+U78</f>
        <v>482.88</v>
      </c>
    </row>
    <row r="104" spans="14:30" x14ac:dyDescent="0.25">
      <c r="N104" s="85"/>
      <c r="P104" s="215">
        <f>P79+Q79+U79</f>
        <v>122.72</v>
      </c>
    </row>
    <row r="105" spans="14:30" x14ac:dyDescent="0.25">
      <c r="N105" s="85"/>
      <c r="P105" s="215">
        <f>P80+Q80+U80</f>
        <v>434.59000000000003</v>
      </c>
    </row>
    <row r="106" spans="14:30" x14ac:dyDescent="0.25">
      <c r="N106" s="85"/>
      <c r="P106" s="215">
        <f>P81+U81+Q81</f>
        <v>274.71999999999997</v>
      </c>
    </row>
    <row r="107" spans="14:30" x14ac:dyDescent="0.25">
      <c r="N107" s="85"/>
      <c r="P107" s="215">
        <f>P82+Q82+U82</f>
        <v>141.96</v>
      </c>
    </row>
    <row r="108" spans="14:30" x14ac:dyDescent="0.25">
      <c r="N108" s="85"/>
      <c r="P108" s="212">
        <f>P83+Q83+U83</f>
        <v>0</v>
      </c>
    </row>
    <row r="109" spans="14:30" x14ac:dyDescent="0.25">
      <c r="N109" s="85"/>
      <c r="P109" s="85">
        <f>P84+Q84+U84</f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N8" zoomScale="90" zoomScaleNormal="90" workbookViewId="0">
      <selection activeCell="Y49" sqref="Y4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1.140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190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44753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5.61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1518</v>
      </c>
      <c r="C12" s="15"/>
      <c r="D12" s="56"/>
      <c r="E12" s="16"/>
      <c r="F12" s="56"/>
      <c r="G12" s="56"/>
      <c r="H12" s="17"/>
      <c r="I12" s="83">
        <v>1518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200</v>
      </c>
      <c r="Q12" s="158">
        <v>6</v>
      </c>
      <c r="R12" s="159">
        <v>1588.39</v>
      </c>
      <c r="S12" s="160"/>
      <c r="T12" s="160">
        <v>16.21</v>
      </c>
      <c r="U12" s="189">
        <f>((T12/U$10)*U$9)</f>
        <v>0.69870689655172424</v>
      </c>
      <c r="V12" s="189">
        <f>R12*V$10</f>
        <v>11.912925</v>
      </c>
      <c r="W12" s="189">
        <f>+S12*V$10</f>
        <v>0</v>
      </c>
      <c r="X12" s="189">
        <f>+T12*X$10</f>
        <v>0.40525000000000005</v>
      </c>
      <c r="Y12" s="189">
        <f>R12-V12</f>
        <v>1576.477075</v>
      </c>
      <c r="Z12" s="189">
        <f>S12-W12</f>
        <v>0</v>
      </c>
      <c r="AA12" s="189">
        <f>T12-U12-X12</f>
        <v>15.106043103448275</v>
      </c>
      <c r="AB12" s="156"/>
    </row>
    <row r="13" spans="1:28" ht="15.75" x14ac:dyDescent="0.25">
      <c r="A13" s="86" t="s">
        <v>76</v>
      </c>
      <c r="B13" s="89">
        <v>857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857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199</v>
      </c>
      <c r="Q13" s="158">
        <v>6</v>
      </c>
      <c r="R13" s="159">
        <v>784.43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5.8832249999999995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778.54677499999991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4807.7700000000004</v>
      </c>
      <c r="C14" s="15"/>
      <c r="D14" s="56"/>
      <c r="E14" s="16"/>
      <c r="F14" s="56"/>
      <c r="G14" s="56"/>
      <c r="H14" s="17"/>
      <c r="I14" s="83"/>
      <c r="J14" s="81">
        <f t="shared" si="0"/>
        <v>4807.7700000000004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8"/>
      <c r="Q15" s="158"/>
      <c r="R15" s="159"/>
      <c r="S15" s="160"/>
      <c r="T15" s="160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186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5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857</v>
      </c>
      <c r="C19" s="95"/>
      <c r="D19" s="94"/>
      <c r="E19" s="96"/>
      <c r="F19" s="94"/>
      <c r="G19" s="94"/>
      <c r="H19" s="98"/>
      <c r="I19" s="99"/>
      <c r="J19" s="185">
        <f>B19-I19</f>
        <v>857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3"/>
      <c r="Q19" s="153"/>
      <c r="R19" s="154"/>
      <c r="S19" s="155"/>
      <c r="T19" s="157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4807.7700000000004</v>
      </c>
      <c r="C20" s="95"/>
      <c r="D20" s="94"/>
      <c r="E20" s="96"/>
      <c r="F20" s="94"/>
      <c r="G20" s="94"/>
      <c r="H20" s="98"/>
      <c r="I20" s="99">
        <v>4799.2</v>
      </c>
      <c r="J20" s="185">
        <f t="shared" si="0"/>
        <v>8.5700000000006185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3"/>
      <c r="Q20" s="153"/>
      <c r="R20" s="154"/>
      <c r="S20" s="155"/>
      <c r="T20" s="157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2372.8200000000002</v>
      </c>
      <c r="S42" s="190">
        <f t="shared" si="8"/>
        <v>0</v>
      </c>
      <c r="T42" s="190">
        <f t="shared" si="8"/>
        <v>16.21</v>
      </c>
      <c r="U42" s="190">
        <f t="shared" si="8"/>
        <v>0.69870689655172424</v>
      </c>
      <c r="V42" s="190">
        <f t="shared" si="8"/>
        <v>17.796149999999997</v>
      </c>
      <c r="W42" s="190">
        <f t="shared" si="8"/>
        <v>0</v>
      </c>
      <c r="X42" s="190">
        <f t="shared" si="8"/>
        <v>0.40525000000000005</v>
      </c>
      <c r="Y42" s="190">
        <f t="shared" si="8"/>
        <v>2355.02385</v>
      </c>
      <c r="Z42" s="190">
        <f t="shared" si="8"/>
        <v>0</v>
      </c>
      <c r="AA42" s="190">
        <f t="shared" si="8"/>
        <v>15.106043103448275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2372.8200000000002</v>
      </c>
      <c r="C46" s="116">
        <v>7.4999999999999997E-3</v>
      </c>
      <c r="D46" s="117">
        <f>B46*C46</f>
        <v>17.796150000000001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2355.02385</v>
      </c>
      <c r="H46" s="173">
        <f>B$6+1</f>
        <v>44754</v>
      </c>
      <c r="I46" s="174"/>
      <c r="J46" s="81">
        <f t="shared" si="0"/>
        <v>2372.8200000000002</v>
      </c>
      <c r="K46" s="80">
        <v>2355.02</v>
      </c>
      <c r="L46" s="186">
        <f t="shared" ref="L46:L64" si="17">+G46-K46</f>
        <v>3.8500000000567525E-3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4004.06</v>
      </c>
      <c r="C49" s="116">
        <v>7.4999999999999997E-3</v>
      </c>
      <c r="D49" s="117">
        <f t="shared" si="18"/>
        <v>30.030449999999998</v>
      </c>
      <c r="E49" s="172">
        <v>0</v>
      </c>
      <c r="F49" s="117">
        <f t="shared" si="15"/>
        <v>0</v>
      </c>
      <c r="G49" s="117">
        <f t="shared" si="16"/>
        <v>3974.0295499999997</v>
      </c>
      <c r="H49" s="173">
        <f t="shared" si="19"/>
        <v>44754</v>
      </c>
      <c r="I49" s="176"/>
      <c r="J49" s="81">
        <f t="shared" si="0"/>
        <v>4004.06</v>
      </c>
      <c r="K49" s="80">
        <v>3974.03</v>
      </c>
      <c r="L49" s="186">
        <f t="shared" si="17"/>
        <v>-4.5000000045547495E-4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485.17999999999995</v>
      </c>
      <c r="C50" s="116">
        <v>7.4999999999999997E-3</v>
      </c>
      <c r="D50" s="117">
        <f t="shared" si="18"/>
        <v>3.6388499999999997</v>
      </c>
      <c r="E50" s="172">
        <v>0</v>
      </c>
      <c r="F50" s="117">
        <f t="shared" si="15"/>
        <v>0</v>
      </c>
      <c r="G50" s="117">
        <f t="shared" si="16"/>
        <v>481.54114999999996</v>
      </c>
      <c r="H50" s="173">
        <f t="shared" si="19"/>
        <v>44754</v>
      </c>
      <c r="I50" s="175"/>
      <c r="J50" s="81">
        <f t="shared" si="0"/>
        <v>485.17999999999995</v>
      </c>
      <c r="K50" s="80">
        <v>481.54</v>
      </c>
      <c r="L50" s="186">
        <f t="shared" si="17"/>
        <v>1.1499999999387001E-3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242.89999999999998</v>
      </c>
      <c r="C51" s="116">
        <v>1.4999999999999999E-2</v>
      </c>
      <c r="D51" s="117">
        <f>+B51*C51</f>
        <v>3.6434999999999995</v>
      </c>
      <c r="E51" s="172">
        <v>0</v>
      </c>
      <c r="F51" s="117">
        <f>D51*E51</f>
        <v>0</v>
      </c>
      <c r="G51" s="117">
        <f t="shared" si="16"/>
        <v>239.25649999999999</v>
      </c>
      <c r="H51" s="173">
        <f t="shared" si="19"/>
        <v>44754</v>
      </c>
      <c r="I51" s="175"/>
      <c r="J51" s="81">
        <f t="shared" si="0"/>
        <v>242.89999999999998</v>
      </c>
      <c r="K51" s="80">
        <v>239.26</v>
      </c>
      <c r="L51" s="186">
        <f t="shared" si="17"/>
        <v>-3.5000000000025011E-3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16.21</v>
      </c>
      <c r="C52" s="116">
        <v>2.5000000000000001E-2</v>
      </c>
      <c r="D52" s="117">
        <f>B52*C52</f>
        <v>0.40525000000000005</v>
      </c>
      <c r="E52" s="172">
        <v>0.05</v>
      </c>
      <c r="F52" s="117">
        <f>(B52/E$10)*E52</f>
        <v>0.69870689655172424</v>
      </c>
      <c r="G52" s="117">
        <f>B52-D52-F52</f>
        <v>15.106043103448275</v>
      </c>
      <c r="H52" s="188">
        <f t="shared" si="19"/>
        <v>44754</v>
      </c>
      <c r="I52" s="176">
        <v>16.21</v>
      </c>
      <c r="J52" s="81">
        <f t="shared" si="0"/>
        <v>0</v>
      </c>
      <c r="K52" s="80">
        <v>15.11</v>
      </c>
      <c r="L52" s="186">
        <f t="shared" si="17"/>
        <v>-3.9568965517240429E-3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179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55.514199999999995</v>
      </c>
      <c r="E61" s="177"/>
      <c r="F61" s="57">
        <f>SUM(F46:F58)</f>
        <v>0.69870689655172424</v>
      </c>
      <c r="G61" s="57">
        <f>SUM(G46:G58)</f>
        <v>7064.9570931034486</v>
      </c>
      <c r="H61" s="173">
        <f t="shared" si="19"/>
        <v>44754</v>
      </c>
      <c r="I61" s="175"/>
      <c r="J61" s="81">
        <f t="shared" si="0"/>
        <v>0</v>
      </c>
      <c r="K61" s="80"/>
      <c r="L61" s="186">
        <f t="shared" si="17"/>
        <v>7064.9570931034486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14129.914186206897</v>
      </c>
      <c r="H64" s="184"/>
      <c r="I64" s="175"/>
      <c r="J64" s="81">
        <f t="shared" si="0"/>
        <v>0</v>
      </c>
      <c r="K64" s="80"/>
      <c r="L64" s="186">
        <f t="shared" si="17"/>
        <v>14129.914186206897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13446.939999999999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226</v>
      </c>
      <c r="B68" s="77">
        <v>13290.69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225</v>
      </c>
      <c r="B69" s="62">
        <v>13419.17</v>
      </c>
      <c r="C69" s="59"/>
      <c r="F69" s="87" t="s">
        <v>129</v>
      </c>
      <c r="G69" s="22"/>
      <c r="H69" s="89"/>
      <c r="I69" s="136"/>
      <c r="J69" s="136"/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-128.47999999999956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894</v>
      </c>
      <c r="Q70" s="228">
        <v>2002</v>
      </c>
      <c r="R70" s="255">
        <v>2092.94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15.697049999999999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2077.2429499999998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27.769999999998618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228">
        <v>809</v>
      </c>
      <c r="Q72" s="228">
        <v>2002</v>
      </c>
      <c r="R72" s="255">
        <v>1105.8900000000001</v>
      </c>
      <c r="S72" s="228"/>
      <c r="T72" s="228"/>
      <c r="U72" s="189">
        <f t="shared" si="34"/>
        <v>0</v>
      </c>
      <c r="V72" s="189">
        <f t="shared" si="35"/>
        <v>8.294175000000001</v>
      </c>
      <c r="W72" s="189">
        <f t="shared" si="36"/>
        <v>0</v>
      </c>
      <c r="X72" s="189">
        <f t="shared" si="37"/>
        <v>0</v>
      </c>
      <c r="Y72" s="189">
        <f t="shared" si="38"/>
        <v>1097.5958250000001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189</v>
      </c>
      <c r="P73" s="228">
        <v>810</v>
      </c>
      <c r="Q73" s="228">
        <v>2002</v>
      </c>
      <c r="R73" s="255">
        <v>805.23</v>
      </c>
      <c r="S73" s="228"/>
      <c r="T73" s="222"/>
      <c r="U73" s="189">
        <f t="shared" si="34"/>
        <v>0</v>
      </c>
      <c r="V73" s="189">
        <f t="shared" si="35"/>
        <v>6.0392250000000001</v>
      </c>
      <c r="W73" s="189">
        <f t="shared" si="36"/>
        <v>0</v>
      </c>
      <c r="X73" s="189">
        <f t="shared" si="37"/>
        <v>0</v>
      </c>
      <c r="Y73" s="189">
        <f t="shared" si="38"/>
        <v>799.19077500000003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189</v>
      </c>
      <c r="P74" s="228"/>
      <c r="Q74" s="228"/>
      <c r="R74" s="222"/>
      <c r="S74" s="228"/>
      <c r="T74" s="222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4004.06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30.030450000000002</v>
      </c>
      <c r="W75" s="192">
        <f t="shared" si="41"/>
        <v>0</v>
      </c>
      <c r="X75" s="192">
        <f t="shared" si="41"/>
        <v>0</v>
      </c>
      <c r="Y75" s="192">
        <f t="shared" si="41"/>
        <v>3974.0295500000002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v>56.33</v>
      </c>
      <c r="R78" s="82">
        <v>7.4999999999999997E-3</v>
      </c>
      <c r="S78" s="194">
        <f>+(P78+Q78)*R78</f>
        <v>0.42247499999999999</v>
      </c>
      <c r="T78" s="242">
        <f>+(P78+Q78)-S78</f>
        <v>55.907525</v>
      </c>
      <c r="U78" s="211">
        <v>39.979999999999997</v>
      </c>
      <c r="V78" s="112"/>
      <c r="W78" s="113">
        <v>1.4999999999999999E-2</v>
      </c>
      <c r="X78" s="196">
        <f>+(U78+V78)*W78</f>
        <v>0.5996999999999999</v>
      </c>
      <c r="Y78" s="242">
        <f>+(U78+V78)-X78</f>
        <v>39.380299999999998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127.63</v>
      </c>
      <c r="Q79" s="137">
        <v>65.31</v>
      </c>
      <c r="R79" s="82">
        <v>7.4999999999999997E-3</v>
      </c>
      <c r="S79" s="194">
        <f t="shared" ref="S79:S97" si="43">+(P79+Q79)*R79</f>
        <v>1.4470499999999999</v>
      </c>
      <c r="T79" s="242">
        <f t="shared" ref="T79:T97" si="44">+(P79+Q79)-S79</f>
        <v>191.49295000000001</v>
      </c>
      <c r="U79" s="211">
        <v>130.94999999999999</v>
      </c>
      <c r="V79" s="112"/>
      <c r="W79" s="113">
        <v>1.4999999999999999E-2</v>
      </c>
      <c r="X79" s="196">
        <f t="shared" ref="X79:X97" si="45">+(U79+V79)*W79</f>
        <v>1.9642499999999998</v>
      </c>
      <c r="Y79" s="242">
        <f t="shared" ref="Y79:Y97" si="46">+(U79+V79)-X79</f>
        <v>128.98575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120.51</v>
      </c>
      <c r="Q80" s="137">
        <v>29.65</v>
      </c>
      <c r="R80" s="82">
        <v>7.4999999999999997E-3</v>
      </c>
      <c r="S80" s="194">
        <f t="shared" si="43"/>
        <v>1.1261999999999999</v>
      </c>
      <c r="T80" s="213">
        <f t="shared" si="44"/>
        <v>149.03379999999999</v>
      </c>
      <c r="U80" s="211">
        <v>27.46</v>
      </c>
      <c r="V80" s="112"/>
      <c r="W80" s="113">
        <v>1.4999999999999999E-2</v>
      </c>
      <c r="X80" s="196">
        <f t="shared" si="45"/>
        <v>0.41189999999999999</v>
      </c>
      <c r="Y80" s="242">
        <f t="shared" si="46"/>
        <v>27.048100000000002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71.44</v>
      </c>
      <c r="Q81" s="137">
        <v>14.31</v>
      </c>
      <c r="R81" s="82">
        <v>7.4999999999999997E-3</v>
      </c>
      <c r="S81" s="194">
        <f t="shared" si="43"/>
        <v>0.64312499999999995</v>
      </c>
      <c r="T81" s="213">
        <f t="shared" si="44"/>
        <v>85.106875000000002</v>
      </c>
      <c r="U81" s="211">
        <v>44.51</v>
      </c>
      <c r="V81" s="112"/>
      <c r="W81" s="113">
        <v>1.4999999999999999E-2</v>
      </c>
      <c r="X81" s="196">
        <f t="shared" si="45"/>
        <v>0.66764999999999997</v>
      </c>
      <c r="Y81" s="242">
        <f t="shared" si="46"/>
        <v>43.842349999999996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20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319.58</v>
      </c>
      <c r="Q98" s="195">
        <f>SUM(Q78:Q97)</f>
        <v>165.6</v>
      </c>
      <c r="R98" s="111"/>
      <c r="S98" s="195">
        <f>SUM(S78:S97)</f>
        <v>3.6388499999999997</v>
      </c>
      <c r="T98" s="195">
        <f>SUM(T78:T97)</f>
        <v>481.54114999999996</v>
      </c>
      <c r="U98" s="114">
        <f>SUM(U78:U97)</f>
        <v>242.89999999999998</v>
      </c>
      <c r="V98" s="114">
        <f>SUM(V78:V97)</f>
        <v>0</v>
      </c>
      <c r="W98" s="112"/>
      <c r="X98" s="197">
        <f>SUM(X78:X97)</f>
        <v>3.6435</v>
      </c>
      <c r="Y98" s="197">
        <f>SUM(Y78:Y97)</f>
        <v>239.25650000000002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96.31</v>
      </c>
    </row>
    <row r="103" spans="14:30" x14ac:dyDescent="0.25">
      <c r="N103" s="85"/>
      <c r="Q103" s="215">
        <f>P79+Q79+U79</f>
        <v>323.89</v>
      </c>
    </row>
    <row r="104" spans="14:30" x14ac:dyDescent="0.25">
      <c r="N104" s="85"/>
      <c r="Q104" s="215">
        <f>P80+U80+Q80</f>
        <v>177.62</v>
      </c>
    </row>
    <row r="105" spans="14:30" x14ac:dyDescent="0.25">
      <c r="N105" s="85"/>
      <c r="Q105" s="235">
        <f>P81+Q81+U81</f>
        <v>130.26</v>
      </c>
    </row>
    <row r="106" spans="14:30" x14ac:dyDescent="0.25">
      <c r="N106" s="85"/>
      <c r="Q106" s="235">
        <f>P82+Q82+U82</f>
        <v>0</v>
      </c>
    </row>
    <row r="107" spans="14:30" x14ac:dyDescent="0.25">
      <c r="N107" s="85"/>
      <c r="Q107" s="212">
        <f>P83+Q83+U83</f>
        <v>0</v>
      </c>
    </row>
    <row r="108" spans="14:30" x14ac:dyDescent="0.25">
      <c r="N108" s="85"/>
      <c r="Q108" s="212">
        <f>P84+Q84+U84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278"/>
      <c r="B1" s="282" t="s">
        <v>12</v>
      </c>
      <c r="C1" s="283"/>
      <c r="D1" s="283"/>
      <c r="E1" s="283"/>
      <c r="F1" s="283"/>
      <c r="G1" s="283"/>
      <c r="H1" s="283"/>
      <c r="I1" s="284"/>
    </row>
    <row r="2" spans="1:9" s="5" customFormat="1" ht="16.5" customHeight="1" x14ac:dyDescent="0.25">
      <c r="A2" s="278"/>
      <c r="B2" s="285" t="s">
        <v>148</v>
      </c>
      <c r="C2" s="286"/>
      <c r="D2" s="286"/>
      <c r="E2" s="286"/>
      <c r="F2" s="286"/>
      <c r="G2" s="286"/>
      <c r="H2" s="286"/>
      <c r="I2" s="287"/>
    </row>
    <row r="3" spans="1:9" s="5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</row>
    <row r="4" spans="1:9" x14ac:dyDescent="0.25">
      <c r="B4" s="281"/>
      <c r="C4" s="281"/>
      <c r="D4" s="281"/>
      <c r="E4" s="281"/>
      <c r="F4" s="281"/>
      <c r="G4" s="281"/>
    </row>
    <row r="6" spans="1:9" ht="15.75" thickBot="1" x14ac:dyDescent="0.3"/>
    <row r="7" spans="1:9" x14ac:dyDescent="0.25">
      <c r="E7" s="279" t="s">
        <v>14</v>
      </c>
      <c r="F7" s="280"/>
    </row>
    <row r="8" spans="1:9" ht="27" customHeight="1" x14ac:dyDescent="0.25">
      <c r="A8" s="45" t="s">
        <v>33</v>
      </c>
      <c r="B8" s="45" t="s">
        <v>28</v>
      </c>
      <c r="C8" s="45" t="s">
        <v>146</v>
      </c>
      <c r="D8" s="52" t="s">
        <v>27</v>
      </c>
      <c r="E8" s="49" t="s">
        <v>28</v>
      </c>
      <c r="F8" s="50" t="s">
        <v>147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1'!G$46</f>
        <v>1162.0090749999999</v>
      </c>
      <c r="C9" s="199">
        <f>+'DIA 1'!G$52</f>
        <v>104.41900862068965</v>
      </c>
      <c r="D9" s="203">
        <f>B9+C9</f>
        <v>1266.4280836206897</v>
      </c>
      <c r="E9" s="204">
        <f>+'DIA 1'!K$46</f>
        <v>1162.01</v>
      </c>
      <c r="F9" s="205">
        <f>+'DIA 1'!K$52</f>
        <v>104.42</v>
      </c>
      <c r="G9" s="206">
        <f>B9-E9</f>
        <v>-9.250000000520231E-4</v>
      </c>
      <c r="H9" s="206">
        <f>C9-F9</f>
        <v>-9.9137931034931626E-4</v>
      </c>
    </row>
    <row r="10" spans="1:9" x14ac:dyDescent="0.25">
      <c r="A10" s="46">
        <f>'DIA 2'!B$6</f>
        <v>44744</v>
      </c>
      <c r="B10" s="199">
        <f>'DIA 2'!G$46</f>
        <v>2007.84735</v>
      </c>
      <c r="C10" s="199">
        <f>'DIA 2'!G$52</f>
        <v>101.69787068965516</v>
      </c>
      <c r="D10" s="203">
        <f t="shared" ref="D10:D39" si="0">B10+C10</f>
        <v>2109.5452206896553</v>
      </c>
      <c r="E10" s="199">
        <f>'DIA 2'!K$46</f>
        <v>2007.85</v>
      </c>
      <c r="F10" s="199">
        <f>'DIA 2'!K$52</f>
        <v>101.7</v>
      </c>
      <c r="G10" s="206">
        <f t="shared" ref="G10:G39" si="1">B10-E10</f>
        <v>-2.6499999999032298E-3</v>
      </c>
      <c r="H10" s="206">
        <f t="shared" ref="H10:H39" si="2">C10-F10</f>
        <v>-2.1293103448414286E-3</v>
      </c>
    </row>
    <row r="11" spans="1:9" x14ac:dyDescent="0.25">
      <c r="A11" s="46">
        <f>'DIA 3'!B$6</f>
        <v>44745</v>
      </c>
      <c r="B11" s="199">
        <f>'DIA 3'!G$46</f>
        <v>4273.8935750000001</v>
      </c>
      <c r="C11" s="199">
        <f>'DIA 3'!G$52</f>
        <v>180.54563793103449</v>
      </c>
      <c r="D11" s="203">
        <f t="shared" si="0"/>
        <v>4454.4392129310345</v>
      </c>
      <c r="E11" s="199">
        <f>'DIA 3'!K$46</f>
        <v>4273.8900000000003</v>
      </c>
      <c r="F11" s="199">
        <f>'DIA 3'!K$52</f>
        <v>180.55</v>
      </c>
      <c r="G11" s="206">
        <f t="shared" si="1"/>
        <v>3.5749999997278792E-3</v>
      </c>
      <c r="H11" s="206">
        <f t="shared" si="2"/>
        <v>-4.3620689655199385E-3</v>
      </c>
    </row>
    <row r="12" spans="1:9" x14ac:dyDescent="0.25">
      <c r="A12" s="46">
        <f>'DIA 4'!B$6</f>
        <v>44746</v>
      </c>
      <c r="B12" s="199">
        <f>'DIA 4'!G$46</f>
        <v>2790.7511999999997</v>
      </c>
      <c r="C12" s="199">
        <f>'DIA 4'!G$52</f>
        <v>27.956896551724139</v>
      </c>
      <c r="D12" s="203">
        <f t="shared" si="0"/>
        <v>2818.7080965517239</v>
      </c>
      <c r="E12" s="199">
        <f>'DIA 4'!K$46</f>
        <v>2790.75</v>
      </c>
      <c r="F12" s="199">
        <f>'DIA 4'!K$52</f>
        <v>27.96</v>
      </c>
      <c r="G12" s="206">
        <f t="shared" si="1"/>
        <v>1.1999999996987754E-3</v>
      </c>
      <c r="H12" s="206">
        <f t="shared" si="2"/>
        <v>-3.1034482758620641E-3</v>
      </c>
    </row>
    <row r="13" spans="1:9" x14ac:dyDescent="0.25">
      <c r="A13" s="46">
        <f>'DIA 5'!B$6</f>
        <v>44747</v>
      </c>
      <c r="B13" s="199">
        <f>'DIA 5'!G$46</f>
        <v>4005.561275</v>
      </c>
      <c r="C13" s="199">
        <f>'DIA 5'!G$52</f>
        <v>128.17305172413791</v>
      </c>
      <c r="D13" s="203">
        <f t="shared" si="0"/>
        <v>4133.7343267241376</v>
      </c>
      <c r="E13" s="199">
        <f>'DIA 5'!K$46</f>
        <v>4005.56</v>
      </c>
      <c r="F13" s="199">
        <f>'DIA 5'!K$52</f>
        <v>128.16999999999999</v>
      </c>
      <c r="G13" s="206">
        <f t="shared" si="1"/>
        <v>1.2750000000778527E-3</v>
      </c>
      <c r="H13" s="206">
        <f t="shared" si="2"/>
        <v>3.0517241379186544E-3</v>
      </c>
    </row>
    <row r="14" spans="1:9" x14ac:dyDescent="0.25">
      <c r="A14" s="46">
        <f>'DIA 6'!B$6</f>
        <v>44748</v>
      </c>
      <c r="B14" s="199">
        <f>'DIA 6'!G$46</f>
        <v>3141.3121250000004</v>
      </c>
      <c r="C14" s="199">
        <f>'DIA 6'!G$52</f>
        <v>12.123974137931034</v>
      </c>
      <c r="D14" s="203">
        <f t="shared" si="0"/>
        <v>3153.4360991379313</v>
      </c>
      <c r="E14" s="199">
        <f>'DIA 6'!K$46</f>
        <v>3141.31</v>
      </c>
      <c r="F14" s="199">
        <f>'DIA 6'!K$52</f>
        <v>12.12</v>
      </c>
      <c r="G14" s="206">
        <f t="shared" si="1"/>
        <v>2.1250000004329195E-3</v>
      </c>
      <c r="H14" s="206">
        <f t="shared" si="2"/>
        <v>3.97413793103496E-3</v>
      </c>
    </row>
    <row r="15" spans="1:9" x14ac:dyDescent="0.25">
      <c r="A15" s="46">
        <f>'DIA 7'!B$6</f>
        <v>44749</v>
      </c>
      <c r="B15" s="199">
        <f>'DIA 7'!G$46</f>
        <v>2882.9346</v>
      </c>
      <c r="C15" s="199">
        <f>'DIA 7'!G$52</f>
        <v>70.926646551724133</v>
      </c>
      <c r="D15" s="203">
        <f t="shared" si="0"/>
        <v>2953.861246551724</v>
      </c>
      <c r="E15" s="199">
        <f>'DIA 7'!K$46</f>
        <v>2882.93</v>
      </c>
      <c r="F15" s="199">
        <f>'DIA 7'!K$52</f>
        <v>70.930000000000007</v>
      </c>
      <c r="G15" s="206">
        <f t="shared" si="1"/>
        <v>4.6000000002095476E-3</v>
      </c>
      <c r="H15" s="206">
        <f t="shared" si="2"/>
        <v>-3.3534482758739159E-3</v>
      </c>
    </row>
    <row r="16" spans="1:9" x14ac:dyDescent="0.25">
      <c r="A16" s="46">
        <f>'DIA 8'!B$6</f>
        <v>44750</v>
      </c>
      <c r="B16" s="199">
        <f>'DIA 8'!G$46</f>
        <v>5722.4969499999997</v>
      </c>
      <c r="C16" s="199">
        <f>'DIA 8'!G$52</f>
        <v>0</v>
      </c>
      <c r="D16" s="203">
        <f t="shared" si="0"/>
        <v>5722.4969499999997</v>
      </c>
      <c r="E16" s="199">
        <f>'DIA 8'!K$46</f>
        <v>5722.5</v>
      </c>
      <c r="F16" s="199">
        <f>'DIA 8'!K$52</f>
        <v>0</v>
      </c>
      <c r="G16" s="206">
        <f t="shared" si="1"/>
        <v>-3.0500000002575689E-3</v>
      </c>
      <c r="H16" s="206">
        <f t="shared" si="2"/>
        <v>0</v>
      </c>
    </row>
    <row r="17" spans="1:8" x14ac:dyDescent="0.25">
      <c r="A17" s="46">
        <f>'DIA 9'!B$6</f>
        <v>44751</v>
      </c>
      <c r="B17" s="199">
        <f>'DIA 9'!G$46</f>
        <v>5808.4970749999993</v>
      </c>
      <c r="C17" s="199">
        <f>'DIA 9'!G$52</f>
        <v>58.867905172413792</v>
      </c>
      <c r="D17" s="203">
        <f t="shared" si="0"/>
        <v>5867.3649801724132</v>
      </c>
      <c r="E17" s="199">
        <f>'DIA 9'!K$46</f>
        <v>5808.5</v>
      </c>
      <c r="F17" s="199">
        <f>'DIA 9'!K$52</f>
        <v>58.87</v>
      </c>
      <c r="G17" s="206">
        <f t="shared" si="1"/>
        <v>-2.9250000006868504E-3</v>
      </c>
      <c r="H17" s="206">
        <f t="shared" si="2"/>
        <v>-2.0948275862053833E-3</v>
      </c>
    </row>
    <row r="18" spans="1:8" x14ac:dyDescent="0.25">
      <c r="A18" s="46">
        <f>'DIA 10'!B$6</f>
        <v>44752</v>
      </c>
      <c r="B18" s="199">
        <f>'DIA 10'!G$46</f>
        <v>5531.0437000000002</v>
      </c>
      <c r="C18" s="199">
        <f>'DIA 10'!G$52</f>
        <v>59.892991379310345</v>
      </c>
      <c r="D18" s="203">
        <f t="shared" si="0"/>
        <v>5590.9366913793101</v>
      </c>
      <c r="E18" s="199">
        <f>'DIA 10'!K$46</f>
        <v>5531.04</v>
      </c>
      <c r="F18" s="199">
        <f>'DIA 10'!K$52</f>
        <v>59.89</v>
      </c>
      <c r="G18" s="206">
        <f t="shared" si="1"/>
        <v>3.7000000002080924E-3</v>
      </c>
      <c r="H18" s="206">
        <f t="shared" si="2"/>
        <v>2.9913793103446551E-3</v>
      </c>
    </row>
    <row r="19" spans="1:8" x14ac:dyDescent="0.25">
      <c r="A19" s="46">
        <f>'DIA 11'!B$6</f>
        <v>44753</v>
      </c>
      <c r="B19" s="199">
        <f>'DIA 11'!G$46</f>
        <v>2355.02385</v>
      </c>
      <c r="C19" s="199">
        <f>'DIA 11'!G$52</f>
        <v>15.106043103448275</v>
      </c>
      <c r="D19" s="203">
        <f t="shared" si="0"/>
        <v>2370.1298931034485</v>
      </c>
      <c r="E19" s="199">
        <f>'DIA 11'!K$46</f>
        <v>2355.02</v>
      </c>
      <c r="F19" s="199">
        <f>'DIA 11'!K$52</f>
        <v>15.11</v>
      </c>
      <c r="G19" s="206">
        <f t="shared" si="1"/>
        <v>3.8500000000567525E-3</v>
      </c>
      <c r="H19" s="206">
        <f t="shared" si="2"/>
        <v>-3.9568965517240429E-3</v>
      </c>
    </row>
    <row r="20" spans="1:8" x14ac:dyDescent="0.25">
      <c r="A20" s="46">
        <f>'DIA 12'!B$6</f>
        <v>44754</v>
      </c>
      <c r="B20" s="199">
        <f>'DIA 12'!G$46</f>
        <v>3325.8079499999994</v>
      </c>
      <c r="C20" s="199">
        <f>'DIA 12'!G$52</f>
        <v>157.53711206896554</v>
      </c>
      <c r="D20" s="203">
        <f t="shared" si="0"/>
        <v>3483.345062068965</v>
      </c>
      <c r="E20" s="199">
        <f>'DIA 12'!K$46</f>
        <v>3325.81</v>
      </c>
      <c r="F20" s="199">
        <f>'DIA 12'!K$52</f>
        <v>157.54</v>
      </c>
      <c r="G20" s="206">
        <f t="shared" si="1"/>
        <v>-2.0500000005085894E-3</v>
      </c>
      <c r="H20" s="206">
        <f t="shared" si="2"/>
        <v>-2.8879310344507303E-3</v>
      </c>
    </row>
    <row r="21" spans="1:8" x14ac:dyDescent="0.25">
      <c r="A21" s="46">
        <f>'DIA 13'!B$6</f>
        <v>44755</v>
      </c>
      <c r="B21" s="199">
        <f>'DIA 13'!G$46</f>
        <v>3186.4212500000003</v>
      </c>
      <c r="C21" s="199">
        <f>'DIA 13'!G$52</f>
        <v>23.25081896551724</v>
      </c>
      <c r="D21" s="203">
        <f t="shared" si="0"/>
        <v>3209.6720689655176</v>
      </c>
      <c r="E21" s="199">
        <f>'DIA 13'!K$46</f>
        <v>3186.42</v>
      </c>
      <c r="F21" s="199">
        <f>'DIA 13'!K$52</f>
        <v>23.25</v>
      </c>
      <c r="G21" s="206">
        <f t="shared" si="1"/>
        <v>1.2500000002546585E-3</v>
      </c>
      <c r="H21" s="206">
        <f t="shared" si="2"/>
        <v>8.1896551724014444E-4</v>
      </c>
    </row>
    <row r="22" spans="1:8" x14ac:dyDescent="0.25">
      <c r="A22" s="46">
        <f>'DIA 14'!B$6</f>
        <v>44756</v>
      </c>
      <c r="B22" s="199">
        <f>'DIA 14'!G$46</f>
        <v>2933.3833750000003</v>
      </c>
      <c r="C22" s="199">
        <f>'DIA 14'!G$52</f>
        <v>99.069922413793108</v>
      </c>
      <c r="D22" s="203">
        <f t="shared" si="0"/>
        <v>3032.4532974137933</v>
      </c>
      <c r="E22" s="199">
        <f>'DIA 14'!K$46</f>
        <v>2933.38</v>
      </c>
      <c r="F22" s="199">
        <f>'DIA 14'!K$52</f>
        <v>99.07</v>
      </c>
      <c r="G22" s="206">
        <f t="shared" si="1"/>
        <v>3.3750000002328306E-3</v>
      </c>
      <c r="H22" s="206">
        <f t="shared" si="2"/>
        <v>-7.7586206884916464E-5</v>
      </c>
    </row>
    <row r="23" spans="1:8" x14ac:dyDescent="0.25">
      <c r="A23" s="46">
        <f>'DIA 15'!B$6</f>
        <v>44757</v>
      </c>
      <c r="B23" s="199">
        <f>'DIA 15'!G$46</f>
        <v>2578.1279249999998</v>
      </c>
      <c r="C23" s="199">
        <f>'DIA 15'!G$52</f>
        <v>0</v>
      </c>
      <c r="D23" s="203">
        <f t="shared" si="0"/>
        <v>2578.1279249999998</v>
      </c>
      <c r="E23" s="199">
        <f>'DIA 15'!K$46</f>
        <v>2578.13</v>
      </c>
      <c r="F23" s="199">
        <f>'DIA 15'!K$52</f>
        <v>0</v>
      </c>
      <c r="G23" s="206">
        <f t="shared" si="1"/>
        <v>-2.0750000003317837E-3</v>
      </c>
      <c r="H23" s="206">
        <f t="shared" si="2"/>
        <v>0</v>
      </c>
    </row>
    <row r="24" spans="1:8" x14ac:dyDescent="0.25">
      <c r="A24" s="46">
        <f>'DIA 16'!B$6</f>
        <v>44758</v>
      </c>
      <c r="B24" s="199">
        <f>'DIA 16'!G$46</f>
        <v>4218.0852999999997</v>
      </c>
      <c r="C24" s="199">
        <f>'DIA 16'!G$52</f>
        <v>85.119431034482758</v>
      </c>
      <c r="D24" s="203">
        <f t="shared" si="0"/>
        <v>4303.2047310344824</v>
      </c>
      <c r="E24" s="199">
        <f>'DIA 16'!K$46</f>
        <v>4218.09</v>
      </c>
      <c r="F24" s="199">
        <f>'DIA 16'!K$52</f>
        <v>85.12</v>
      </c>
      <c r="G24" s="206">
        <f t="shared" si="1"/>
        <v>-4.7000000004118192E-3</v>
      </c>
      <c r="H24" s="206">
        <f t="shared" si="2"/>
        <v>-5.6896551724605615E-4</v>
      </c>
    </row>
    <row r="25" spans="1:8" x14ac:dyDescent="0.25">
      <c r="A25" s="46">
        <f>'DIA 17'!B$6</f>
        <v>44759</v>
      </c>
      <c r="B25" s="199">
        <f>'DIA 17'!G$46</f>
        <v>6084.9976500000002</v>
      </c>
      <c r="C25" s="199">
        <f>'DIA 17'!G$52</f>
        <v>231.30604310344825</v>
      </c>
      <c r="D25" s="203">
        <f t="shared" si="0"/>
        <v>6316.3036931034485</v>
      </c>
      <c r="E25" s="199">
        <f>'DIA 17'!K$46</f>
        <v>6085</v>
      </c>
      <c r="F25" s="199">
        <f>'DIA 17'!K$52</f>
        <v>231.31</v>
      </c>
      <c r="G25" s="206">
        <f t="shared" si="1"/>
        <v>-2.3499999997511622E-3</v>
      </c>
      <c r="H25" s="206">
        <f t="shared" si="2"/>
        <v>-3.9568965517560173E-3</v>
      </c>
    </row>
    <row r="26" spans="1:8" x14ac:dyDescent="0.25">
      <c r="A26" s="46">
        <f>'DIA 18'!B$6</f>
        <v>44760</v>
      </c>
      <c r="B26" s="199">
        <f>'DIA 18'!G$46</f>
        <v>3805.3938750000002</v>
      </c>
      <c r="C26" s="199">
        <f>'DIA 18'!G$52</f>
        <v>146.13069827586207</v>
      </c>
      <c r="D26" s="203">
        <f t="shared" si="0"/>
        <v>3951.5245732758622</v>
      </c>
      <c r="E26" s="199">
        <f>'DIA 18'!K$46</f>
        <v>3805.39</v>
      </c>
      <c r="F26" s="199">
        <f>'DIA 18'!K$52</f>
        <v>146.13</v>
      </c>
      <c r="G26" s="206">
        <f t="shared" si="1"/>
        <v>3.8750000003346941E-3</v>
      </c>
      <c r="H26" s="206">
        <f t="shared" si="2"/>
        <v>6.9827586207793502E-4</v>
      </c>
    </row>
    <row r="27" spans="1:8" x14ac:dyDescent="0.25">
      <c r="A27" s="46">
        <f>'DIA 19'!B$6</f>
        <v>44761</v>
      </c>
      <c r="B27" s="199">
        <f>'DIA 19'!G$46</f>
        <v>3891.7413750000001</v>
      </c>
      <c r="C27" s="199">
        <f>'DIA 19'!G$52</f>
        <v>110.61612068965518</v>
      </c>
      <c r="D27" s="203">
        <f t="shared" si="0"/>
        <v>4002.357495689655</v>
      </c>
      <c r="E27" s="199">
        <f>'DIA 19'!K$46</f>
        <v>3891.74</v>
      </c>
      <c r="F27" s="199">
        <f>'DIA 19'!K$52</f>
        <v>110.62</v>
      </c>
      <c r="G27" s="206">
        <f t="shared" si="1"/>
        <v>1.3750000002801244E-3</v>
      </c>
      <c r="H27" s="206">
        <f t="shared" si="2"/>
        <v>-3.8793103448284683E-3</v>
      </c>
    </row>
    <row r="28" spans="1:8" x14ac:dyDescent="0.25">
      <c r="A28" s="46">
        <f>'DIA 20'!B$6</f>
        <v>44762</v>
      </c>
      <c r="B28" s="199">
        <f>'DIA 20'!G$46</f>
        <v>2346.0615750000002</v>
      </c>
      <c r="C28" s="199">
        <f>'DIA 20'!G$52</f>
        <v>0</v>
      </c>
      <c r="D28" s="203">
        <f t="shared" si="0"/>
        <v>2346.0615750000002</v>
      </c>
      <c r="E28" s="199">
        <f>'DIA 20'!K$46</f>
        <v>0</v>
      </c>
      <c r="F28" s="199">
        <f>'DIA 20'!K$52</f>
        <v>0</v>
      </c>
      <c r="G28" s="206">
        <f t="shared" si="1"/>
        <v>2346.0615750000002</v>
      </c>
      <c r="H28" s="206">
        <f t="shared" si="2"/>
        <v>0</v>
      </c>
    </row>
    <row r="29" spans="1:8" x14ac:dyDescent="0.25">
      <c r="A29" s="46">
        <f>'DIA 21'!B$6</f>
        <v>44763</v>
      </c>
      <c r="B29" s="199">
        <f>'DIA 21'!G$46</f>
        <v>4375.3667750000004</v>
      </c>
      <c r="C29" s="199">
        <f>'DIA 21'!G$52</f>
        <v>139.95222413793104</v>
      </c>
      <c r="D29" s="203">
        <f t="shared" si="0"/>
        <v>4515.3189991379313</v>
      </c>
      <c r="E29" s="199">
        <f>'DIA 21'!K$46</f>
        <v>0</v>
      </c>
      <c r="F29" s="199">
        <f>'DIA 21'!K$52</f>
        <v>0</v>
      </c>
      <c r="G29" s="206">
        <f t="shared" si="1"/>
        <v>4375.3667750000004</v>
      </c>
      <c r="H29" s="206">
        <f t="shared" si="2"/>
        <v>139.95222413793104</v>
      </c>
    </row>
    <row r="30" spans="1:8" x14ac:dyDescent="0.25">
      <c r="A30" s="46">
        <f>'DIA 22'!B$6</f>
        <v>44764</v>
      </c>
      <c r="B30" s="199">
        <f>'DIA 22'!G$46</f>
        <v>6004.0295000000006</v>
      </c>
      <c r="C30" s="199">
        <f>'DIA 22'!G$52</f>
        <v>70.591163793103448</v>
      </c>
      <c r="D30" s="203">
        <f t="shared" si="0"/>
        <v>6074.6206637931036</v>
      </c>
      <c r="E30" s="199">
        <f>'DIA 22'!K$46</f>
        <v>0</v>
      </c>
      <c r="F30" s="199">
        <f>'DIA 22'!K$52</f>
        <v>0</v>
      </c>
      <c r="G30" s="206">
        <f t="shared" si="1"/>
        <v>6004.0295000000006</v>
      </c>
      <c r="H30" s="206">
        <f t="shared" si="2"/>
        <v>70.591163793103448</v>
      </c>
    </row>
    <row r="31" spans="1:8" x14ac:dyDescent="0.25">
      <c r="A31" s="46">
        <f>'DIA 23'!B$6</f>
        <v>44765</v>
      </c>
      <c r="B31" s="199">
        <f>'DIA 23'!G$46</f>
        <v>10122.120425000001</v>
      </c>
      <c r="C31" s="199">
        <f>'DIA 23'!G$52</f>
        <v>146.34503448275862</v>
      </c>
      <c r="D31" s="203">
        <f t="shared" si="0"/>
        <v>10268.465459482759</v>
      </c>
      <c r="E31" s="199">
        <f>'DIA 23'!K$46</f>
        <v>0</v>
      </c>
      <c r="F31" s="199">
        <f>'DIA 23'!K$52</f>
        <v>0</v>
      </c>
      <c r="G31" s="206">
        <f t="shared" si="1"/>
        <v>10122.120425000001</v>
      </c>
      <c r="H31" s="206">
        <f t="shared" si="2"/>
        <v>146.34503448275862</v>
      </c>
    </row>
    <row r="32" spans="1:8" x14ac:dyDescent="0.25">
      <c r="A32" s="46">
        <f>'DIA 24'!B$6</f>
        <v>44766</v>
      </c>
      <c r="B32" s="199">
        <f>'DIA 24'!G$46</f>
        <v>6058.5376000000006</v>
      </c>
      <c r="C32" s="199">
        <f>'DIA 24'!G$52</f>
        <v>445.28812931034491</v>
      </c>
      <c r="D32" s="203">
        <f t="shared" si="0"/>
        <v>6503.8257293103452</v>
      </c>
      <c r="E32" s="199">
        <f>'DIA 24'!K$46</f>
        <v>0</v>
      </c>
      <c r="F32" s="199">
        <f>'DIA 24'!K$52</f>
        <v>0</v>
      </c>
      <c r="G32" s="206">
        <f t="shared" si="1"/>
        <v>6058.5376000000006</v>
      </c>
      <c r="H32" s="206">
        <f t="shared" si="2"/>
        <v>445.28812931034491</v>
      </c>
    </row>
    <row r="33" spans="1:8" x14ac:dyDescent="0.25">
      <c r="A33" s="46">
        <f>'DIA 25'!B$6</f>
        <v>44767</v>
      </c>
      <c r="B33" s="199">
        <f>'DIA 25'!G$46</f>
        <v>6328.2395499999993</v>
      </c>
      <c r="C33" s="199">
        <f>'DIA 25'!G$52</f>
        <v>15.842241379310344</v>
      </c>
      <c r="D33" s="203">
        <f t="shared" si="0"/>
        <v>6344.0817913793098</v>
      </c>
      <c r="E33" s="199">
        <f>'DIA 25'!K$46</f>
        <v>0</v>
      </c>
      <c r="F33" s="199">
        <f>'DIA 25'!K$52</f>
        <v>0</v>
      </c>
      <c r="G33" s="206">
        <f t="shared" si="1"/>
        <v>6328.2395499999993</v>
      </c>
      <c r="H33" s="206">
        <f t="shared" si="2"/>
        <v>15.842241379310344</v>
      </c>
    </row>
    <row r="34" spans="1:8" x14ac:dyDescent="0.25">
      <c r="A34" s="46">
        <f>'DIA 26'!B$6</f>
        <v>44768</v>
      </c>
      <c r="B34" s="199">
        <f>'DIA 26'!G$46</f>
        <v>3561.9336249999997</v>
      </c>
      <c r="C34" s="199">
        <f>'DIA 26'!G$52</f>
        <v>62.921655172413786</v>
      </c>
      <c r="D34" s="203">
        <f t="shared" si="0"/>
        <v>3624.8552801724136</v>
      </c>
      <c r="E34" s="199">
        <f>'DIA 26'!K$46</f>
        <v>0</v>
      </c>
      <c r="F34" s="199">
        <f>'DIA 26'!K$52</f>
        <v>0</v>
      </c>
      <c r="G34" s="206">
        <f t="shared" si="1"/>
        <v>3561.9336249999997</v>
      </c>
      <c r="H34" s="206">
        <f t="shared" si="2"/>
        <v>62.921655172413786</v>
      </c>
    </row>
    <row r="35" spans="1:8" x14ac:dyDescent="0.25">
      <c r="A35" s="46">
        <f>'DIA 27'!B$6</f>
        <v>44769</v>
      </c>
      <c r="B35" s="199">
        <f>'DIA 27'!G$46</f>
        <v>4019.6944749999998</v>
      </c>
      <c r="C35" s="199">
        <f>'DIA 27'!G$52</f>
        <v>25.450094827586209</v>
      </c>
      <c r="D35" s="203">
        <f t="shared" si="0"/>
        <v>4045.1445698275861</v>
      </c>
      <c r="E35" s="199">
        <f>'DIA 27'!K$46</f>
        <v>0</v>
      </c>
      <c r="F35" s="199">
        <f>'DIA 27'!K$52</f>
        <v>0</v>
      </c>
      <c r="G35" s="206">
        <f t="shared" si="1"/>
        <v>4019.6944749999998</v>
      </c>
      <c r="H35" s="206">
        <f t="shared" si="2"/>
        <v>25.450094827586209</v>
      </c>
    </row>
    <row r="36" spans="1:8" x14ac:dyDescent="0.25">
      <c r="A36" s="46">
        <f>'DIA 28'!B$6</f>
        <v>44770</v>
      </c>
      <c r="B36" s="199">
        <f>'DIA 28'!G$46</f>
        <v>4484.5417750000006</v>
      </c>
      <c r="C36" s="199">
        <f>'DIA 28'!G$52</f>
        <v>0</v>
      </c>
      <c r="D36" s="203">
        <f t="shared" si="0"/>
        <v>4484.5417750000006</v>
      </c>
      <c r="E36" s="199">
        <f>'DIA 28'!K$46</f>
        <v>0</v>
      </c>
      <c r="F36" s="199">
        <f>'DIA 28'!K$52</f>
        <v>0</v>
      </c>
      <c r="G36" s="206">
        <f t="shared" si="1"/>
        <v>4484.5417750000006</v>
      </c>
      <c r="H36" s="206">
        <f t="shared" si="2"/>
        <v>0</v>
      </c>
    </row>
    <row r="37" spans="1:8" x14ac:dyDescent="0.25">
      <c r="A37" s="46">
        <f>'DIA 29'!B$6</f>
        <v>44771</v>
      </c>
      <c r="B37" s="199">
        <f>'DIA 29'!G$46</f>
        <v>6697.5388750000002</v>
      </c>
      <c r="C37" s="199">
        <f>'DIA 29'!G$52</f>
        <v>207.25379310344829</v>
      </c>
      <c r="D37" s="203">
        <f t="shared" si="0"/>
        <v>6904.7926681034487</v>
      </c>
      <c r="E37" s="199">
        <f>'DIA 29'!K$46</f>
        <v>0</v>
      </c>
      <c r="F37" s="199">
        <f>'DIA 29'!K$52</f>
        <v>0</v>
      </c>
      <c r="G37" s="206">
        <f t="shared" si="1"/>
        <v>6697.5388750000002</v>
      </c>
      <c r="H37" s="206">
        <f t="shared" si="2"/>
        <v>207.25379310344829</v>
      </c>
    </row>
    <row r="38" spans="1:8" x14ac:dyDescent="0.25">
      <c r="A38" s="46">
        <f>'DIA 30'!B$6</f>
        <v>44772</v>
      </c>
      <c r="B38" s="199">
        <f>'DIA 30'!G$46</f>
        <v>7230.3625000000002</v>
      </c>
      <c r="C38" s="199">
        <f>'DIA 30'!G$52</f>
        <v>3.2336810344827591</v>
      </c>
      <c r="D38" s="203">
        <f t="shared" si="0"/>
        <v>7233.5961810344834</v>
      </c>
      <c r="E38" s="199">
        <f>'DIA 30'!K$46</f>
        <v>0</v>
      </c>
      <c r="F38" s="199">
        <f>'DIA 30'!K$52</f>
        <v>0</v>
      </c>
      <c r="G38" s="206">
        <f t="shared" si="1"/>
        <v>7230.3625000000002</v>
      </c>
      <c r="H38" s="206">
        <f t="shared" si="2"/>
        <v>3.2336810344827591</v>
      </c>
    </row>
    <row r="39" spans="1:8" x14ac:dyDescent="0.25">
      <c r="A39" s="46">
        <f>'DIA 31'!B$6</f>
        <v>44773</v>
      </c>
      <c r="B39" s="199">
        <f>'DIA 31'!G$46</f>
        <v>5716.3533749999997</v>
      </c>
      <c r="C39" s="199">
        <f>'DIA 31'!G$52</f>
        <v>6.7096551724137932</v>
      </c>
      <c r="D39" s="203">
        <f t="shared" si="0"/>
        <v>5723.0630301724132</v>
      </c>
      <c r="E39" s="199">
        <f>'DIA 31'!K$46</f>
        <v>0</v>
      </c>
      <c r="F39" s="199">
        <f>'DIA 31'!K$52</f>
        <v>0</v>
      </c>
      <c r="G39" s="206">
        <f t="shared" si="1"/>
        <v>5716.3533749999997</v>
      </c>
      <c r="H39" s="206">
        <f t="shared" si="2"/>
        <v>6.7096551724137932</v>
      </c>
    </row>
    <row r="40" spans="1:8" x14ac:dyDescent="0.25">
      <c r="A40" s="53" t="s">
        <v>38</v>
      </c>
      <c r="B40" s="133">
        <f>SUM(B9:B39)</f>
        <v>136650.10952500001</v>
      </c>
      <c r="C40" s="133">
        <f>SUM(C9:C38)</f>
        <v>2729.618189655173</v>
      </c>
      <c r="D40" s="133">
        <f>SUM(D9:D38)</f>
        <v>133663.37433965519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5" zoomScale="90" zoomScaleNormal="90" workbookViewId="0">
      <selection activeCell="Y72" sqref="Y7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1.28515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187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44754</v>
      </c>
      <c r="D6" s="85" t="s">
        <v>23</v>
      </c>
      <c r="E6" s="8" t="s">
        <v>166</v>
      </c>
      <c r="F6" s="9"/>
      <c r="G6" s="9"/>
    </row>
    <row r="8" spans="1:28" x14ac:dyDescent="0.25">
      <c r="A8" s="7" t="s">
        <v>77</v>
      </c>
      <c r="B8" s="108">
        <v>5.6</v>
      </c>
      <c r="C8" s="85" t="s">
        <v>94</v>
      </c>
      <c r="D8" s="108"/>
    </row>
    <row r="9" spans="1:28" x14ac:dyDescent="0.25">
      <c r="A9" s="7" t="s">
        <v>78</v>
      </c>
      <c r="B9" s="108">
        <v>5.61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1218.5</v>
      </c>
      <c r="C12" s="15"/>
      <c r="D12" s="56"/>
      <c r="E12" s="16"/>
      <c r="F12" s="56"/>
      <c r="G12" s="56"/>
      <c r="H12" s="17"/>
      <c r="I12" s="83"/>
      <c r="J12" s="81">
        <f>B12-I12</f>
        <v>1218.5</v>
      </c>
      <c r="K12" s="75"/>
      <c r="L12" s="186">
        <f>+G12-K12</f>
        <v>0</v>
      </c>
      <c r="M12" s="106"/>
      <c r="N12" s="104">
        <v>1</v>
      </c>
      <c r="O12" s="152" t="s">
        <v>186</v>
      </c>
      <c r="P12" s="158">
        <v>982</v>
      </c>
      <c r="Q12" s="158">
        <v>6</v>
      </c>
      <c r="R12" s="159">
        <v>145.85</v>
      </c>
      <c r="S12" s="160"/>
      <c r="T12" s="161"/>
      <c r="U12" s="189">
        <f>((T12/U$10)*U$9)</f>
        <v>0</v>
      </c>
      <c r="V12" s="189">
        <f>R12*V$10</f>
        <v>1.0938749999999999</v>
      </c>
      <c r="W12" s="189">
        <f>+S12*V$10</f>
        <v>0</v>
      </c>
      <c r="X12" s="189">
        <f>+T12*X$10</f>
        <v>0</v>
      </c>
      <c r="Y12" s="189">
        <f>R12-V12</f>
        <v>144.756125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837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837</v>
      </c>
      <c r="K13" s="75"/>
      <c r="L13" s="186">
        <f t="shared" ref="L13:L44" si="1">+G13-K13</f>
        <v>0</v>
      </c>
      <c r="M13" s="106"/>
      <c r="N13" s="104">
        <v>2</v>
      </c>
      <c r="O13" s="152" t="s">
        <v>186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4687.2</v>
      </c>
      <c r="C14" s="15"/>
      <c r="D14" s="56"/>
      <c r="E14" s="16"/>
      <c r="F14" s="56"/>
      <c r="G14" s="56"/>
      <c r="H14" s="17"/>
      <c r="I14" s="83"/>
      <c r="J14" s="81">
        <f t="shared" si="0"/>
        <v>4687.2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6</v>
      </c>
      <c r="C15" s="15"/>
      <c r="D15" s="56"/>
      <c r="E15" s="16"/>
      <c r="F15" s="56"/>
      <c r="G15" s="56"/>
      <c r="H15" s="17"/>
      <c r="I15" s="83"/>
      <c r="J15" s="81">
        <f t="shared" si="0"/>
        <v>6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33.660000000000004</v>
      </c>
      <c r="C16" s="15"/>
      <c r="D16" s="56"/>
      <c r="E16" s="16"/>
      <c r="F16" s="56"/>
      <c r="G16" s="56"/>
      <c r="H16" s="17"/>
      <c r="I16" s="83"/>
      <c r="J16" s="81">
        <f t="shared" si="0"/>
        <v>33.660000000000004</v>
      </c>
      <c r="K16" s="80"/>
      <c r="L16" s="186">
        <f t="shared" si="1"/>
        <v>0</v>
      </c>
      <c r="M16" s="107"/>
      <c r="N16" s="104">
        <v>5</v>
      </c>
      <c r="O16" s="152" t="s">
        <v>217</v>
      </c>
      <c r="P16" s="158">
        <v>201</v>
      </c>
      <c r="Q16" s="158">
        <v>6</v>
      </c>
      <c r="R16" s="159">
        <v>1774.51</v>
      </c>
      <c r="S16" s="160"/>
      <c r="T16" s="161"/>
      <c r="U16" s="189">
        <f t="shared" si="2"/>
        <v>0</v>
      </c>
      <c r="V16" s="189">
        <f t="shared" si="3"/>
        <v>13.308824999999999</v>
      </c>
      <c r="W16" s="189">
        <f t="shared" si="4"/>
        <v>0</v>
      </c>
      <c r="X16" s="189">
        <f t="shared" si="5"/>
        <v>0</v>
      </c>
      <c r="Y16" s="189">
        <f t="shared" si="6"/>
        <v>1761.2011749999999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217</v>
      </c>
      <c r="P17" s="158">
        <v>202</v>
      </c>
      <c r="Q17" s="158">
        <v>6</v>
      </c>
      <c r="R17" s="159">
        <v>1430.58</v>
      </c>
      <c r="S17" s="160"/>
      <c r="T17" s="161">
        <v>169.05</v>
      </c>
      <c r="U17" s="189">
        <f t="shared" si="2"/>
        <v>7.286637931034484</v>
      </c>
      <c r="V17" s="189">
        <f t="shared" si="3"/>
        <v>10.729349999999998</v>
      </c>
      <c r="W17" s="189">
        <f t="shared" si="4"/>
        <v>0</v>
      </c>
      <c r="X17" s="189">
        <f t="shared" si="5"/>
        <v>4.2262500000000003</v>
      </c>
      <c r="Y17" s="189">
        <f t="shared" si="6"/>
        <v>1419.8506499999999</v>
      </c>
      <c r="Z17" s="189">
        <f t="shared" si="6"/>
        <v>0</v>
      </c>
      <c r="AA17" s="189">
        <f t="shared" si="7"/>
        <v>157.53711206896554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217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843</v>
      </c>
      <c r="C19" s="95"/>
      <c r="D19" s="94"/>
      <c r="E19" s="96"/>
      <c r="F19" s="94"/>
      <c r="G19" s="94"/>
      <c r="H19" s="98"/>
      <c r="I19" s="99"/>
      <c r="J19" s="185">
        <f>B19-I19</f>
        <v>843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4720.8599999999997</v>
      </c>
      <c r="C20" s="95"/>
      <c r="D20" s="94"/>
      <c r="E20" s="96"/>
      <c r="F20" s="94"/>
      <c r="G20" s="94"/>
      <c r="H20" s="98"/>
      <c r="I20" s="99"/>
      <c r="J20" s="185">
        <f t="shared" si="0"/>
        <v>4720.8599999999997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3350.9399999999996</v>
      </c>
      <c r="S42" s="190">
        <f t="shared" si="8"/>
        <v>0</v>
      </c>
      <c r="T42" s="190">
        <f t="shared" si="8"/>
        <v>169.05</v>
      </c>
      <c r="U42" s="190">
        <f t="shared" si="8"/>
        <v>7.286637931034484</v>
      </c>
      <c r="V42" s="190">
        <f t="shared" si="8"/>
        <v>25.13205</v>
      </c>
      <c r="W42" s="190">
        <f t="shared" si="8"/>
        <v>0</v>
      </c>
      <c r="X42" s="190">
        <f t="shared" si="8"/>
        <v>4.2262500000000003</v>
      </c>
      <c r="Y42" s="190">
        <f t="shared" si="8"/>
        <v>3325.8079499999999</v>
      </c>
      <c r="Z42" s="190">
        <f t="shared" si="8"/>
        <v>0</v>
      </c>
      <c r="AA42" s="190">
        <f t="shared" si="8"/>
        <v>157.53711206896554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3350.9399999999996</v>
      </c>
      <c r="C46" s="116">
        <v>7.4999999999999997E-3</v>
      </c>
      <c r="D46" s="117">
        <f>B46*C46</f>
        <v>25.132049999999996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3325.8079499999994</v>
      </c>
      <c r="H46" s="173">
        <f>B$6+1</f>
        <v>44755</v>
      </c>
      <c r="I46" s="174"/>
      <c r="J46" s="81">
        <f t="shared" si="0"/>
        <v>3350.9399999999996</v>
      </c>
      <c r="K46" s="80">
        <v>3325.81</v>
      </c>
      <c r="L46" s="186">
        <f>K46-G46</f>
        <v>2.0500000005085894E-3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44755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44755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2744.5</v>
      </c>
      <c r="C49" s="116">
        <v>7.4999999999999997E-3</v>
      </c>
      <c r="D49" s="117">
        <f t="shared" si="17"/>
        <v>20.583749999999998</v>
      </c>
      <c r="E49" s="172">
        <v>0</v>
      </c>
      <c r="F49" s="117">
        <f t="shared" si="15"/>
        <v>0</v>
      </c>
      <c r="G49" s="117">
        <f t="shared" si="16"/>
        <v>2723.9162500000002</v>
      </c>
      <c r="H49" s="173">
        <f t="shared" si="19"/>
        <v>44755</v>
      </c>
      <c r="I49" s="176"/>
      <c r="J49" s="81">
        <f t="shared" si="0"/>
        <v>2744.5</v>
      </c>
      <c r="K49" s="80">
        <v>2723.92</v>
      </c>
      <c r="L49" s="186">
        <f t="shared" si="18"/>
        <v>-3.7499999998544808E-3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449.9</v>
      </c>
      <c r="C50" s="116">
        <v>7.4999999999999997E-3</v>
      </c>
      <c r="D50" s="117">
        <f t="shared" si="17"/>
        <v>3.3742499999999995</v>
      </c>
      <c r="E50" s="172">
        <v>0</v>
      </c>
      <c r="F50" s="117">
        <f t="shared" si="15"/>
        <v>0</v>
      </c>
      <c r="G50" s="117">
        <f t="shared" si="16"/>
        <v>446.52574999999996</v>
      </c>
      <c r="H50" s="173">
        <f t="shared" si="19"/>
        <v>44755</v>
      </c>
      <c r="I50" s="175"/>
      <c r="J50" s="81">
        <f t="shared" si="0"/>
        <v>449.9</v>
      </c>
      <c r="K50" s="80">
        <v>446.53</v>
      </c>
      <c r="L50" s="186">
        <f t="shared" si="18"/>
        <v>-4.2500000000131877E-3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289.42</v>
      </c>
      <c r="C51" s="116">
        <v>1.4999999999999999E-2</v>
      </c>
      <c r="D51" s="117">
        <f>+B51*C51</f>
        <v>4.3413000000000004</v>
      </c>
      <c r="E51" s="172">
        <v>0</v>
      </c>
      <c r="F51" s="117">
        <f>D51*E51</f>
        <v>0</v>
      </c>
      <c r="G51" s="117">
        <f t="shared" si="16"/>
        <v>285.07870000000003</v>
      </c>
      <c r="H51" s="173">
        <f t="shared" si="19"/>
        <v>44755</v>
      </c>
      <c r="I51" s="175"/>
      <c r="J51" s="81">
        <f t="shared" si="0"/>
        <v>289.42</v>
      </c>
      <c r="K51" s="80">
        <v>285.08</v>
      </c>
      <c r="L51" s="186">
        <f t="shared" si="18"/>
        <v>-1.2999999999578904E-3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169.05</v>
      </c>
      <c r="C52" s="116">
        <v>2.5000000000000001E-2</v>
      </c>
      <c r="D52" s="117">
        <f>B52*C52</f>
        <v>4.2262500000000003</v>
      </c>
      <c r="E52" s="172">
        <v>0.05</v>
      </c>
      <c r="F52" s="117">
        <f>(B52/E$10)*E52</f>
        <v>7.286637931034484</v>
      </c>
      <c r="G52" s="117">
        <f>B52-D52-F52</f>
        <v>157.53711206896554</v>
      </c>
      <c r="H52" s="188">
        <f t="shared" si="19"/>
        <v>44755</v>
      </c>
      <c r="I52" s="176"/>
      <c r="J52" s="81">
        <f t="shared" si="0"/>
        <v>169.05</v>
      </c>
      <c r="K52" s="80">
        <v>157.54</v>
      </c>
      <c r="L52" s="186">
        <f>K52-G52</f>
        <v>2.8879310344507303E-3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44755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44755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44755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45.15</v>
      </c>
      <c r="C56" s="116">
        <v>2.5000000000000001E-2</v>
      </c>
      <c r="D56" s="117">
        <f t="shared" si="20"/>
        <v>1.1287499999999999</v>
      </c>
      <c r="E56" s="172">
        <v>0.05</v>
      </c>
      <c r="F56" s="117">
        <f t="shared" si="21"/>
        <v>1.9461206896551726</v>
      </c>
      <c r="G56" s="117">
        <f t="shared" si="22"/>
        <v>42.075129310344828</v>
      </c>
      <c r="H56" s="173">
        <f t="shared" si="19"/>
        <v>44755</v>
      </c>
      <c r="I56" s="176"/>
      <c r="J56" s="81">
        <f t="shared" si="0"/>
        <v>45.15</v>
      </c>
      <c r="K56" s="80">
        <v>42.08</v>
      </c>
      <c r="L56" s="186">
        <f t="shared" si="18"/>
        <v>-4.8706896551706791E-3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44757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44759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44784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58.786349999999992</v>
      </c>
      <c r="E61" s="177"/>
      <c r="F61" s="57">
        <f>SUM(F46:F58)</f>
        <v>9.2327586206896566</v>
      </c>
      <c r="G61" s="57">
        <f>SUM(G46:G58)</f>
        <v>6980.9408913793095</v>
      </c>
      <c r="H61" s="173">
        <f t="shared" si="19"/>
        <v>44755</v>
      </c>
      <c r="I61" s="175"/>
      <c r="J61" s="81">
        <f t="shared" si="0"/>
        <v>0</v>
      </c>
      <c r="K61" s="80"/>
      <c r="L61" s="186">
        <f t="shared" si="18"/>
        <v>6980.9408913793095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44755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13961.881782758619</v>
      </c>
      <c r="H64" s="184"/>
      <c r="I64" s="175"/>
      <c r="J64" s="81">
        <f t="shared" si="0"/>
        <v>0</v>
      </c>
      <c r="K64" s="80"/>
      <c r="L64" s="186">
        <f t="shared" si="18"/>
        <v>13961.881782758619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12988.319999999998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227</v>
      </c>
      <c r="B68" s="77">
        <v>12860.73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225</v>
      </c>
      <c r="B69" s="62">
        <v>12985.35</v>
      </c>
      <c r="C69" s="59"/>
      <c r="F69" s="87" t="s">
        <v>129</v>
      </c>
      <c r="G69" s="22"/>
      <c r="H69" s="89"/>
      <c r="I69" s="136"/>
      <c r="J69" s="136">
        <f>K52</f>
        <v>157.54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-124.6200000000008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895</v>
      </c>
      <c r="Q70" s="228">
        <v>2002</v>
      </c>
      <c r="R70" s="255">
        <v>376.04</v>
      </c>
      <c r="S70" s="228"/>
      <c r="T70" s="222">
        <v>45.15</v>
      </c>
      <c r="U70" s="189">
        <f t="shared" ref="U70:U74" si="34">((T70/U$10)*U$9)</f>
        <v>1.9461206896551726</v>
      </c>
      <c r="V70" s="189">
        <f t="shared" ref="V70:V74" si="35">R70*V$10</f>
        <v>2.8203</v>
      </c>
      <c r="W70" s="189">
        <f t="shared" ref="W70:W74" si="36">+S70*V$10</f>
        <v>0</v>
      </c>
      <c r="X70" s="189">
        <f t="shared" ref="X70:X74" si="37">+T70*X$10</f>
        <v>1.1287499999999999</v>
      </c>
      <c r="Y70" s="189">
        <f t="shared" ref="Y70:Z74" si="38">R70-V70</f>
        <v>373.21970000000005</v>
      </c>
      <c r="Z70" s="189">
        <f t="shared" si="38"/>
        <v>0</v>
      </c>
      <c r="AA70" s="189">
        <f t="shared" ref="AA70:AA74" si="39">T70-U70-X70</f>
        <v>42.075129310344828</v>
      </c>
      <c r="AB70" s="87"/>
    </row>
    <row r="71" spans="1:30" ht="28.5" customHeight="1" thickBot="1" x14ac:dyDescent="0.3">
      <c r="A71" s="25" t="s">
        <v>57</v>
      </c>
      <c r="B71" s="70">
        <f>(B65-B69)-B72</f>
        <v>2.9699999999975262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157.54</v>
      </c>
      <c r="N71" s="87">
        <v>2</v>
      </c>
      <c r="O71" s="122" t="s">
        <v>188</v>
      </c>
      <c r="P71" s="228">
        <v>896</v>
      </c>
      <c r="Q71" s="228">
        <v>2002</v>
      </c>
      <c r="R71" s="255">
        <v>480.35</v>
      </c>
      <c r="S71" s="228"/>
      <c r="T71" s="222"/>
      <c r="U71" s="189">
        <f t="shared" si="34"/>
        <v>0</v>
      </c>
      <c r="V71" s="189">
        <f t="shared" si="35"/>
        <v>3.6026250000000002</v>
      </c>
      <c r="W71" s="189">
        <f t="shared" si="36"/>
        <v>0</v>
      </c>
      <c r="X71" s="189">
        <f t="shared" si="37"/>
        <v>0</v>
      </c>
      <c r="Y71" s="189">
        <f t="shared" si="38"/>
        <v>476.74737500000003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228">
        <v>811</v>
      </c>
      <c r="Q72" s="228">
        <v>2002</v>
      </c>
      <c r="R72" s="255">
        <v>1888.11</v>
      </c>
      <c r="S72" s="228"/>
      <c r="T72" s="228"/>
      <c r="U72" s="189">
        <f t="shared" si="34"/>
        <v>0</v>
      </c>
      <c r="V72" s="189">
        <f t="shared" si="35"/>
        <v>14.160824999999999</v>
      </c>
      <c r="W72" s="189">
        <f t="shared" si="36"/>
        <v>0</v>
      </c>
      <c r="X72" s="189">
        <f t="shared" si="37"/>
        <v>0</v>
      </c>
      <c r="Y72" s="189">
        <f>R72-V72</f>
        <v>1873.949175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189</v>
      </c>
      <c r="P73" s="228"/>
      <c r="Q73" s="228"/>
      <c r="R73" s="222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189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2744.5</v>
      </c>
      <c r="S75" s="192"/>
      <c r="T75" s="192">
        <f>SUM(T70:T74)</f>
        <v>45.15</v>
      </c>
      <c r="U75" s="192">
        <f>SUM(U70:U74)</f>
        <v>1.9461206896551726</v>
      </c>
      <c r="V75" s="192">
        <f t="shared" ref="V75:AA75" si="41">SUM(V70:V74)</f>
        <v>20.583749999999998</v>
      </c>
      <c r="W75" s="192">
        <f t="shared" si="41"/>
        <v>0</v>
      </c>
      <c r="X75" s="192">
        <f t="shared" si="41"/>
        <v>1.1287499999999999</v>
      </c>
      <c r="Y75" s="192">
        <f t="shared" si="41"/>
        <v>2723.9162500000002</v>
      </c>
      <c r="Z75" s="192">
        <f t="shared" si="41"/>
        <v>0</v>
      </c>
      <c r="AA75" s="193">
        <f t="shared" si="41"/>
        <v>42.075129310344828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9.74</v>
      </c>
      <c r="Q78" s="137"/>
      <c r="R78" s="82">
        <v>7.4999999999999997E-3</v>
      </c>
      <c r="S78" s="220">
        <f>+(P78+Q78)*R78</f>
        <v>7.3050000000000004E-2</v>
      </c>
      <c r="T78" s="219">
        <f>+(P78+Q78)-S78</f>
        <v>9.6669499999999999</v>
      </c>
      <c r="U78" s="211">
        <v>124.4</v>
      </c>
      <c r="V78" s="112"/>
      <c r="W78" s="113">
        <v>1.4999999999999999E-2</v>
      </c>
      <c r="X78" s="196">
        <f>+(U78+V78)*W78</f>
        <v>1.8660000000000001</v>
      </c>
      <c r="Y78" s="242">
        <f>+(U78+V78)-X78</f>
        <v>122.53400000000001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446.53</v>
      </c>
      <c r="N79" s="87">
        <v>2</v>
      </c>
      <c r="O79" s="87" t="s">
        <v>112</v>
      </c>
      <c r="P79" s="137">
        <v>104.59</v>
      </c>
      <c r="Q79" s="137">
        <v>10.34</v>
      </c>
      <c r="R79" s="82">
        <v>7.4999999999999997E-3</v>
      </c>
      <c r="S79" s="220">
        <f t="shared" ref="S79:S97" si="43">+(P79+Q79)*R79</f>
        <v>0.86197500000000005</v>
      </c>
      <c r="T79" s="219">
        <f t="shared" ref="T79:T97" si="44">+(P79+Q79)-S79</f>
        <v>114.06802500000001</v>
      </c>
      <c r="U79" s="211">
        <v>65.2</v>
      </c>
      <c r="V79" s="112"/>
      <c r="W79" s="113">
        <v>1.4999999999999999E-2</v>
      </c>
      <c r="X79" s="196">
        <f t="shared" ref="X79:X97" si="45">+(U79+V79)*W79</f>
        <v>0.97799999999999998</v>
      </c>
      <c r="Y79" s="242">
        <f t="shared" ref="Y79:Y97" si="46">+(U79+V79)-X79</f>
        <v>64.222000000000008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146.68</v>
      </c>
      <c r="Q80" s="137">
        <v>178.55</v>
      </c>
      <c r="R80" s="82">
        <v>7.4999999999999997E-3</v>
      </c>
      <c r="S80" s="220">
        <f t="shared" si="43"/>
        <v>2.439225</v>
      </c>
      <c r="T80" s="219">
        <f t="shared" si="44"/>
        <v>322.790775</v>
      </c>
      <c r="U80" s="211">
        <v>99.82</v>
      </c>
      <c r="V80" s="112"/>
      <c r="W80" s="113">
        <v>1.4999999999999999E-2</v>
      </c>
      <c r="X80" s="196">
        <f t="shared" si="45"/>
        <v>1.4972999999999999</v>
      </c>
      <c r="Y80" s="213">
        <f t="shared" si="46"/>
        <v>98.322699999999998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446.53</v>
      </c>
      <c r="N81" s="87">
        <v>4</v>
      </c>
      <c r="O81" s="87" t="s">
        <v>112</v>
      </c>
      <c r="P81" s="137"/>
      <c r="Q81" s="137"/>
      <c r="R81" s="82">
        <v>7.4999999999999997E-3</v>
      </c>
      <c r="S81" s="220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20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20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20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220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261.01</v>
      </c>
      <c r="Q98" s="195">
        <f>SUM(Q78:Q97)</f>
        <v>188.89000000000001</v>
      </c>
      <c r="R98" s="111"/>
      <c r="S98" s="195">
        <f>SUM(S78:S97)</f>
        <v>3.37425</v>
      </c>
      <c r="T98" s="195">
        <f>SUM(T78:T97)</f>
        <v>446.52575000000002</v>
      </c>
      <c r="U98" s="114">
        <f>SUM(U78:U97)</f>
        <v>289.42</v>
      </c>
      <c r="V98" s="114">
        <f>SUM(V78:V97)</f>
        <v>0</v>
      </c>
      <c r="W98" s="112"/>
      <c r="X98" s="197">
        <f>SUM(X78:X97)</f>
        <v>4.3413000000000004</v>
      </c>
      <c r="Y98" s="197">
        <f>SUM(Y78:Y97)</f>
        <v>285.07870000000003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 t="shared" ref="Q101:Q106" si="50">P78+Q78+U78</f>
        <v>134.14000000000001</v>
      </c>
    </row>
    <row r="102" spans="14:30" x14ac:dyDescent="0.25">
      <c r="N102" s="85"/>
      <c r="Q102" s="215">
        <f t="shared" si="50"/>
        <v>180.13</v>
      </c>
    </row>
    <row r="103" spans="14:30" x14ac:dyDescent="0.25">
      <c r="N103" s="85"/>
      <c r="Q103" s="215">
        <f t="shared" si="50"/>
        <v>425.05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35">
        <f t="shared" si="50"/>
        <v>0</v>
      </c>
    </row>
    <row r="107" spans="14:30" x14ac:dyDescent="0.25">
      <c r="N107" s="85"/>
      <c r="Q107" s="84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W58" zoomScale="90" zoomScaleNormal="90" workbookViewId="0">
      <selection activeCell="AA76" sqref="AA76:AA7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20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0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187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44755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5.66</v>
      </c>
      <c r="C8" s="85" t="s">
        <v>94</v>
      </c>
      <c r="D8" s="108"/>
    </row>
    <row r="9" spans="1:28" x14ac:dyDescent="0.25">
      <c r="A9" s="7" t="s">
        <v>78</v>
      </c>
      <c r="B9" s="108">
        <v>5.62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1791.5</v>
      </c>
      <c r="C12" s="15"/>
      <c r="D12" s="56"/>
      <c r="E12" s="16"/>
      <c r="F12" s="56"/>
      <c r="G12" s="56"/>
      <c r="H12" s="17"/>
      <c r="I12" s="83">
        <v>1786.5</v>
      </c>
      <c r="J12" s="81">
        <f>B12-I12</f>
        <v>5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203</v>
      </c>
      <c r="Q12" s="158">
        <v>6</v>
      </c>
      <c r="R12" s="159">
        <v>1506.21</v>
      </c>
      <c r="S12" s="160"/>
      <c r="T12" s="160">
        <v>24.95</v>
      </c>
      <c r="U12" s="189">
        <f>((T12/U$10)*U$9)</f>
        <v>1.0754310344827587</v>
      </c>
      <c r="V12" s="189">
        <f>R12*V$10</f>
        <v>11.296575000000001</v>
      </c>
      <c r="W12" s="189">
        <f>+S12*V$10</f>
        <v>0</v>
      </c>
      <c r="X12" s="189">
        <f>+T12*X$10</f>
        <v>0.62375000000000003</v>
      </c>
      <c r="Y12" s="189">
        <f>R12-V12</f>
        <v>1494.913425</v>
      </c>
      <c r="Z12" s="189">
        <f>S12-W12</f>
        <v>0</v>
      </c>
      <c r="AA12" s="189">
        <f>T12-U12-X12</f>
        <v>23.25081896551724</v>
      </c>
      <c r="AB12" s="156"/>
    </row>
    <row r="13" spans="1:28" ht="15.75" x14ac:dyDescent="0.25">
      <c r="A13" s="86" t="s">
        <v>76</v>
      </c>
      <c r="B13" s="89">
        <v>322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322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8">
        <v>204</v>
      </c>
      <c r="Q13" s="158">
        <v>6</v>
      </c>
      <c r="R13" s="159">
        <v>1689.64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12.6723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1676.9677000000001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1822.52</v>
      </c>
      <c r="C14" s="15"/>
      <c r="D14" s="56"/>
      <c r="E14" s="16"/>
      <c r="F14" s="56"/>
      <c r="G14" s="56"/>
      <c r="H14" s="17"/>
      <c r="I14" s="83"/>
      <c r="J14" s="81">
        <f t="shared" si="0"/>
        <v>1822.52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>
        <v>205</v>
      </c>
      <c r="Q14" s="158">
        <v>6</v>
      </c>
      <c r="R14" s="159">
        <v>14.65</v>
      </c>
      <c r="S14" s="160"/>
      <c r="T14" s="161"/>
      <c r="U14" s="189">
        <f t="shared" si="2"/>
        <v>0</v>
      </c>
      <c r="V14" s="189">
        <f t="shared" si="3"/>
        <v>0.109875</v>
      </c>
      <c r="W14" s="189">
        <f t="shared" si="4"/>
        <v>0</v>
      </c>
      <c r="X14" s="189">
        <f t="shared" si="5"/>
        <v>0</v>
      </c>
      <c r="Y14" s="189">
        <f t="shared" si="6"/>
        <v>14.540125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718</v>
      </c>
      <c r="C15" s="15"/>
      <c r="D15" s="56"/>
      <c r="E15" s="16"/>
      <c r="F15" s="56"/>
      <c r="G15" s="56"/>
      <c r="H15" s="17"/>
      <c r="I15" s="83"/>
      <c r="J15" s="81">
        <f t="shared" si="0"/>
        <v>718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4035.16</v>
      </c>
      <c r="C16" s="15"/>
      <c r="D16" s="56"/>
      <c r="E16" s="16"/>
      <c r="F16" s="56"/>
      <c r="G16" s="56"/>
      <c r="H16" s="17"/>
      <c r="I16" s="83"/>
      <c r="J16" s="81">
        <f t="shared" si="0"/>
        <v>4035.16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1040</v>
      </c>
      <c r="C19" s="95"/>
      <c r="D19" s="94"/>
      <c r="E19" s="96"/>
      <c r="F19" s="94"/>
      <c r="G19" s="94"/>
      <c r="H19" s="98"/>
      <c r="I19" s="99">
        <v>1040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5857.68</v>
      </c>
      <c r="C20" s="95"/>
      <c r="D20" s="94"/>
      <c r="E20" s="96"/>
      <c r="F20" s="94"/>
      <c r="G20" s="94"/>
      <c r="H20" s="98"/>
      <c r="I20" s="99">
        <v>5858.1</v>
      </c>
      <c r="J20" s="185">
        <f t="shared" si="0"/>
        <v>-0.42000000000007276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3210.5000000000005</v>
      </c>
      <c r="S42" s="190">
        <f t="shared" si="8"/>
        <v>0</v>
      </c>
      <c r="T42" s="190">
        <f t="shared" si="8"/>
        <v>24.95</v>
      </c>
      <c r="U42" s="190">
        <f t="shared" si="8"/>
        <v>1.0754310344827587</v>
      </c>
      <c r="V42" s="190">
        <f t="shared" si="8"/>
        <v>24.078749999999999</v>
      </c>
      <c r="W42" s="190">
        <f t="shared" si="8"/>
        <v>0</v>
      </c>
      <c r="X42" s="190">
        <f t="shared" si="8"/>
        <v>0.62375000000000003</v>
      </c>
      <c r="Y42" s="190">
        <f t="shared" si="8"/>
        <v>3186.4212499999999</v>
      </c>
      <c r="Z42" s="190">
        <f t="shared" si="8"/>
        <v>0</v>
      </c>
      <c r="AA42" s="190">
        <f t="shared" si="8"/>
        <v>23.25081896551724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3210.5000000000005</v>
      </c>
      <c r="C46" s="116">
        <v>7.4999999999999997E-3</v>
      </c>
      <c r="D46" s="117">
        <f>B46*C46</f>
        <v>24.078750000000003</v>
      </c>
      <c r="E46" s="172">
        <v>0</v>
      </c>
      <c r="F46" s="117">
        <f t="shared" ref="F46:F50" si="15">D46*E46</f>
        <v>0</v>
      </c>
      <c r="G46" s="117">
        <f t="shared" ref="G46:G51" si="16">B46-D46-F46</f>
        <v>3186.4212500000003</v>
      </c>
      <c r="H46" s="173">
        <f>B$6+1</f>
        <v>44756</v>
      </c>
      <c r="I46" s="174"/>
      <c r="J46" s="81">
        <f t="shared" si="0"/>
        <v>3210.5000000000005</v>
      </c>
      <c r="K46" s="80">
        <v>3186.42</v>
      </c>
      <c r="L46" s="186">
        <f>K46-G46</f>
        <v>-1.2500000002546585E-3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176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44756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183</v>
      </c>
      <c r="B49" s="117">
        <f>R75</f>
        <v>3005.25</v>
      </c>
      <c r="C49" s="116">
        <v>7.4999999999999997E-3</v>
      </c>
      <c r="D49" s="117">
        <f t="shared" si="17"/>
        <v>22.539375</v>
      </c>
      <c r="E49" s="172">
        <v>0</v>
      </c>
      <c r="F49" s="117">
        <f t="shared" si="15"/>
        <v>0</v>
      </c>
      <c r="G49" s="117">
        <f t="shared" si="16"/>
        <v>2982.7106250000002</v>
      </c>
      <c r="H49" s="173">
        <f t="shared" si="19"/>
        <v>44756</v>
      </c>
      <c r="I49" s="176"/>
      <c r="J49" s="81">
        <f t="shared" si="0"/>
        <v>3005.25</v>
      </c>
      <c r="K49" s="80">
        <v>2982.71</v>
      </c>
      <c r="L49" s="186">
        <f t="shared" si="18"/>
        <v>6.2500000012732926E-4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488.61</v>
      </c>
      <c r="C50" s="116">
        <v>7.4999999999999997E-3</v>
      </c>
      <c r="D50" s="117">
        <f t="shared" si="17"/>
        <v>3.6645750000000001</v>
      </c>
      <c r="E50" s="172">
        <v>0</v>
      </c>
      <c r="F50" s="117">
        <f t="shared" si="15"/>
        <v>0</v>
      </c>
      <c r="G50" s="117">
        <f t="shared" si="16"/>
        <v>484.945425</v>
      </c>
      <c r="H50" s="173">
        <f t="shared" si="19"/>
        <v>44756</v>
      </c>
      <c r="I50" s="175"/>
      <c r="J50" s="81">
        <f t="shared" si="0"/>
        <v>488.61</v>
      </c>
      <c r="K50" s="80">
        <v>484.95</v>
      </c>
      <c r="L50" s="186">
        <f t="shared" si="18"/>
        <v>-4.5749999999884494E-3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570.15</v>
      </c>
      <c r="C51" s="116">
        <v>1.4999999999999999E-2</v>
      </c>
      <c r="D51" s="117">
        <f>+B51*C51</f>
        <v>8.552249999999999</v>
      </c>
      <c r="E51" s="172">
        <v>0</v>
      </c>
      <c r="F51" s="117">
        <f>D51*E51</f>
        <v>0</v>
      </c>
      <c r="G51" s="117">
        <f t="shared" si="16"/>
        <v>561.59775000000002</v>
      </c>
      <c r="H51" s="173">
        <f t="shared" si="19"/>
        <v>44756</v>
      </c>
      <c r="I51" s="175"/>
      <c r="J51" s="81">
        <f t="shared" si="0"/>
        <v>570.15</v>
      </c>
      <c r="K51" s="80">
        <v>561.6</v>
      </c>
      <c r="L51" s="186">
        <f t="shared" si="18"/>
        <v>-2.250000000003638E-3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24.95</v>
      </c>
      <c r="C52" s="116">
        <v>2.5000000000000001E-2</v>
      </c>
      <c r="D52" s="117">
        <f>B52*C52</f>
        <v>0.62375000000000003</v>
      </c>
      <c r="E52" s="172">
        <v>0.05</v>
      </c>
      <c r="F52" s="117">
        <f>(B52/E$10)*E52</f>
        <v>1.0754310344827587</v>
      </c>
      <c r="G52" s="117">
        <f>B52-D52-F52</f>
        <v>23.25081896551724</v>
      </c>
      <c r="H52" s="188">
        <f t="shared" si="19"/>
        <v>44756</v>
      </c>
      <c r="I52" s="176">
        <v>24.95</v>
      </c>
      <c r="J52" s="81">
        <f t="shared" si="0"/>
        <v>0</v>
      </c>
      <c r="K52" s="80">
        <v>23.25</v>
      </c>
      <c r="L52" s="186">
        <f>K52-G52</f>
        <v>-8.1896551724014444E-4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44756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59.458700000000007</v>
      </c>
      <c r="E61" s="177"/>
      <c r="F61" s="57">
        <f>SUM(F46:F58)</f>
        <v>1.0754310344827587</v>
      </c>
      <c r="G61" s="57">
        <f>SUM(G46:G58)</f>
        <v>7238.925868965518</v>
      </c>
      <c r="H61" s="173">
        <f t="shared" si="19"/>
        <v>44756</v>
      </c>
      <c r="I61" s="175"/>
      <c r="J61" s="81">
        <f t="shared" si="0"/>
        <v>0</v>
      </c>
      <c r="K61" s="80"/>
      <c r="L61" s="186">
        <f t="shared" si="18"/>
        <v>7238.925868965518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14477.851737931036</v>
      </c>
      <c r="H64" s="184"/>
      <c r="I64" s="175"/>
      <c r="J64" s="81">
        <f t="shared" si="0"/>
        <v>0</v>
      </c>
      <c r="K64" s="80"/>
      <c r="L64" s="186">
        <f t="shared" si="18"/>
        <v>14477.851737931036</v>
      </c>
      <c r="M64" s="130"/>
      <c r="N64" s="87">
        <v>1</v>
      </c>
      <c r="O64" s="122" t="s">
        <v>172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14948.640000000001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14774.15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14931.45</v>
      </c>
      <c r="C69" s="59"/>
      <c r="F69" s="87" t="s">
        <v>129</v>
      </c>
      <c r="G69" s="22"/>
      <c r="H69" s="89"/>
      <c r="I69" s="136"/>
      <c r="J69" s="136">
        <f>K52</f>
        <v>23.25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-157.30000000000109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897</v>
      </c>
      <c r="Q70" s="228">
        <v>2002</v>
      </c>
      <c r="R70" s="255">
        <v>956.15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7.171125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948.97887500000002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17.190000000000509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23.25</v>
      </c>
      <c r="N71" s="87">
        <v>2</v>
      </c>
      <c r="O71" s="122" t="s">
        <v>188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812</v>
      </c>
      <c r="Q73" s="228">
        <v>2002</v>
      </c>
      <c r="R73" s="225">
        <v>2049.1</v>
      </c>
      <c r="S73" s="228"/>
      <c r="T73" s="228"/>
      <c r="U73" s="189">
        <f t="shared" si="34"/>
        <v>0</v>
      </c>
      <c r="V73" s="189">
        <f t="shared" si="35"/>
        <v>15.368249999999998</v>
      </c>
      <c r="W73" s="189">
        <f t="shared" si="36"/>
        <v>0</v>
      </c>
      <c r="X73" s="189">
        <f t="shared" si="37"/>
        <v>0</v>
      </c>
      <c r="Y73" s="189">
        <f t="shared" si="38"/>
        <v>2033.7317499999999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2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3005.25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22.539375</v>
      </c>
      <c r="W75" s="192">
        <f t="shared" si="41"/>
        <v>0</v>
      </c>
      <c r="X75" s="192">
        <f t="shared" si="41"/>
        <v>0</v>
      </c>
      <c r="Y75" s="192">
        <f t="shared" si="41"/>
        <v>2982.7106249999997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38.18</v>
      </c>
      <c r="Q78" s="137">
        <v>9.14</v>
      </c>
      <c r="R78" s="82">
        <v>7.4999999999999997E-3</v>
      </c>
      <c r="S78" s="194">
        <f>+(P78+Q78)*R78</f>
        <v>0.35489999999999999</v>
      </c>
      <c r="T78" s="213">
        <f>+(P78+Q78)-S78</f>
        <v>46.9651</v>
      </c>
      <c r="U78" s="211">
        <v>136.44999999999999</v>
      </c>
      <c r="V78" s="112"/>
      <c r="W78" s="113">
        <v>1.4999999999999999E-2</v>
      </c>
      <c r="X78" s="196">
        <f>+(U78+V78)*W78</f>
        <v>2.0467499999999998</v>
      </c>
      <c r="Y78" s="242">
        <f>+(U78+V78)-X78</f>
        <v>134.40324999999999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484.95</v>
      </c>
      <c r="N79" s="87">
        <v>2</v>
      </c>
      <c r="O79" s="87" t="s">
        <v>112</v>
      </c>
      <c r="P79" s="137">
        <v>141.94</v>
      </c>
      <c r="Q79" s="137">
        <v>3.48</v>
      </c>
      <c r="R79" s="82">
        <v>7.4999999999999997E-3</v>
      </c>
      <c r="S79" s="194">
        <f t="shared" ref="S79:S97" si="43">+(P79+Q79)*R79</f>
        <v>1.0906499999999999</v>
      </c>
      <c r="T79" s="213">
        <f t="shared" ref="T79:T97" si="44">+(P79+Q79)-S79</f>
        <v>144.32934999999998</v>
      </c>
      <c r="U79" s="211">
        <v>83.5</v>
      </c>
      <c r="V79" s="112"/>
      <c r="W79" s="113">
        <v>1.4999999999999999E-2</v>
      </c>
      <c r="X79" s="196">
        <f t="shared" ref="X79:X97" si="45">+(U79+V79)*W79</f>
        <v>1.2524999999999999</v>
      </c>
      <c r="Y79" s="242">
        <f t="shared" ref="Y79:Y97" si="46">+(U79+V79)-X79</f>
        <v>82.247500000000002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111.32</v>
      </c>
      <c r="Q80" s="137">
        <v>56.95</v>
      </c>
      <c r="R80" s="82">
        <v>7.4999999999999997E-3</v>
      </c>
      <c r="S80" s="194">
        <f t="shared" si="43"/>
        <v>1.2620249999999997</v>
      </c>
      <c r="T80" s="242">
        <f t="shared" si="44"/>
        <v>167.00797499999999</v>
      </c>
      <c r="U80" s="211">
        <v>186.99</v>
      </c>
      <c r="V80" s="112"/>
      <c r="W80" s="113">
        <v>1.4999999999999999E-2</v>
      </c>
      <c r="X80" s="196">
        <f t="shared" si="45"/>
        <v>2.8048500000000001</v>
      </c>
      <c r="Y80" s="242">
        <f t="shared" si="46"/>
        <v>184.18515000000002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484.95</v>
      </c>
      <c r="N81" s="87">
        <v>4</v>
      </c>
      <c r="O81" s="87" t="s">
        <v>112</v>
      </c>
      <c r="P81" s="87">
        <v>21.26</v>
      </c>
      <c r="Q81" s="137">
        <v>106.34</v>
      </c>
      <c r="R81" s="82">
        <v>7.4999999999999997E-3</v>
      </c>
      <c r="S81" s="194">
        <f t="shared" si="43"/>
        <v>0.95700000000000007</v>
      </c>
      <c r="T81" s="242">
        <f t="shared" si="44"/>
        <v>126.64300000000001</v>
      </c>
      <c r="U81" s="211">
        <v>163.21</v>
      </c>
      <c r="V81" s="112"/>
      <c r="W81" s="113">
        <v>1.4999999999999999E-2</v>
      </c>
      <c r="X81" s="196">
        <f t="shared" si="45"/>
        <v>2.44815</v>
      </c>
      <c r="Y81" s="242">
        <f t="shared" si="46"/>
        <v>160.76185000000001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312.7</v>
      </c>
      <c r="Q98" s="195">
        <f>SUM(Q78:Q97)</f>
        <v>175.91000000000003</v>
      </c>
      <c r="R98" s="111"/>
      <c r="S98" s="195">
        <f>SUM(S78:S97)</f>
        <v>3.6645749999999992</v>
      </c>
      <c r="T98" s="195">
        <f>SUM(T78:T97)</f>
        <v>484.945425</v>
      </c>
      <c r="U98" s="114">
        <f>SUM(U78:U97)</f>
        <v>570.15</v>
      </c>
      <c r="V98" s="114">
        <f>SUM(V78:V97)</f>
        <v>0</v>
      </c>
      <c r="W98" s="112"/>
      <c r="X98" s="197">
        <f>SUM(X78:X97)</f>
        <v>8.5522500000000008</v>
      </c>
      <c r="Y98" s="197">
        <f>SUM(Y78:Y97)</f>
        <v>561.59775000000002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35">
        <f>P78+Q78+U78</f>
        <v>183.76999999999998</v>
      </c>
      <c r="Q101" s="84"/>
    </row>
    <row r="102" spans="14:30" x14ac:dyDescent="0.25">
      <c r="N102" s="85"/>
      <c r="O102" s="84"/>
      <c r="P102" s="235">
        <f>P79+Q79+U79</f>
        <v>228.92</v>
      </c>
      <c r="Q102" s="84"/>
    </row>
    <row r="103" spans="14:30" x14ac:dyDescent="0.25">
      <c r="N103" s="85"/>
      <c r="O103" s="84"/>
      <c r="P103" s="235">
        <f>P80+U80+Q80</f>
        <v>355.26</v>
      </c>
      <c r="Q103" s="84"/>
    </row>
    <row r="104" spans="14:30" x14ac:dyDescent="0.25">
      <c r="N104" s="85"/>
      <c r="O104" s="84"/>
      <c r="P104" s="235">
        <f>Q81+U81+P81</f>
        <v>290.81</v>
      </c>
      <c r="Q104" s="84"/>
    </row>
    <row r="105" spans="14:30" x14ac:dyDescent="0.25">
      <c r="N105" s="85"/>
      <c r="O105" s="84"/>
      <c r="P105" s="235">
        <f>P82+Q82+U82</f>
        <v>0</v>
      </c>
      <c r="Q105" s="84"/>
    </row>
    <row r="106" spans="14:30" x14ac:dyDescent="0.25">
      <c r="N106" s="85"/>
      <c r="O106" s="84"/>
      <c r="P106" s="235">
        <f>P83+Q83+U83</f>
        <v>0</v>
      </c>
      <c r="Q106" s="84"/>
    </row>
    <row r="107" spans="14:30" x14ac:dyDescent="0.25">
      <c r="N107" s="85"/>
      <c r="O107" s="84"/>
      <c r="P107" s="84"/>
      <c r="Q107" s="84"/>
    </row>
    <row r="108" spans="14:30" x14ac:dyDescent="0.25">
      <c r="N108" s="85"/>
      <c r="O108" s="84"/>
      <c r="P108" s="84"/>
      <c r="Q108" s="84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4" zoomScale="90" zoomScaleNormal="90" workbookViewId="0">
      <selection activeCell="Y71" sqref="Y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187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44756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5.66</v>
      </c>
      <c r="C8" s="85" t="s">
        <v>94</v>
      </c>
      <c r="D8" s="108"/>
    </row>
    <row r="9" spans="1:28" x14ac:dyDescent="0.25">
      <c r="A9" s="7" t="s">
        <v>78</v>
      </c>
      <c r="B9" s="108">
        <v>5.68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1447.5</v>
      </c>
      <c r="C12" s="15"/>
      <c r="D12" s="56"/>
      <c r="E12" s="16"/>
      <c r="F12" s="56"/>
      <c r="G12" s="56"/>
      <c r="H12" s="17"/>
      <c r="I12" s="83">
        <v>1447.5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207</v>
      </c>
      <c r="Q12" s="158">
        <v>6</v>
      </c>
      <c r="R12" s="159">
        <v>1888.71</v>
      </c>
      <c r="S12" s="160"/>
      <c r="T12" s="160">
        <v>81.31</v>
      </c>
      <c r="U12" s="189">
        <f>((T12/U$10)*U$9)</f>
        <v>3.5047413793103455</v>
      </c>
      <c r="V12" s="189">
        <f>R12*V$10</f>
        <v>14.165324999999999</v>
      </c>
      <c r="W12" s="189">
        <f>+S12*V$10</f>
        <v>0</v>
      </c>
      <c r="X12" s="189">
        <f>+T12*X$10</f>
        <v>2.0327500000000001</v>
      </c>
      <c r="Y12" s="189">
        <f>R12-V12</f>
        <v>1874.5446750000001</v>
      </c>
      <c r="Z12" s="189">
        <f>S12-W12</f>
        <v>0</v>
      </c>
      <c r="AA12" s="189">
        <f>T12-U12-X12</f>
        <v>75.772508620689649</v>
      </c>
      <c r="AB12" s="156"/>
    </row>
    <row r="13" spans="1:28" ht="15.75" x14ac:dyDescent="0.25">
      <c r="A13" s="86" t="s">
        <v>76</v>
      </c>
      <c r="B13" s="89">
        <v>430</v>
      </c>
      <c r="C13" s="15"/>
      <c r="D13" s="56"/>
      <c r="E13" s="16"/>
      <c r="F13" s="56"/>
      <c r="G13" s="56"/>
      <c r="H13" s="17"/>
      <c r="I13" s="83">
        <v>430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206</v>
      </c>
      <c r="Q13" s="158">
        <v>6</v>
      </c>
      <c r="R13" s="159">
        <v>1066.8399999999999</v>
      </c>
      <c r="S13" s="160"/>
      <c r="T13" s="161">
        <v>25</v>
      </c>
      <c r="U13" s="189">
        <f t="shared" ref="U13:U41" si="2">((T13/U$10)*U$9)</f>
        <v>1.0775862068965518</v>
      </c>
      <c r="V13" s="189">
        <f t="shared" ref="V13:V41" si="3">R13*V$10</f>
        <v>8.0012999999999987</v>
      </c>
      <c r="W13" s="189">
        <f t="shared" ref="W13:W41" si="4">+S13*V$10</f>
        <v>0</v>
      </c>
      <c r="X13" s="189">
        <f t="shared" ref="X13:X41" si="5">+T13*X$10</f>
        <v>0.625</v>
      </c>
      <c r="Y13" s="189">
        <f t="shared" ref="Y13:Z41" si="6">R13-V13</f>
        <v>1058.8387</v>
      </c>
      <c r="Z13" s="189">
        <f t="shared" si="6"/>
        <v>0</v>
      </c>
      <c r="AA13" s="189">
        <f t="shared" ref="AA13:AA41" si="7">T13-U13-X13</f>
        <v>23.297413793103448</v>
      </c>
      <c r="AB13" s="156"/>
    </row>
    <row r="14" spans="1:28" ht="15.75" x14ac:dyDescent="0.25">
      <c r="A14" s="86" t="s">
        <v>83</v>
      </c>
      <c r="B14" s="57">
        <f>B13*B8</f>
        <v>2433.8000000000002</v>
      </c>
      <c r="C14" s="15"/>
      <c r="D14" s="56"/>
      <c r="E14" s="16"/>
      <c r="F14" s="56"/>
      <c r="G14" s="56"/>
      <c r="H14" s="17"/>
      <c r="I14" s="83">
        <v>2433.8000000000002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328</v>
      </c>
      <c r="C15" s="15"/>
      <c r="D15" s="56"/>
      <c r="E15" s="16"/>
      <c r="F15" s="56"/>
      <c r="G15" s="56"/>
      <c r="H15" s="17"/>
      <c r="I15" s="83">
        <v>328</v>
      </c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1863.04</v>
      </c>
      <c r="C16" s="15"/>
      <c r="D16" s="56"/>
      <c r="E16" s="16"/>
      <c r="F16" s="56"/>
      <c r="G16" s="56"/>
      <c r="H16" s="17"/>
      <c r="I16" s="83">
        <v>1863.04</v>
      </c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758</v>
      </c>
      <c r="C19" s="95"/>
      <c r="D19" s="94"/>
      <c r="E19" s="96"/>
      <c r="F19" s="94"/>
      <c r="G19" s="94"/>
      <c r="H19" s="98"/>
      <c r="I19" s="99">
        <v>758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4296.84</v>
      </c>
      <c r="C20" s="95"/>
      <c r="D20" s="94"/>
      <c r="E20" s="96"/>
      <c r="F20" s="94"/>
      <c r="G20" s="94"/>
      <c r="H20" s="98"/>
      <c r="I20" s="99">
        <v>4305.4399999999996</v>
      </c>
      <c r="J20" s="185">
        <f t="shared" si="0"/>
        <v>-8.5999999999994543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K36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2955.55</v>
      </c>
      <c r="S42" s="190">
        <f t="shared" si="8"/>
        <v>0</v>
      </c>
      <c r="T42" s="190">
        <f t="shared" si="8"/>
        <v>106.31</v>
      </c>
      <c r="U42" s="190">
        <f t="shared" si="8"/>
        <v>4.5823275862068975</v>
      </c>
      <c r="V42" s="190">
        <f t="shared" si="8"/>
        <v>22.166624999999996</v>
      </c>
      <c r="W42" s="190">
        <f t="shared" si="8"/>
        <v>0</v>
      </c>
      <c r="X42" s="190">
        <f t="shared" si="8"/>
        <v>2.6577500000000001</v>
      </c>
      <c r="Y42" s="190">
        <f t="shared" si="8"/>
        <v>2933.3833750000003</v>
      </c>
      <c r="Z42" s="190">
        <f t="shared" si="8"/>
        <v>0</v>
      </c>
      <c r="AA42" s="190">
        <f t="shared" si="8"/>
        <v>99.069922413793094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23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2955.55</v>
      </c>
      <c r="C46" s="116">
        <v>7.4999999999999997E-3</v>
      </c>
      <c r="D46" s="117">
        <f>B46*C46</f>
        <v>22.166625</v>
      </c>
      <c r="E46" s="172">
        <v>0</v>
      </c>
      <c r="F46" s="117">
        <f t="shared" ref="F46:F50" si="15">D46*E46</f>
        <v>0</v>
      </c>
      <c r="G46" s="117">
        <f t="shared" ref="G46:G51" si="16">B46-D46-F46</f>
        <v>2933.3833750000003</v>
      </c>
      <c r="H46" s="173">
        <f>B$6+1</f>
        <v>44757</v>
      </c>
      <c r="I46" s="174"/>
      <c r="J46" s="81">
        <f t="shared" si="0"/>
        <v>2955.55</v>
      </c>
      <c r="K46" s="80">
        <v>2933.38</v>
      </c>
      <c r="L46" s="186">
        <f>K46-G46</f>
        <v>-3.3750000002328306E-3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4104.8999999999996</v>
      </c>
      <c r="C49" s="116">
        <v>7.4999999999999997E-3</v>
      </c>
      <c r="D49" s="117">
        <f t="shared" si="17"/>
        <v>30.786749999999998</v>
      </c>
      <c r="E49" s="172">
        <v>0</v>
      </c>
      <c r="F49" s="117">
        <f t="shared" si="15"/>
        <v>0</v>
      </c>
      <c r="G49" s="117">
        <f t="shared" si="16"/>
        <v>4074.1132499999994</v>
      </c>
      <c r="H49" s="173">
        <f t="shared" si="19"/>
        <v>44757</v>
      </c>
      <c r="I49" s="176"/>
      <c r="J49" s="81">
        <f t="shared" si="0"/>
        <v>4104.8999999999996</v>
      </c>
      <c r="K49" s="80">
        <v>4074.11</v>
      </c>
      <c r="L49" s="186">
        <f t="shared" si="18"/>
        <v>3.2499999992978701E-3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828.15</v>
      </c>
      <c r="C50" s="116">
        <v>7.4999999999999997E-3</v>
      </c>
      <c r="D50" s="117">
        <f t="shared" si="17"/>
        <v>6.211125</v>
      </c>
      <c r="E50" s="172">
        <v>0</v>
      </c>
      <c r="F50" s="117">
        <f t="shared" si="15"/>
        <v>0</v>
      </c>
      <c r="G50" s="117">
        <f t="shared" si="16"/>
        <v>821.93887499999994</v>
      </c>
      <c r="H50" s="173">
        <f t="shared" si="19"/>
        <v>44757</v>
      </c>
      <c r="I50" s="175"/>
      <c r="J50" s="81">
        <f t="shared" si="0"/>
        <v>828.15</v>
      </c>
      <c r="K50" s="80">
        <v>821.94</v>
      </c>
      <c r="L50" s="186">
        <f t="shared" si="18"/>
        <v>-1.1250000001155058E-3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508.54</v>
      </c>
      <c r="C51" s="116">
        <v>1.4999999999999999E-2</v>
      </c>
      <c r="D51" s="117">
        <f>+B51*C51</f>
        <v>7.6280999999999999</v>
      </c>
      <c r="E51" s="172">
        <v>0</v>
      </c>
      <c r="F51" s="117">
        <f>D51*E51</f>
        <v>0</v>
      </c>
      <c r="G51" s="117">
        <f t="shared" si="16"/>
        <v>500.9119</v>
      </c>
      <c r="H51" s="173">
        <f t="shared" si="19"/>
        <v>44757</v>
      </c>
      <c r="I51" s="175"/>
      <c r="J51" s="81">
        <f t="shared" si="0"/>
        <v>508.54</v>
      </c>
      <c r="K51" s="80">
        <v>500.91</v>
      </c>
      <c r="L51" s="186">
        <f t="shared" si="18"/>
        <v>1.8999999999778083E-3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106.31</v>
      </c>
      <c r="C52" s="116">
        <v>2.5000000000000001E-2</v>
      </c>
      <c r="D52" s="117">
        <f>B52*C52</f>
        <v>2.6577500000000001</v>
      </c>
      <c r="E52" s="172">
        <v>0.05</v>
      </c>
      <c r="F52" s="117">
        <f>(B52/E$10)*E52</f>
        <v>4.5823275862068966</v>
      </c>
      <c r="G52" s="117">
        <f>B52-D52-F52</f>
        <v>99.069922413793108</v>
      </c>
      <c r="H52" s="188">
        <f t="shared" si="19"/>
        <v>44757</v>
      </c>
      <c r="I52" s="176">
        <v>106.31</v>
      </c>
      <c r="J52" s="81">
        <f t="shared" si="0"/>
        <v>0</v>
      </c>
      <c r="K52" s="80">
        <v>99.07</v>
      </c>
      <c r="L52" s="186">
        <f>K52-G52</f>
        <v>7.7586206884916464E-5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69.450349999999986</v>
      </c>
      <c r="E61" s="177"/>
      <c r="F61" s="57">
        <f>SUM(F46:F58)</f>
        <v>4.5823275862068966</v>
      </c>
      <c r="G61" s="57">
        <f>SUM(G46:G58)</f>
        <v>8429.4173224137921</v>
      </c>
      <c r="H61" s="173">
        <f t="shared" si="19"/>
        <v>44757</v>
      </c>
      <c r="I61" s="175"/>
      <c r="J61" s="81">
        <f t="shared" si="0"/>
        <v>0</v>
      </c>
      <c r="K61" s="80"/>
      <c r="L61" s="186">
        <f t="shared" si="18"/>
        <v>8429.4173224137921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16858.834644827584</v>
      </c>
      <c r="H64" s="184"/>
      <c r="I64" s="175"/>
      <c r="J64" s="81">
        <f t="shared" si="0"/>
        <v>0</v>
      </c>
      <c r="K64" s="80"/>
      <c r="L64" s="186">
        <f t="shared" si="18"/>
        <v>16858.834644827584</v>
      </c>
      <c r="M64" s="130"/>
      <c r="N64" s="87">
        <v>1</v>
      </c>
      <c r="O64" s="122" t="s">
        <v>212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14247.789999999999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14111.73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14226.77</v>
      </c>
      <c r="C69" s="59"/>
      <c r="F69" s="87" t="s">
        <v>129</v>
      </c>
      <c r="G69" s="22"/>
      <c r="H69" s="89"/>
      <c r="I69" s="136"/>
      <c r="J69" s="136">
        <f>K52</f>
        <v>99.07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-115.04000000000087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898</v>
      </c>
      <c r="Q70" s="228">
        <v>2002</v>
      </c>
      <c r="R70" s="255">
        <v>1426.41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10.698074999999999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1415.7119250000001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21.019999999998618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99.07</v>
      </c>
      <c r="N71" s="87">
        <v>2</v>
      </c>
      <c r="O71" s="122" t="s">
        <v>188</v>
      </c>
      <c r="P71" s="228">
        <v>899</v>
      </c>
      <c r="Q71" s="228">
        <v>2002</v>
      </c>
      <c r="R71" s="255">
        <v>640.5</v>
      </c>
      <c r="S71" s="228"/>
      <c r="T71" s="228"/>
      <c r="U71" s="189">
        <f t="shared" si="34"/>
        <v>0</v>
      </c>
      <c r="V71" s="189">
        <f t="shared" si="35"/>
        <v>4.80375</v>
      </c>
      <c r="W71" s="189">
        <f t="shared" si="36"/>
        <v>0</v>
      </c>
      <c r="X71" s="189">
        <f t="shared" si="37"/>
        <v>0</v>
      </c>
      <c r="Y71" s="189">
        <f t="shared" si="38"/>
        <v>635.69624999999996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8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813</v>
      </c>
      <c r="Q73" s="228">
        <v>2002</v>
      </c>
      <c r="R73" s="255">
        <v>2037.99</v>
      </c>
      <c r="S73" s="228"/>
      <c r="T73" s="228"/>
      <c r="U73" s="189">
        <f t="shared" si="34"/>
        <v>0</v>
      </c>
      <c r="V73" s="189">
        <f t="shared" si="35"/>
        <v>15.284924999999999</v>
      </c>
      <c r="W73" s="189">
        <f t="shared" si="36"/>
        <v>0</v>
      </c>
      <c r="X73" s="189">
        <f t="shared" si="37"/>
        <v>0</v>
      </c>
      <c r="Y73" s="189">
        <f t="shared" si="38"/>
        <v>2022.7050750000001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4104.8999999999996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30.786749999999998</v>
      </c>
      <c r="W75" s="192">
        <f t="shared" si="41"/>
        <v>0</v>
      </c>
      <c r="X75" s="192">
        <f t="shared" si="41"/>
        <v>0</v>
      </c>
      <c r="Y75" s="192">
        <f t="shared" si="41"/>
        <v>4074.1132500000003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152.13999999999999</v>
      </c>
      <c r="Q78" s="137">
        <v>190.82</v>
      </c>
      <c r="R78" s="82">
        <v>7.4999999999999997E-3</v>
      </c>
      <c r="S78" s="194">
        <f>+(P78+Q78)*R78</f>
        <v>2.5721999999999996</v>
      </c>
      <c r="T78" s="213">
        <f>+(P78+Q78)-S78</f>
        <v>340.38779999999997</v>
      </c>
      <c r="U78" s="211">
        <v>112.51</v>
      </c>
      <c r="V78" s="112"/>
      <c r="W78" s="113">
        <v>1.4999999999999999E-2</v>
      </c>
      <c r="X78" s="196">
        <f>+(U78+V78)*W78</f>
        <v>1.6876500000000001</v>
      </c>
      <c r="Y78" s="242">
        <f>+(U78+V78)-X78</f>
        <v>110.82235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821.94</v>
      </c>
      <c r="N79" s="87">
        <v>2</v>
      </c>
      <c r="O79" s="87" t="s">
        <v>112</v>
      </c>
      <c r="P79" s="137">
        <v>32.39</v>
      </c>
      <c r="Q79" s="137">
        <v>3</v>
      </c>
      <c r="R79" s="82">
        <v>7.4999999999999997E-3</v>
      </c>
      <c r="S79" s="194">
        <f t="shared" ref="S79:S97" si="43">+(P79+Q79)*R79</f>
        <v>0.26542500000000002</v>
      </c>
      <c r="T79" s="213">
        <f t="shared" ref="T79:T97" si="44">+(P79+Q79)-S79</f>
        <v>35.124575</v>
      </c>
      <c r="U79" s="211">
        <v>58.02</v>
      </c>
      <c r="V79" s="112"/>
      <c r="W79" s="113">
        <v>1.4999999999999999E-2</v>
      </c>
      <c r="X79" s="196">
        <f t="shared" ref="X79:X97" si="45">+(U79+V79)*W79</f>
        <v>0.87029999999999996</v>
      </c>
      <c r="Y79" s="242">
        <f t="shared" ref="Y79:Y97" si="46">+(U79+V79)-X79</f>
        <v>57.149700000000003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193.33</v>
      </c>
      <c r="Q80" s="137">
        <v>171.47</v>
      </c>
      <c r="R80" s="82">
        <v>7.4999999999999997E-3</v>
      </c>
      <c r="S80" s="194">
        <f t="shared" si="43"/>
        <v>2.7359999999999998</v>
      </c>
      <c r="T80" s="242">
        <f t="shared" si="44"/>
        <v>362.06400000000002</v>
      </c>
      <c r="U80" s="211">
        <v>141.80000000000001</v>
      </c>
      <c r="V80" s="112"/>
      <c r="W80" s="113">
        <v>1.4999999999999999E-2</v>
      </c>
      <c r="X80" s="196">
        <f t="shared" si="45"/>
        <v>2.1270000000000002</v>
      </c>
      <c r="Y80" s="242">
        <f t="shared" si="46"/>
        <v>139.673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821.94</v>
      </c>
      <c r="N81" s="87">
        <v>4</v>
      </c>
      <c r="O81" s="87" t="s">
        <v>112</v>
      </c>
      <c r="P81" s="137">
        <v>26.1</v>
      </c>
      <c r="Q81" s="137">
        <v>7</v>
      </c>
      <c r="R81" s="82">
        <v>7.4999999999999997E-3</v>
      </c>
      <c r="S81" s="194">
        <f t="shared" si="43"/>
        <v>0.24825</v>
      </c>
      <c r="T81" s="242">
        <f t="shared" si="44"/>
        <v>32.851750000000003</v>
      </c>
      <c r="U81" s="211">
        <v>173.27</v>
      </c>
      <c r="V81" s="112"/>
      <c r="W81" s="113">
        <v>1.4999999999999999E-2</v>
      </c>
      <c r="X81" s="196">
        <f t="shared" si="45"/>
        <v>2.5990500000000001</v>
      </c>
      <c r="Y81" s="242">
        <f t="shared" si="46"/>
        <v>170.67095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51.9</v>
      </c>
      <c r="Q82" s="137"/>
      <c r="R82" s="82">
        <v>7.4999999999999997E-3</v>
      </c>
      <c r="S82" s="194">
        <f t="shared" si="43"/>
        <v>0.38924999999999998</v>
      </c>
      <c r="T82" s="242">
        <f t="shared" si="44"/>
        <v>51.510750000000002</v>
      </c>
      <c r="U82" s="211">
        <v>22.94</v>
      </c>
      <c r="V82" s="112"/>
      <c r="W82" s="113">
        <v>1.4999999999999999E-2</v>
      </c>
      <c r="X82" s="196">
        <f t="shared" si="45"/>
        <v>0.34410000000000002</v>
      </c>
      <c r="Y82" s="242">
        <f t="shared" si="46"/>
        <v>22.5959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455.86</v>
      </c>
      <c r="Q98" s="195">
        <f>SUM(Q78:Q97)</f>
        <v>372.28999999999996</v>
      </c>
      <c r="R98" s="111"/>
      <c r="S98" s="195">
        <f>SUM(S78:S97)</f>
        <v>6.2111249999999991</v>
      </c>
      <c r="T98" s="195">
        <f>SUM(T78:T97)</f>
        <v>821.93887500000005</v>
      </c>
      <c r="U98" s="114">
        <f>SUM(U78:U97)</f>
        <v>508.54</v>
      </c>
      <c r="V98" s="114">
        <f>SUM(V78:V97)</f>
        <v>0</v>
      </c>
      <c r="W98" s="112"/>
      <c r="X98" s="197">
        <f>SUM(X78:X97)</f>
        <v>7.6281000000000008</v>
      </c>
      <c r="Y98" s="197">
        <f>SUM(Y78:Y97)</f>
        <v>500.91189999999995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84"/>
    </row>
    <row r="101" spans="14:30" x14ac:dyDescent="0.25">
      <c r="N101" s="85"/>
      <c r="Q101" s="84"/>
    </row>
    <row r="102" spans="14:30" x14ac:dyDescent="0.25">
      <c r="N102" s="85"/>
      <c r="Q102" s="215">
        <f>P78+U78+Q78</f>
        <v>455.46999999999997</v>
      </c>
    </row>
    <row r="103" spans="14:30" x14ac:dyDescent="0.25">
      <c r="N103" s="85"/>
      <c r="Q103" s="215">
        <f>Q79+P79+U79</f>
        <v>93.41</v>
      </c>
    </row>
    <row r="104" spans="14:30" x14ac:dyDescent="0.25">
      <c r="N104" s="85"/>
      <c r="Q104" s="215">
        <f>P80+Q80+U80</f>
        <v>506.6</v>
      </c>
    </row>
    <row r="105" spans="14:30" x14ac:dyDescent="0.25">
      <c r="N105" s="85"/>
      <c r="Q105" s="215">
        <f>P82+Q82+U82</f>
        <v>74.84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  <c r="Q107" s="215"/>
    </row>
    <row r="108" spans="14:30" x14ac:dyDescent="0.25">
      <c r="N108" s="85"/>
      <c r="Q108" s="23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D43" zoomScale="90" zoomScaleNormal="90" workbookViewId="0">
      <selection activeCell="G50" sqref="G5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190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44757</v>
      </c>
      <c r="D6" s="85" t="s">
        <v>23</v>
      </c>
      <c r="E6" s="8" t="s">
        <v>166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>
        <v>5.68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1601.5</v>
      </c>
      <c r="C12" s="15"/>
      <c r="D12" s="56"/>
      <c r="E12" s="16"/>
      <c r="F12" s="56"/>
      <c r="G12" s="56"/>
      <c r="H12" s="17"/>
      <c r="I12" s="83">
        <v>1601.5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214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506</v>
      </c>
      <c r="C13" s="15"/>
      <c r="D13" s="56"/>
      <c r="E13" s="16"/>
      <c r="F13" s="56"/>
      <c r="G13" s="56"/>
      <c r="H13" s="17"/>
      <c r="I13" s="83">
        <v>506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214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2884.2000000000003</v>
      </c>
      <c r="C14" s="15"/>
      <c r="D14" s="56"/>
      <c r="E14" s="16"/>
      <c r="F14" s="56"/>
      <c r="G14" s="56"/>
      <c r="H14" s="17"/>
      <c r="I14" s="83">
        <v>2884.2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218</v>
      </c>
      <c r="P14" s="158">
        <v>208</v>
      </c>
      <c r="Q14" s="158">
        <v>6</v>
      </c>
      <c r="R14" s="159">
        <v>810.51</v>
      </c>
      <c r="S14" s="160"/>
      <c r="T14" s="161"/>
      <c r="U14" s="189">
        <f t="shared" si="2"/>
        <v>0</v>
      </c>
      <c r="V14" s="189">
        <f t="shared" si="3"/>
        <v>6.0788250000000001</v>
      </c>
      <c r="W14" s="189">
        <f t="shared" si="4"/>
        <v>0</v>
      </c>
      <c r="X14" s="189">
        <f t="shared" si="5"/>
        <v>0</v>
      </c>
      <c r="Y14" s="189">
        <f t="shared" si="6"/>
        <v>804.43117499999994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536</v>
      </c>
      <c r="C15" s="15"/>
      <c r="D15" s="56"/>
      <c r="E15" s="16"/>
      <c r="F15" s="56"/>
      <c r="G15" s="56"/>
      <c r="H15" s="17"/>
      <c r="I15" s="83">
        <v>536</v>
      </c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218</v>
      </c>
      <c r="P15" s="158">
        <v>209</v>
      </c>
      <c r="Q15" s="158">
        <v>6</v>
      </c>
      <c r="R15" s="159">
        <v>1787.1</v>
      </c>
      <c r="S15" s="160"/>
      <c r="T15" s="160"/>
      <c r="U15" s="189">
        <f t="shared" si="2"/>
        <v>0</v>
      </c>
      <c r="V15" s="189">
        <f t="shared" si="3"/>
        <v>13.403249999999998</v>
      </c>
      <c r="W15" s="189">
        <f t="shared" si="4"/>
        <v>0</v>
      </c>
      <c r="X15" s="189">
        <f t="shared" si="5"/>
        <v>0</v>
      </c>
      <c r="Y15" s="189">
        <f t="shared" si="6"/>
        <v>1773.6967499999998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3044.48</v>
      </c>
      <c r="C16" s="15"/>
      <c r="D16" s="56"/>
      <c r="E16" s="16"/>
      <c r="F16" s="56"/>
      <c r="G16" s="56"/>
      <c r="H16" s="17"/>
      <c r="I16" s="83">
        <v>3044.48</v>
      </c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1042</v>
      </c>
      <c r="C19" s="95"/>
      <c r="D19" s="94"/>
      <c r="E19" s="96"/>
      <c r="F19" s="94"/>
      <c r="G19" s="94"/>
      <c r="H19" s="98"/>
      <c r="I19" s="99">
        <v>1042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5928.68</v>
      </c>
      <c r="C20" s="95"/>
      <c r="D20" s="94"/>
      <c r="E20" s="96"/>
      <c r="F20" s="94"/>
      <c r="G20" s="94"/>
      <c r="H20" s="98"/>
      <c r="I20" s="99">
        <v>5939.4</v>
      </c>
      <c r="J20" s="185">
        <f t="shared" si="0"/>
        <v>-10.719999999999345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2597.6099999999997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19.482074999999998</v>
      </c>
      <c r="W42" s="190">
        <f t="shared" si="8"/>
        <v>0</v>
      </c>
      <c r="X42" s="190">
        <f t="shared" si="8"/>
        <v>0</v>
      </c>
      <c r="Y42" s="190">
        <f t="shared" si="8"/>
        <v>2578.1279249999998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2597.6099999999997</v>
      </c>
      <c r="C46" s="116">
        <v>7.4999999999999997E-3</v>
      </c>
      <c r="D46" s="117">
        <f>B46*C46</f>
        <v>19.482074999999998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2578.1279249999998</v>
      </c>
      <c r="H46" s="173">
        <f>B$6+1</f>
        <v>44758</v>
      </c>
      <c r="I46" s="174"/>
      <c r="J46" s="81">
        <f t="shared" si="0"/>
        <v>2597.6099999999997</v>
      </c>
      <c r="K46" s="80">
        <v>2578.13</v>
      </c>
      <c r="L46" s="186">
        <f>K46-G46</f>
        <v>2.0750000003317837E-3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4274.22</v>
      </c>
      <c r="C49" s="116">
        <v>7.4999999999999997E-3</v>
      </c>
      <c r="D49" s="117">
        <f t="shared" si="17"/>
        <v>32.056649999999998</v>
      </c>
      <c r="E49" s="172">
        <v>0</v>
      </c>
      <c r="F49" s="117">
        <f t="shared" si="15"/>
        <v>0</v>
      </c>
      <c r="G49" s="117">
        <f t="shared" si="16"/>
        <v>4242.1633499999998</v>
      </c>
      <c r="H49" s="173">
        <f t="shared" si="19"/>
        <v>44758</v>
      </c>
      <c r="I49" s="176"/>
      <c r="J49" s="81">
        <f t="shared" si="0"/>
        <v>4274.22</v>
      </c>
      <c r="K49" s="80">
        <v>4242.16</v>
      </c>
      <c r="L49" s="186">
        <f t="shared" si="18"/>
        <v>3.3499999999548891E-3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778.23</v>
      </c>
      <c r="C50" s="116">
        <v>7.4999999999999997E-3</v>
      </c>
      <c r="D50" s="117">
        <f t="shared" si="17"/>
        <v>5.8367249999999995</v>
      </c>
      <c r="E50" s="172">
        <v>0</v>
      </c>
      <c r="F50" s="117">
        <f t="shared" si="15"/>
        <v>0</v>
      </c>
      <c r="G50" s="117">
        <f t="shared" si="16"/>
        <v>772.39327500000002</v>
      </c>
      <c r="H50" s="173">
        <f t="shared" si="19"/>
        <v>44758</v>
      </c>
      <c r="I50" s="175"/>
      <c r="J50" s="81">
        <f t="shared" si="0"/>
        <v>778.23</v>
      </c>
      <c r="K50" s="80">
        <v>772.39</v>
      </c>
      <c r="L50" s="186">
        <f t="shared" si="18"/>
        <v>3.275000000030559E-3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329.1</v>
      </c>
      <c r="C51" s="116">
        <v>1.4999999999999999E-2</v>
      </c>
      <c r="D51" s="117">
        <f>+B51*C51</f>
        <v>4.9365000000000006</v>
      </c>
      <c r="E51" s="172">
        <v>0</v>
      </c>
      <c r="F51" s="117">
        <f>D51*E51</f>
        <v>0</v>
      </c>
      <c r="G51" s="117">
        <f t="shared" si="16"/>
        <v>324.1635</v>
      </c>
      <c r="H51" s="173">
        <f t="shared" si="19"/>
        <v>44758</v>
      </c>
      <c r="I51" s="175"/>
      <c r="J51" s="81">
        <f t="shared" si="0"/>
        <v>329.1</v>
      </c>
      <c r="K51" s="80">
        <v>324.16000000000003</v>
      </c>
      <c r="L51" s="186">
        <f t="shared" si="18"/>
        <v>3.4999999999740794E-3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46.68</v>
      </c>
      <c r="C56" s="116">
        <v>2.5000000000000001E-2</v>
      </c>
      <c r="D56" s="117">
        <f t="shared" si="20"/>
        <v>1.167</v>
      </c>
      <c r="E56" s="172">
        <v>0.05</v>
      </c>
      <c r="F56" s="117">
        <f t="shared" si="21"/>
        <v>2.0120689655172419</v>
      </c>
      <c r="G56" s="117">
        <f t="shared" si="22"/>
        <v>43.500931034482754</v>
      </c>
      <c r="H56" s="173">
        <f t="shared" si="19"/>
        <v>44758</v>
      </c>
      <c r="I56" s="176">
        <v>46.68</v>
      </c>
      <c r="J56" s="81">
        <f t="shared" si="0"/>
        <v>0</v>
      </c>
      <c r="K56" s="80"/>
      <c r="L56" s="186">
        <f t="shared" si="18"/>
        <v>43.500931034482754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63.478950000000005</v>
      </c>
      <c r="E61" s="177"/>
      <c r="F61" s="57">
        <f>SUM(F46:F58)</f>
        <v>2.0120689655172419</v>
      </c>
      <c r="G61" s="57">
        <f>SUM(G46:G58)</f>
        <v>7960.3489810344827</v>
      </c>
      <c r="H61" s="173">
        <f t="shared" si="19"/>
        <v>44758</v>
      </c>
      <c r="I61" s="175"/>
      <c r="J61" s="81">
        <f t="shared" si="0"/>
        <v>0</v>
      </c>
      <c r="K61" s="80"/>
      <c r="L61" s="186">
        <f t="shared" si="18"/>
        <v>7960.3489810344827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15920.697962068965</v>
      </c>
      <c r="H64" s="184"/>
      <c r="I64" s="175"/>
      <c r="J64" s="81">
        <f t="shared" si="0"/>
        <v>0</v>
      </c>
      <c r="K64" s="80"/>
      <c r="L64" s="186">
        <f t="shared" si="18"/>
        <v>15920.697962068965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15556.020000000002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223</v>
      </c>
      <c r="B68" s="77">
        <v>15367.3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15530.84</v>
      </c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-163.54000000000087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184</v>
      </c>
      <c r="P70" s="228">
        <v>900</v>
      </c>
      <c r="Q70" s="228">
        <v>2002</v>
      </c>
      <c r="R70" s="222">
        <v>1237.4000000000001</v>
      </c>
      <c r="S70" s="228"/>
      <c r="T70" s="228">
        <v>36.99</v>
      </c>
      <c r="U70" s="189">
        <f t="shared" ref="U70:U74" si="34">((T70/U$10)*U$9)</f>
        <v>1.5943965517241381</v>
      </c>
      <c r="V70" s="189">
        <f t="shared" ref="V70:V74" si="35">R70*V$10</f>
        <v>9.2805</v>
      </c>
      <c r="W70" s="189">
        <f t="shared" ref="W70:W74" si="36">+S70*V$10</f>
        <v>0</v>
      </c>
      <c r="X70" s="189">
        <f t="shared" ref="X70:X74" si="37">+T70*X$10</f>
        <v>0.92475000000000007</v>
      </c>
      <c r="Y70" s="189">
        <f t="shared" ref="Y70:Z74" si="38">R70-V70</f>
        <v>1228.1195</v>
      </c>
      <c r="Z70" s="189">
        <f t="shared" si="38"/>
        <v>0</v>
      </c>
      <c r="AA70" s="189">
        <f t="shared" ref="AA70:AA74" si="39">T70-U70-X70</f>
        <v>34.470853448275861</v>
      </c>
      <c r="AB70" s="87"/>
    </row>
    <row r="71" spans="1:30" ht="28.5" customHeight="1" thickBot="1" x14ac:dyDescent="0.3">
      <c r="A71" s="25" t="s">
        <v>57</v>
      </c>
      <c r="B71" s="70">
        <f>(B65-B69)-B72</f>
        <v>25.18000000000211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184</v>
      </c>
      <c r="P71" s="228">
        <v>901</v>
      </c>
      <c r="Q71" s="228">
        <v>2002</v>
      </c>
      <c r="R71" s="222">
        <v>1189.8599999999999</v>
      </c>
      <c r="S71" s="228"/>
      <c r="T71" s="222">
        <v>9.69</v>
      </c>
      <c r="U71" s="189">
        <f t="shared" si="34"/>
        <v>0.41767241379310349</v>
      </c>
      <c r="V71" s="189">
        <f t="shared" si="35"/>
        <v>8.9239499999999996</v>
      </c>
      <c r="W71" s="189">
        <f t="shared" si="36"/>
        <v>0</v>
      </c>
      <c r="X71" s="189">
        <f t="shared" si="37"/>
        <v>0.24224999999999999</v>
      </c>
      <c r="Y71" s="189">
        <f t="shared" si="38"/>
        <v>1180.9360499999998</v>
      </c>
      <c r="Z71" s="189">
        <f t="shared" si="38"/>
        <v>0</v>
      </c>
      <c r="AA71" s="189">
        <f t="shared" si="39"/>
        <v>9.0300775862068949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184</v>
      </c>
      <c r="P72" s="228"/>
      <c r="Q72" s="228"/>
      <c r="R72" s="228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814</v>
      </c>
      <c r="Q73" s="228">
        <v>2002</v>
      </c>
      <c r="R73" s="255">
        <v>1846.96</v>
      </c>
      <c r="S73" s="228"/>
      <c r="T73" s="228"/>
      <c r="U73" s="189">
        <f t="shared" si="34"/>
        <v>0</v>
      </c>
      <c r="V73" s="189">
        <f t="shared" si="35"/>
        <v>13.8522</v>
      </c>
      <c r="W73" s="189">
        <f t="shared" si="36"/>
        <v>0</v>
      </c>
      <c r="X73" s="189">
        <f t="shared" si="37"/>
        <v>0</v>
      </c>
      <c r="Y73" s="189">
        <f t="shared" si="38"/>
        <v>1833.1078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4274.22</v>
      </c>
      <c r="S75" s="192"/>
      <c r="T75" s="192">
        <f>SUM(T70:T74)</f>
        <v>46.68</v>
      </c>
      <c r="U75" s="192">
        <f>SUM(U70:U74)</f>
        <v>2.0120689655172415</v>
      </c>
      <c r="V75" s="192">
        <f t="shared" ref="V75:AA75" si="41">SUM(V70:V74)</f>
        <v>32.056650000000005</v>
      </c>
      <c r="W75" s="192">
        <f t="shared" si="41"/>
        <v>0</v>
      </c>
      <c r="X75" s="192">
        <f t="shared" si="41"/>
        <v>1.167</v>
      </c>
      <c r="Y75" s="192">
        <f t="shared" si="41"/>
        <v>4242.1633499999998</v>
      </c>
      <c r="Z75" s="192">
        <f t="shared" si="41"/>
        <v>0</v>
      </c>
      <c r="AA75" s="193">
        <f t="shared" si="41"/>
        <v>43.500931034482754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79.28</v>
      </c>
      <c r="Q78" s="137">
        <v>33.4</v>
      </c>
      <c r="R78" s="82">
        <v>7.4999999999999997E-3</v>
      </c>
      <c r="S78" s="194">
        <f>+(P78+Q78)*R78</f>
        <v>0.84510000000000007</v>
      </c>
      <c r="T78" s="242">
        <f>+(P78+Q78)-S78</f>
        <v>111.8349</v>
      </c>
      <c r="U78" s="211">
        <v>95.98</v>
      </c>
      <c r="V78" s="112"/>
      <c r="W78" s="113">
        <v>1.4999999999999999E-2</v>
      </c>
      <c r="X78" s="196">
        <f>+(U78+V78)*W78</f>
        <v>1.4397</v>
      </c>
      <c r="Y78" s="242">
        <f>+(U78+V78)-X78</f>
        <v>94.540300000000002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772.39</v>
      </c>
      <c r="N79" s="87">
        <v>2</v>
      </c>
      <c r="O79" s="87" t="s">
        <v>112</v>
      </c>
      <c r="P79" s="137">
        <v>32.93</v>
      </c>
      <c r="Q79" s="137">
        <v>159.61000000000001</v>
      </c>
      <c r="R79" s="82">
        <v>7.4999999999999997E-3</v>
      </c>
      <c r="S79" s="194">
        <f t="shared" ref="S79:S97" si="43">+(P79+Q79)*R79</f>
        <v>1.4440500000000001</v>
      </c>
      <c r="T79" s="242">
        <f t="shared" ref="T79:T97" si="44">+(P79+Q79)-S79</f>
        <v>191.09595000000002</v>
      </c>
      <c r="U79" s="211">
        <v>97.8</v>
      </c>
      <c r="V79" s="112"/>
      <c r="W79" s="113">
        <v>1.4999999999999999E-2</v>
      </c>
      <c r="X79" s="196">
        <f t="shared" ref="X79:X97" si="45">+(U79+V79)*W79</f>
        <v>1.4669999999999999</v>
      </c>
      <c r="Y79" s="242">
        <f t="shared" ref="Y79:Y97" si="46">+(U79+V79)-X79</f>
        <v>96.332999999999998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15.33</v>
      </c>
      <c r="Q80" s="137"/>
      <c r="R80" s="82">
        <v>7.4999999999999997E-3</v>
      </c>
      <c r="S80" s="194">
        <f t="shared" si="43"/>
        <v>0.11497499999999999</v>
      </c>
      <c r="T80" s="251">
        <f t="shared" si="44"/>
        <v>15.215025000000001</v>
      </c>
      <c r="U80" s="211">
        <v>63.02</v>
      </c>
      <c r="V80" s="112"/>
      <c r="W80" s="113">
        <v>1.4999999999999999E-2</v>
      </c>
      <c r="X80" s="196">
        <f t="shared" si="45"/>
        <v>0.94530000000000003</v>
      </c>
      <c r="Y80" s="251">
        <f t="shared" si="46"/>
        <v>62.0747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772.39</v>
      </c>
      <c r="N81" s="87">
        <v>4</v>
      </c>
      <c r="O81" s="87" t="s">
        <v>112</v>
      </c>
      <c r="P81" s="137">
        <v>228.91</v>
      </c>
      <c r="Q81" s="137">
        <v>108.95</v>
      </c>
      <c r="R81" s="82">
        <v>7.4999999999999997E-3</v>
      </c>
      <c r="S81" s="194">
        <f t="shared" si="43"/>
        <v>2.5339499999999999</v>
      </c>
      <c r="T81" s="242">
        <f t="shared" si="44"/>
        <v>335.32605000000001</v>
      </c>
      <c r="U81" s="211">
        <v>46.68</v>
      </c>
      <c r="V81" s="112"/>
      <c r="W81" s="113">
        <v>1.4999999999999999E-2</v>
      </c>
      <c r="X81" s="196">
        <f t="shared" si="45"/>
        <v>0.70019999999999993</v>
      </c>
      <c r="Y81" s="242">
        <f t="shared" si="46"/>
        <v>45.979799999999997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101.56</v>
      </c>
      <c r="Q82" s="87">
        <v>18.260000000000002</v>
      </c>
      <c r="R82" s="82">
        <v>7.4999999999999997E-3</v>
      </c>
      <c r="S82" s="194">
        <f t="shared" si="43"/>
        <v>0.89865000000000006</v>
      </c>
      <c r="T82" s="251">
        <f t="shared" si="44"/>
        <v>118.92135</v>
      </c>
      <c r="U82" s="211">
        <v>25.62</v>
      </c>
      <c r="V82" s="112"/>
      <c r="W82" s="113">
        <v>1.4999999999999999E-2</v>
      </c>
      <c r="X82" s="196">
        <f t="shared" si="45"/>
        <v>0.38429999999999997</v>
      </c>
      <c r="Y82" s="251">
        <f t="shared" si="46"/>
        <v>25.235700000000001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223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458.01</v>
      </c>
      <c r="Q98" s="195">
        <f>SUM(Q78:Q97)</f>
        <v>320.22000000000003</v>
      </c>
      <c r="R98" s="111"/>
      <c r="S98" s="195">
        <f>SUM(S78:S97)</f>
        <v>5.8367249999999995</v>
      </c>
      <c r="T98" s="195">
        <f>SUM(T78:T97)</f>
        <v>772.39327500000002</v>
      </c>
      <c r="U98" s="114">
        <f>SUM(U78:U97)</f>
        <v>329.1</v>
      </c>
      <c r="V98" s="114">
        <f>SUM(V78:V97)</f>
        <v>0</v>
      </c>
      <c r="W98" s="112"/>
      <c r="X98" s="197">
        <f>SUM(X78:X97)</f>
        <v>4.9364999999999997</v>
      </c>
      <c r="Y98" s="197">
        <f>SUM(Y78:Y97)</f>
        <v>324.1635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208.66000000000003</v>
      </c>
    </row>
    <row r="102" spans="14:30" x14ac:dyDescent="0.25">
      <c r="N102" s="85"/>
      <c r="R102" s="215">
        <f>P79+U79+Q79</f>
        <v>290.34000000000003</v>
      </c>
    </row>
    <row r="103" spans="14:30" x14ac:dyDescent="0.25">
      <c r="N103" s="85"/>
      <c r="R103" s="215">
        <f>P80+Q80+U80</f>
        <v>78.350000000000009</v>
      </c>
    </row>
    <row r="104" spans="14:30" x14ac:dyDescent="0.25">
      <c r="N104" s="85"/>
      <c r="R104" s="215">
        <f>P81+U81+Q81</f>
        <v>384.53999999999996</v>
      </c>
    </row>
    <row r="105" spans="14:30" x14ac:dyDescent="0.25">
      <c r="N105" s="85"/>
      <c r="R105" s="215">
        <f>P82+U82+Q82</f>
        <v>145.44</v>
      </c>
    </row>
    <row r="106" spans="14:30" x14ac:dyDescent="0.25">
      <c r="N106" s="85"/>
      <c r="R106" s="235">
        <f>P83+Q83+U83</f>
        <v>0</v>
      </c>
    </row>
    <row r="107" spans="14:30" x14ac:dyDescent="0.25">
      <c r="N107" s="85"/>
      <c r="R107" s="23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9" x14ac:dyDescent="0.25">
      <c r="N113" s="85"/>
    </row>
    <row r="114" spans="14:19" x14ac:dyDescent="0.25">
      <c r="N114" s="85"/>
    </row>
    <row r="115" spans="14:19" x14ac:dyDescent="0.25">
      <c r="N115" s="85"/>
      <c r="R115" s="224"/>
      <c r="S115" s="212"/>
    </row>
    <row r="116" spans="14:19" x14ac:dyDescent="0.25">
      <c r="N116" s="76"/>
    </row>
    <row r="118" spans="14:19" x14ac:dyDescent="0.25">
      <c r="N118" s="78"/>
    </row>
    <row r="119" spans="14:19" x14ac:dyDescent="0.25">
      <c r="N119" s="90"/>
    </row>
    <row r="120" spans="14:19" x14ac:dyDescent="0.25">
      <c r="N120" s="92"/>
    </row>
    <row r="121" spans="14:19" x14ac:dyDescent="0.25">
      <c r="N121" s="92"/>
    </row>
    <row r="122" spans="14:19" x14ac:dyDescent="0.25">
      <c r="N122" s="92"/>
    </row>
    <row r="123" spans="14:19" x14ac:dyDescent="0.25">
      <c r="N123" s="92"/>
    </row>
    <row r="124" spans="14:19" x14ac:dyDescent="0.25">
      <c r="N124" s="92"/>
    </row>
    <row r="125" spans="14:19" x14ac:dyDescent="0.25">
      <c r="N125" s="92"/>
    </row>
    <row r="126" spans="14:19" x14ac:dyDescent="0.25">
      <c r="N126" s="90"/>
    </row>
    <row r="127" spans="14:19" x14ac:dyDescent="0.25">
      <c r="N127" s="92"/>
    </row>
    <row r="128" spans="14:19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7" zoomScale="90" zoomScaleNormal="90" workbookViewId="0">
      <selection activeCell="X72" sqref="X7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0.855468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187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44758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>
        <v>5.75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1910.5</v>
      </c>
      <c r="C12" s="15"/>
      <c r="D12" s="56"/>
      <c r="E12" s="16"/>
      <c r="F12" s="56"/>
      <c r="G12" s="56"/>
      <c r="H12" s="17"/>
      <c r="I12" s="83">
        <v>1910.5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210</v>
      </c>
      <c r="Q12" s="158">
        <v>6</v>
      </c>
      <c r="R12" s="159">
        <v>2106.5500000000002</v>
      </c>
      <c r="S12" s="160"/>
      <c r="T12" s="160">
        <v>91.34</v>
      </c>
      <c r="U12" s="189">
        <f>((T12/U$10)*U$9)</f>
        <v>3.9370689655172422</v>
      </c>
      <c r="V12" s="189">
        <f>R12*V$10</f>
        <v>15.799125</v>
      </c>
      <c r="W12" s="189">
        <f>+S12*V$10</f>
        <v>0</v>
      </c>
      <c r="X12" s="189">
        <f>+T12*X$10</f>
        <v>2.2835000000000001</v>
      </c>
      <c r="Y12" s="189">
        <f>R12-V12</f>
        <v>2090.7508750000002</v>
      </c>
      <c r="Z12" s="189">
        <f>S12-W12</f>
        <v>0</v>
      </c>
      <c r="AA12" s="189">
        <f>T12-U12-X12</f>
        <v>85.119431034482758</v>
      </c>
      <c r="AB12" s="156"/>
    </row>
    <row r="13" spans="1:28" ht="15.75" x14ac:dyDescent="0.25">
      <c r="A13" s="86" t="s">
        <v>76</v>
      </c>
      <c r="B13" s="89">
        <v>1765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1765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211</v>
      </c>
      <c r="Q13" s="158">
        <v>6</v>
      </c>
      <c r="R13" s="159">
        <v>2143.41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16.075574999999997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2127.334425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10060.5</v>
      </c>
      <c r="C14" s="15"/>
      <c r="D14" s="56"/>
      <c r="E14" s="16"/>
      <c r="F14" s="56"/>
      <c r="G14" s="56"/>
      <c r="H14" s="17"/>
      <c r="I14" s="83"/>
      <c r="J14" s="81">
        <f t="shared" si="0"/>
        <v>10060.5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1765</v>
      </c>
      <c r="C19" s="95"/>
      <c r="D19" s="94"/>
      <c r="E19" s="96"/>
      <c r="F19" s="94"/>
      <c r="G19" s="94"/>
      <c r="H19" s="98"/>
      <c r="I19" s="99"/>
      <c r="J19" s="185">
        <f>B19-I19</f>
        <v>1765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10060.5</v>
      </c>
      <c r="C20" s="95"/>
      <c r="D20" s="94"/>
      <c r="E20" s="96"/>
      <c r="F20" s="94"/>
      <c r="G20" s="94"/>
      <c r="H20" s="98"/>
      <c r="I20" s="99">
        <v>10060.5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50</v>
      </c>
      <c r="C21" s="100"/>
      <c r="D21" s="66"/>
      <c r="E21" s="67"/>
      <c r="F21" s="66"/>
      <c r="G21" s="66"/>
      <c r="H21" s="102"/>
      <c r="I21" s="79">
        <v>50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287.5</v>
      </c>
      <c r="C22" s="100"/>
      <c r="D22" s="66"/>
      <c r="E22" s="67"/>
      <c r="F22" s="66"/>
      <c r="G22" s="66"/>
      <c r="H22" s="102"/>
      <c r="I22" s="79">
        <v>287.5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50</v>
      </c>
      <c r="C27" s="95"/>
      <c r="D27" s="94"/>
      <c r="E27" s="96"/>
      <c r="F27" s="94"/>
      <c r="G27" s="94"/>
      <c r="H27" s="98"/>
      <c r="I27" s="99">
        <v>50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287.5</v>
      </c>
      <c r="C28" s="95"/>
      <c r="D28" s="94"/>
      <c r="E28" s="96"/>
      <c r="F28" s="94"/>
      <c r="G28" s="94"/>
      <c r="H28" s="98"/>
      <c r="I28" s="99">
        <v>287.5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49.99</v>
      </c>
      <c r="C29" s="100"/>
      <c r="D29" s="66"/>
      <c r="E29" s="67"/>
      <c r="F29" s="66"/>
      <c r="G29" s="66"/>
      <c r="H29" s="102"/>
      <c r="I29" s="79">
        <v>49.99</v>
      </c>
      <c r="J29" s="81">
        <f t="shared" si="0"/>
        <v>0</v>
      </c>
      <c r="K29" s="80"/>
      <c r="L29" s="186">
        <f>K29-B29</f>
        <v>-49.99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284.94300000000004</v>
      </c>
      <c r="C30" s="100"/>
      <c r="D30" s="66"/>
      <c r="E30" s="67"/>
      <c r="F30" s="66"/>
      <c r="G30" s="66"/>
      <c r="H30" s="102"/>
      <c r="I30" s="79">
        <v>284.94</v>
      </c>
      <c r="J30" s="81">
        <f t="shared" si="0"/>
        <v>3.0000000000427463E-3</v>
      </c>
      <c r="K30" s="80"/>
      <c r="L30" s="186">
        <f>K30-B30</f>
        <v>-284.94300000000004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49.99</v>
      </c>
      <c r="C35" s="95"/>
      <c r="D35" s="94"/>
      <c r="E35" s="96"/>
      <c r="F35" s="94"/>
      <c r="G35" s="94"/>
      <c r="H35" s="98"/>
      <c r="I35" s="239">
        <v>49.99</v>
      </c>
      <c r="J35" s="185">
        <f t="shared" si="0"/>
        <v>0</v>
      </c>
      <c r="K35" s="99"/>
      <c r="L35" s="187">
        <f>K35-B35</f>
        <v>-49.99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284.94300000000004</v>
      </c>
      <c r="C36" s="95"/>
      <c r="D36" s="94"/>
      <c r="E36" s="96"/>
      <c r="F36" s="94"/>
      <c r="G36" s="94"/>
      <c r="H36" s="98"/>
      <c r="I36" s="99">
        <v>284.94</v>
      </c>
      <c r="J36" s="185">
        <f t="shared" si="0"/>
        <v>3.0000000000427463E-3</v>
      </c>
      <c r="K36" s="99"/>
      <c r="L36" s="187">
        <f>K36-B36</f>
        <v>-284.94300000000004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4249.96</v>
      </c>
      <c r="S42" s="190">
        <f t="shared" si="8"/>
        <v>0</v>
      </c>
      <c r="T42" s="190">
        <f t="shared" si="8"/>
        <v>91.34</v>
      </c>
      <c r="U42" s="190">
        <f t="shared" si="8"/>
        <v>3.9370689655172422</v>
      </c>
      <c r="V42" s="190">
        <f t="shared" si="8"/>
        <v>31.874699999999997</v>
      </c>
      <c r="W42" s="190">
        <f t="shared" si="8"/>
        <v>0</v>
      </c>
      <c r="X42" s="190">
        <f t="shared" si="8"/>
        <v>2.2835000000000001</v>
      </c>
      <c r="Y42" s="190">
        <f t="shared" si="8"/>
        <v>4218.0853000000006</v>
      </c>
      <c r="Z42" s="190">
        <f t="shared" si="8"/>
        <v>0</v>
      </c>
      <c r="AA42" s="190">
        <f t="shared" si="8"/>
        <v>85.119431034482758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4249.96</v>
      </c>
      <c r="C46" s="116">
        <v>7.4999999999999997E-3</v>
      </c>
      <c r="D46" s="117">
        <f>B46*C46</f>
        <v>31.874700000000001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4218.0852999999997</v>
      </c>
      <c r="H46" s="173">
        <f>B$6+1</f>
        <v>44759</v>
      </c>
      <c r="I46" s="174"/>
      <c r="J46" s="81">
        <f t="shared" si="0"/>
        <v>4249.96</v>
      </c>
      <c r="K46" s="80">
        <v>4218.09</v>
      </c>
      <c r="L46" s="186">
        <f>K46-G46</f>
        <v>4.7000000004118192E-3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44759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5818.63</v>
      </c>
      <c r="C49" s="116">
        <v>7.4999999999999997E-3</v>
      </c>
      <c r="D49" s="117">
        <f t="shared" si="17"/>
        <v>43.639724999999999</v>
      </c>
      <c r="E49" s="172">
        <v>0</v>
      </c>
      <c r="F49" s="117">
        <f t="shared" si="15"/>
        <v>0</v>
      </c>
      <c r="G49" s="117">
        <f t="shared" si="16"/>
        <v>5774.9902750000001</v>
      </c>
      <c r="H49" s="173">
        <f t="shared" si="19"/>
        <v>44759</v>
      </c>
      <c r="I49" s="176"/>
      <c r="J49" s="81">
        <f t="shared" si="0"/>
        <v>5818.63</v>
      </c>
      <c r="K49" s="80">
        <v>5774.99</v>
      </c>
      <c r="L49" s="186">
        <f t="shared" si="18"/>
        <v>2.7500000032887328E-4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1524.11</v>
      </c>
      <c r="C50" s="116">
        <v>7.4999999999999997E-3</v>
      </c>
      <c r="D50" s="117">
        <f t="shared" si="17"/>
        <v>11.430824999999999</v>
      </c>
      <c r="E50" s="172">
        <v>0</v>
      </c>
      <c r="F50" s="117">
        <f t="shared" si="15"/>
        <v>0</v>
      </c>
      <c r="G50" s="117">
        <f t="shared" si="16"/>
        <v>1512.679175</v>
      </c>
      <c r="H50" s="173">
        <f t="shared" si="19"/>
        <v>44759</v>
      </c>
      <c r="I50" s="175"/>
      <c r="J50" s="81">
        <f t="shared" si="0"/>
        <v>1524.11</v>
      </c>
      <c r="K50" s="80">
        <v>1512.68</v>
      </c>
      <c r="L50" s="186">
        <f t="shared" si="18"/>
        <v>-8.2500000007712515E-4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472.7</v>
      </c>
      <c r="C51" s="116">
        <v>1.4999999999999999E-2</v>
      </c>
      <c r="D51" s="117">
        <f>+B51*C51</f>
        <v>7.0904999999999996</v>
      </c>
      <c r="E51" s="172">
        <v>0</v>
      </c>
      <c r="F51" s="117">
        <f>D51*E51</f>
        <v>0</v>
      </c>
      <c r="G51" s="117">
        <f t="shared" si="16"/>
        <v>465.60949999999997</v>
      </c>
      <c r="H51" s="173">
        <f t="shared" si="19"/>
        <v>44759</v>
      </c>
      <c r="I51" s="175"/>
      <c r="J51" s="81">
        <f t="shared" si="0"/>
        <v>472.7</v>
      </c>
      <c r="K51" s="80">
        <v>465.61</v>
      </c>
      <c r="L51" s="186">
        <f t="shared" si="18"/>
        <v>-5.0000000004501999E-4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91.34</v>
      </c>
      <c r="C52" s="116">
        <v>2.5000000000000001E-2</v>
      </c>
      <c r="D52" s="117">
        <f>B52*C52</f>
        <v>2.2835000000000001</v>
      </c>
      <c r="E52" s="172">
        <v>0.05</v>
      </c>
      <c r="F52" s="117">
        <f>(B52/E$10)*E52</f>
        <v>3.9370689655172422</v>
      </c>
      <c r="G52" s="117">
        <f>B52-D52-F52</f>
        <v>85.119431034482758</v>
      </c>
      <c r="H52" s="188">
        <f t="shared" si="19"/>
        <v>44759</v>
      </c>
      <c r="I52" s="176">
        <v>91.34</v>
      </c>
      <c r="J52" s="81">
        <f t="shared" si="0"/>
        <v>0</v>
      </c>
      <c r="K52" s="80">
        <v>85.12</v>
      </c>
      <c r="L52" s="186">
        <f>K52-G52</f>
        <v>5.6896551724605615E-4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44759</v>
      </c>
      <c r="I56" s="176"/>
      <c r="J56" s="81" t="s">
        <v>167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44761</v>
      </c>
      <c r="I57" s="175"/>
      <c r="J57" s="81">
        <f t="shared" si="0"/>
        <v>0</v>
      </c>
      <c r="K57" s="225" t="s">
        <v>167</v>
      </c>
      <c r="L57" s="186"/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96.319250000000011</v>
      </c>
      <c r="E61" s="177"/>
      <c r="F61" s="57">
        <f>SUM(F46:F58)</f>
        <v>3.9370689655172422</v>
      </c>
      <c r="G61" s="57">
        <f>SUM(G46:G58)</f>
        <v>12056.483681034482</v>
      </c>
      <c r="H61" s="173">
        <f t="shared" si="19"/>
        <v>44759</v>
      </c>
      <c r="I61" s="175"/>
      <c r="J61" s="81">
        <f t="shared" si="0"/>
        <v>0</v>
      </c>
      <c r="K61" s="80"/>
      <c r="L61" s="186">
        <f t="shared" si="18"/>
        <v>12056.483681034482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24112.967362068965</v>
      </c>
      <c r="H64" s="184"/>
      <c r="I64" s="175"/>
      <c r="J64" s="81">
        <f t="shared" si="0"/>
        <v>0</v>
      </c>
      <c r="K64" s="80"/>
      <c r="L64" s="186">
        <f t="shared" si="18"/>
        <v>24112.967362068965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24700.183000000001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224</v>
      </c>
      <c r="B68" s="77">
        <v>24373.9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225</v>
      </c>
      <c r="B69" s="62">
        <v>24662.55</v>
      </c>
      <c r="C69" s="59"/>
      <c r="F69" s="87" t="s">
        <v>129</v>
      </c>
      <c r="G69" s="22"/>
      <c r="H69" s="89"/>
      <c r="I69" s="136"/>
      <c r="J69" s="136">
        <f>K52</f>
        <v>85.12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-288.64999999999782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902</v>
      </c>
      <c r="Q70" s="228">
        <v>2002</v>
      </c>
      <c r="R70" s="255">
        <v>1543.54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11.576549999999999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1531.96345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B65-B69</f>
        <v>37.63300000000163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85.12</v>
      </c>
      <c r="N71" s="87">
        <v>2</v>
      </c>
      <c r="O71" s="122" t="s">
        <v>188</v>
      </c>
      <c r="P71" s="228">
        <v>903</v>
      </c>
      <c r="Q71" s="228">
        <v>2002</v>
      </c>
      <c r="R71" s="255">
        <v>1982.75</v>
      </c>
      <c r="S71" s="228"/>
      <c r="T71" s="228"/>
      <c r="U71" s="189">
        <f t="shared" si="34"/>
        <v>0</v>
      </c>
      <c r="V71" s="189">
        <f t="shared" si="35"/>
        <v>14.870624999999999</v>
      </c>
      <c r="W71" s="189">
        <f t="shared" si="36"/>
        <v>0</v>
      </c>
      <c r="X71" s="189">
        <f t="shared" si="37"/>
        <v>0</v>
      </c>
      <c r="Y71" s="189">
        <f t="shared" si="38"/>
        <v>1967.879375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191</v>
      </c>
      <c r="P73" s="228">
        <v>815</v>
      </c>
      <c r="Q73" s="228">
        <v>2002</v>
      </c>
      <c r="R73" s="255">
        <v>905.23</v>
      </c>
      <c r="S73" s="228"/>
      <c r="T73" s="228"/>
      <c r="U73" s="189">
        <f t="shared" si="34"/>
        <v>0</v>
      </c>
      <c r="V73" s="189">
        <f t="shared" si="35"/>
        <v>6.7892250000000001</v>
      </c>
      <c r="W73" s="189">
        <f t="shared" si="36"/>
        <v>0</v>
      </c>
      <c r="X73" s="189">
        <f t="shared" si="37"/>
        <v>0</v>
      </c>
      <c r="Y73" s="189">
        <f t="shared" si="38"/>
        <v>898.44077500000003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191</v>
      </c>
      <c r="P74" s="228">
        <v>816</v>
      </c>
      <c r="Q74" s="228">
        <v>2002</v>
      </c>
      <c r="R74" s="256">
        <v>1387.11</v>
      </c>
      <c r="S74" s="228"/>
      <c r="T74" s="228"/>
      <c r="U74" s="189">
        <f t="shared" si="34"/>
        <v>0</v>
      </c>
      <c r="V74" s="189">
        <f t="shared" si="35"/>
        <v>10.403324999999999</v>
      </c>
      <c r="W74" s="189">
        <f t="shared" si="36"/>
        <v>0</v>
      </c>
      <c r="X74" s="189">
        <f t="shared" si="37"/>
        <v>0</v>
      </c>
      <c r="Y74" s="189">
        <f t="shared" si="38"/>
        <v>1376.7066749999999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5818.63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43.639724999999999</v>
      </c>
      <c r="W75" s="192">
        <f t="shared" si="41"/>
        <v>0</v>
      </c>
      <c r="X75" s="192">
        <f t="shared" si="41"/>
        <v>0</v>
      </c>
      <c r="Y75" s="192">
        <f t="shared" si="41"/>
        <v>5774.9902750000001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18.72</v>
      </c>
      <c r="Q78" s="137">
        <v>24.77</v>
      </c>
      <c r="R78" s="82">
        <v>7.4999999999999997E-3</v>
      </c>
      <c r="S78" s="194">
        <f>+(P78+Q78)*R78</f>
        <v>0.32617499999999994</v>
      </c>
      <c r="T78" s="213">
        <f>+(P78+Q78)-S78</f>
        <v>43.163824999999996</v>
      </c>
      <c r="U78" s="211">
        <v>203.12</v>
      </c>
      <c r="V78" s="112"/>
      <c r="W78" s="113">
        <v>1.4999999999999999E-2</v>
      </c>
      <c r="X78" s="196">
        <f>+(U78+V78)*W78</f>
        <v>3.0468000000000002</v>
      </c>
      <c r="Y78" s="242">
        <f>+(U78+V78)-X78</f>
        <v>200.07320000000001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1512.68</v>
      </c>
      <c r="N79" s="87">
        <v>2</v>
      </c>
      <c r="O79" s="87" t="s">
        <v>112</v>
      </c>
      <c r="P79" s="137">
        <v>99.72</v>
      </c>
      <c r="Q79" s="137">
        <v>89.86</v>
      </c>
      <c r="R79" s="82">
        <v>7.4999999999999997E-3</v>
      </c>
      <c r="S79" s="194">
        <f t="shared" ref="S79:S97" si="43">+(P79+Q79)*R79</f>
        <v>1.4218499999999998</v>
      </c>
      <c r="T79" s="213">
        <f t="shared" ref="T79:T97" si="44">+(P79+Q79)-S79</f>
        <v>188.15814999999998</v>
      </c>
      <c r="U79" s="211">
        <v>42.82</v>
      </c>
      <c r="V79" s="112"/>
      <c r="W79" s="113">
        <v>1.4999999999999999E-2</v>
      </c>
      <c r="X79" s="196">
        <f t="shared" ref="X79:X97" si="45">+(U79+V79)*W79</f>
        <v>0.64229999999999998</v>
      </c>
      <c r="Y79" s="242">
        <f t="shared" ref="Y79:Y97" si="46">+(U79+V79)-X79</f>
        <v>42.177700000000002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620.88</v>
      </c>
      <c r="Q80" s="137">
        <v>365.99</v>
      </c>
      <c r="R80" s="82">
        <v>7.4999999999999997E-3</v>
      </c>
      <c r="S80" s="194">
        <f t="shared" si="43"/>
        <v>7.4015249999999995</v>
      </c>
      <c r="T80" s="242">
        <f t="shared" si="44"/>
        <v>979.46847500000001</v>
      </c>
      <c r="U80" s="211">
        <v>151.83000000000001</v>
      </c>
      <c r="V80" s="112"/>
      <c r="W80" s="113">
        <v>1.4999999999999999E-2</v>
      </c>
      <c r="X80" s="196">
        <f t="shared" si="45"/>
        <v>2.27745</v>
      </c>
      <c r="Y80" s="213">
        <f t="shared" si="46"/>
        <v>149.55255000000002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1512.68</v>
      </c>
      <c r="N81" s="87">
        <v>4</v>
      </c>
      <c r="O81" s="87" t="s">
        <v>112</v>
      </c>
      <c r="P81" s="137">
        <v>136.01</v>
      </c>
      <c r="Q81" s="137">
        <v>45.7</v>
      </c>
      <c r="R81" s="82">
        <v>7.4999999999999997E-3</v>
      </c>
      <c r="S81" s="194">
        <f t="shared" si="43"/>
        <v>1.3628249999999997</v>
      </c>
      <c r="T81" s="242">
        <f t="shared" si="44"/>
        <v>180.34717499999999</v>
      </c>
      <c r="U81" s="211">
        <v>60.73</v>
      </c>
      <c r="V81" s="112"/>
      <c r="W81" s="113">
        <v>1.4999999999999999E-2</v>
      </c>
      <c r="X81" s="196">
        <f t="shared" si="45"/>
        <v>0.91094999999999993</v>
      </c>
      <c r="Y81" s="213">
        <f t="shared" si="46"/>
        <v>59.819049999999997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12.15</v>
      </c>
      <c r="Q82" s="137"/>
      <c r="R82" s="82">
        <v>7.4999999999999997E-3</v>
      </c>
      <c r="S82" s="194">
        <f t="shared" si="43"/>
        <v>9.1124999999999998E-2</v>
      </c>
      <c r="T82" s="213">
        <f t="shared" si="44"/>
        <v>12.058875</v>
      </c>
      <c r="U82" s="211">
        <v>10</v>
      </c>
      <c r="V82" s="112"/>
      <c r="W82" s="113">
        <v>1.4999999999999999E-2</v>
      </c>
      <c r="X82" s="196">
        <f t="shared" si="45"/>
        <v>0.15</v>
      </c>
      <c r="Y82" s="242">
        <f t="shared" si="46"/>
        <v>9.85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>
        <v>53.18</v>
      </c>
      <c r="Q83" s="137">
        <v>57.13</v>
      </c>
      <c r="R83" s="82">
        <v>7.4999999999999997E-3</v>
      </c>
      <c r="S83" s="194">
        <f t="shared" si="43"/>
        <v>0.82732499999999998</v>
      </c>
      <c r="T83" s="213">
        <f t="shared" si="44"/>
        <v>109.482675</v>
      </c>
      <c r="U83" s="211">
        <v>4.2</v>
      </c>
      <c r="V83" s="112"/>
      <c r="W83" s="113">
        <v>1.4999999999999999E-2</v>
      </c>
      <c r="X83" s="196">
        <f t="shared" si="45"/>
        <v>6.3E-2</v>
      </c>
      <c r="Y83" s="242">
        <f t="shared" si="46"/>
        <v>4.1370000000000005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940.65999999999985</v>
      </c>
      <c r="Q98" s="195">
        <f>SUM(Q78:Q97)</f>
        <v>583.45000000000005</v>
      </c>
      <c r="R98" s="111"/>
      <c r="S98" s="195">
        <f>SUM(S78:S97)</f>
        <v>11.430824999999999</v>
      </c>
      <c r="T98" s="195">
        <f>SUM(T78:T97)</f>
        <v>1512.6791749999998</v>
      </c>
      <c r="U98" s="114">
        <f>SUM(U78:U97)</f>
        <v>472.7</v>
      </c>
      <c r="V98" s="114">
        <f>SUM(V78:V97)</f>
        <v>0</v>
      </c>
      <c r="W98" s="112"/>
      <c r="X98" s="197">
        <f>SUM(X78:X97)</f>
        <v>7.0904999999999996</v>
      </c>
      <c r="Y98" s="197">
        <f>SUM(Y78:Y97)</f>
        <v>465.60950000000003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84"/>
    </row>
    <row r="101" spans="14:30" x14ac:dyDescent="0.25">
      <c r="N101" s="85"/>
      <c r="Q101" s="215">
        <f>P78+Q78+U78</f>
        <v>246.61</v>
      </c>
    </row>
    <row r="102" spans="14:30" x14ac:dyDescent="0.25">
      <c r="N102" s="85"/>
      <c r="Q102" s="215">
        <f t="shared" ref="Q102:Q106" si="50">P79+Q79+U79</f>
        <v>232.39999999999998</v>
      </c>
    </row>
    <row r="103" spans="14:30" x14ac:dyDescent="0.25">
      <c r="N103" s="85"/>
      <c r="Q103" s="215">
        <f>P80+Q80+U80</f>
        <v>1138.7</v>
      </c>
    </row>
    <row r="104" spans="14:30" x14ac:dyDescent="0.25">
      <c r="N104" s="85"/>
      <c r="Q104" s="215">
        <f t="shared" si="50"/>
        <v>242.43999999999997</v>
      </c>
    </row>
    <row r="105" spans="14:30" x14ac:dyDescent="0.25">
      <c r="N105" s="85"/>
      <c r="Q105" s="215">
        <f>P82+Q82+U82</f>
        <v>22.15</v>
      </c>
    </row>
    <row r="106" spans="14:30" x14ac:dyDescent="0.25">
      <c r="N106" s="85"/>
      <c r="Q106" s="235">
        <f t="shared" si="50"/>
        <v>114.51</v>
      </c>
    </row>
    <row r="107" spans="14:30" x14ac:dyDescent="0.25">
      <c r="N107" s="85"/>
      <c r="Q107" s="84"/>
    </row>
    <row r="108" spans="14:30" x14ac:dyDescent="0.25">
      <c r="N108" s="85"/>
      <c r="Q108" s="84"/>
    </row>
    <row r="109" spans="14:30" x14ac:dyDescent="0.25">
      <c r="N109" s="85"/>
      <c r="Q109" s="84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8" zoomScale="90" zoomScaleNormal="90" workbookViewId="0">
      <selection activeCell="Y73" sqref="Y7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.140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190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44759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241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2571.6999999999998</v>
      </c>
      <c r="C12" s="15"/>
      <c r="D12" s="56"/>
      <c r="E12" s="16"/>
      <c r="F12" s="56"/>
      <c r="G12" s="56"/>
      <c r="H12" s="17"/>
      <c r="I12" s="83">
        <v>2571.6999999999998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214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1863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1863</v>
      </c>
      <c r="K13" s="75"/>
      <c r="L13" s="186">
        <f t="shared" ref="L13:L42" si="1">+G13-K13</f>
        <v>0</v>
      </c>
      <c r="M13" s="106"/>
      <c r="N13" s="104">
        <v>2</v>
      </c>
      <c r="O13" s="152" t="s">
        <v>214</v>
      </c>
      <c r="P13" s="158"/>
      <c r="Q13" s="158"/>
      <c r="R13" s="159"/>
      <c r="S13" s="160"/>
      <c r="T13" s="161">
        <v>88.86</v>
      </c>
      <c r="U13" s="189">
        <f t="shared" ref="U13:U41" si="2">((T13/U$10)*U$9)</f>
        <v>3.8301724137931039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2.2215000000000003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82.808327586206886</v>
      </c>
      <c r="AB13" s="156"/>
    </row>
    <row r="14" spans="1:28" ht="15.75" x14ac:dyDescent="0.25">
      <c r="A14" s="86" t="s">
        <v>83</v>
      </c>
      <c r="B14" s="57">
        <f>B13*B8</f>
        <v>10619.1</v>
      </c>
      <c r="C14" s="15"/>
      <c r="D14" s="56"/>
      <c r="E14" s="16"/>
      <c r="F14" s="56"/>
      <c r="G14" s="56"/>
      <c r="H14" s="17"/>
      <c r="I14" s="83"/>
      <c r="J14" s="81">
        <f t="shared" si="0"/>
        <v>10619.1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>
        <v>983</v>
      </c>
      <c r="Q14" s="158">
        <v>6</v>
      </c>
      <c r="R14" s="159">
        <v>3685.91</v>
      </c>
      <c r="S14" s="160"/>
      <c r="T14" s="161">
        <v>159.35</v>
      </c>
      <c r="U14" s="189">
        <f t="shared" si="2"/>
        <v>6.868534482758621</v>
      </c>
      <c r="V14" s="189">
        <f t="shared" si="3"/>
        <v>27.644324999999998</v>
      </c>
      <c r="W14" s="189">
        <f t="shared" si="4"/>
        <v>0</v>
      </c>
      <c r="X14" s="189">
        <f t="shared" si="5"/>
        <v>3.9837500000000001</v>
      </c>
      <c r="Y14" s="189">
        <f t="shared" si="6"/>
        <v>3658.2656749999996</v>
      </c>
      <c r="Z14" s="189">
        <f t="shared" si="6"/>
        <v>0</v>
      </c>
      <c r="AA14" s="189">
        <f t="shared" si="7"/>
        <v>148.49771551724137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8">
        <v>212</v>
      </c>
      <c r="Q15" s="158">
        <v>6</v>
      </c>
      <c r="R15" s="159">
        <v>1526.72</v>
      </c>
      <c r="S15" s="160"/>
      <c r="T15" s="161"/>
      <c r="U15" s="189">
        <f t="shared" si="2"/>
        <v>0</v>
      </c>
      <c r="V15" s="189">
        <f t="shared" si="3"/>
        <v>11.4504</v>
      </c>
      <c r="W15" s="189">
        <f t="shared" si="4"/>
        <v>0</v>
      </c>
      <c r="X15" s="189">
        <f t="shared" si="5"/>
        <v>0</v>
      </c>
      <c r="Y15" s="189">
        <f t="shared" si="6"/>
        <v>1515.2696000000001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216</v>
      </c>
      <c r="P16" s="158">
        <v>213</v>
      </c>
      <c r="Q16" s="158">
        <v>6</v>
      </c>
      <c r="R16" s="159">
        <v>918.35</v>
      </c>
      <c r="S16" s="160"/>
      <c r="T16" s="161"/>
      <c r="U16" s="189">
        <f t="shared" si="2"/>
        <v>0</v>
      </c>
      <c r="V16" s="189">
        <f t="shared" si="3"/>
        <v>6.8876249999999999</v>
      </c>
      <c r="W16" s="189">
        <f t="shared" si="4"/>
        <v>0</v>
      </c>
      <c r="X16" s="189">
        <f t="shared" si="5"/>
        <v>0</v>
      </c>
      <c r="Y16" s="189">
        <f t="shared" si="6"/>
        <v>911.46237500000007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1863</v>
      </c>
      <c r="C19" s="95"/>
      <c r="D19" s="94"/>
      <c r="E19" s="96"/>
      <c r="F19" s="94"/>
      <c r="G19" s="94"/>
      <c r="H19" s="98"/>
      <c r="I19" s="99"/>
      <c r="J19" s="185">
        <f>B19-I19</f>
        <v>1863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10619.1</v>
      </c>
      <c r="C20" s="95"/>
      <c r="D20" s="94"/>
      <c r="E20" s="96"/>
      <c r="F20" s="94"/>
      <c r="G20" s="94"/>
      <c r="H20" s="98"/>
      <c r="I20" s="99"/>
      <c r="J20" s="185">
        <f t="shared" si="0"/>
        <v>10619.1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 t="s">
        <v>167</v>
      </c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51.15</v>
      </c>
      <c r="C37" s="100"/>
      <c r="D37" s="66"/>
      <c r="E37" s="67"/>
      <c r="F37" s="66"/>
      <c r="G37" s="66"/>
      <c r="H37" s="102"/>
      <c r="I37" s="79">
        <v>51.15</v>
      </c>
      <c r="J37" s="81">
        <f t="shared" si="0"/>
        <v>0</v>
      </c>
      <c r="K37" s="80">
        <v>51.15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291.55500000000001</v>
      </c>
      <c r="C38" s="100"/>
      <c r="D38" s="66"/>
      <c r="E38" s="67"/>
      <c r="F38" s="66"/>
      <c r="G38" s="66"/>
      <c r="H38" s="102"/>
      <c r="I38" s="79">
        <v>291.56</v>
      </c>
      <c r="J38" s="81">
        <f t="shared" si="0"/>
        <v>-4.9999999999954525E-3</v>
      </c>
      <c r="K38" s="80">
        <v>291.56</v>
      </c>
      <c r="L38" s="186">
        <f>K38-B38</f>
        <v>4.9999999999954525E-3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6130.9800000000005</v>
      </c>
      <c r="S42" s="190">
        <f t="shared" si="8"/>
        <v>0</v>
      </c>
      <c r="T42" s="190">
        <f t="shared" si="8"/>
        <v>248.20999999999998</v>
      </c>
      <c r="U42" s="190">
        <f t="shared" si="8"/>
        <v>10.698706896551725</v>
      </c>
      <c r="V42" s="190">
        <f t="shared" si="8"/>
        <v>45.982349999999997</v>
      </c>
      <c r="W42" s="190">
        <f t="shared" si="8"/>
        <v>0</v>
      </c>
      <c r="X42" s="190">
        <f t="shared" si="8"/>
        <v>6.2052500000000004</v>
      </c>
      <c r="Y42" s="190">
        <f t="shared" si="8"/>
        <v>6084.9976500000002</v>
      </c>
      <c r="Z42" s="190">
        <f t="shared" si="8"/>
        <v>0</v>
      </c>
      <c r="AA42" s="190">
        <f t="shared" si="8"/>
        <v>231.30604310344825</v>
      </c>
      <c r="AB42" s="166"/>
    </row>
    <row r="43" spans="1:28" ht="15.75" x14ac:dyDescent="0.25">
      <c r="A43" s="93" t="s">
        <v>103</v>
      </c>
      <c r="B43" s="97">
        <f>+B37+B39+B41</f>
        <v>51.15</v>
      </c>
      <c r="C43" s="95"/>
      <c r="D43" s="94"/>
      <c r="E43" s="96"/>
      <c r="F43" s="94"/>
      <c r="G43" s="94"/>
      <c r="H43" s="98"/>
      <c r="I43" s="99"/>
      <c r="J43" s="185">
        <f t="shared" si="0"/>
        <v>51.15</v>
      </c>
      <c r="K43" s="99">
        <v>51.15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291.55500000000001</v>
      </c>
      <c r="C44" s="95"/>
      <c r="D44" s="94"/>
      <c r="E44" s="96"/>
      <c r="F44" s="94"/>
      <c r="G44" s="94"/>
      <c r="H44" s="98"/>
      <c r="I44" s="99"/>
      <c r="J44" s="185">
        <f t="shared" si="0"/>
        <v>291.55500000000001</v>
      </c>
      <c r="K44" s="99">
        <v>291.56</v>
      </c>
      <c r="L44" s="187">
        <f>K44-B44</f>
        <v>4.9999999999954525E-3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6130.9800000000005</v>
      </c>
      <c r="C46" s="116">
        <v>7.4999999999999997E-3</v>
      </c>
      <c r="D46" s="117">
        <f>B46*C46</f>
        <v>45.982350000000004</v>
      </c>
      <c r="E46" s="172">
        <v>0</v>
      </c>
      <c r="F46" s="117">
        <f t="shared" ref="F46:F50" si="15">D46*E46</f>
        <v>0</v>
      </c>
      <c r="G46" s="117">
        <f t="shared" ref="G46:G51" si="16">B46-D46-F46</f>
        <v>6084.9976500000002</v>
      </c>
      <c r="H46" s="173">
        <f>B$6+1</f>
        <v>44760</v>
      </c>
      <c r="I46" s="174"/>
      <c r="J46" s="81">
        <f t="shared" si="0"/>
        <v>6130.9800000000005</v>
      </c>
      <c r="K46" s="80">
        <v>6085</v>
      </c>
      <c r="L46" s="186">
        <f>K46-G46</f>
        <v>2.3499999997511622E-3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3378.09</v>
      </c>
      <c r="C49" s="116">
        <v>7.4999999999999997E-3</v>
      </c>
      <c r="D49" s="117">
        <f t="shared" si="17"/>
        <v>25.335674999999998</v>
      </c>
      <c r="E49" s="172">
        <v>0</v>
      </c>
      <c r="F49" s="117">
        <f t="shared" si="15"/>
        <v>0</v>
      </c>
      <c r="G49" s="117">
        <f t="shared" si="16"/>
        <v>3352.7543250000003</v>
      </c>
      <c r="H49" s="173">
        <f t="shared" si="19"/>
        <v>44760</v>
      </c>
      <c r="I49" s="176"/>
      <c r="J49" s="81">
        <f t="shared" si="0"/>
        <v>3378.09</v>
      </c>
      <c r="K49" s="80">
        <v>3352.75</v>
      </c>
      <c r="L49" s="186">
        <f t="shared" si="18"/>
        <v>4.3250000003354216E-3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491.86</v>
      </c>
      <c r="C50" s="116">
        <v>7.4999999999999997E-3</v>
      </c>
      <c r="D50" s="117">
        <f t="shared" si="17"/>
        <v>3.6889500000000002</v>
      </c>
      <c r="E50" s="172">
        <v>0</v>
      </c>
      <c r="F50" s="117">
        <f t="shared" si="15"/>
        <v>0</v>
      </c>
      <c r="G50" s="117">
        <f t="shared" si="16"/>
        <v>488.17105000000004</v>
      </c>
      <c r="H50" s="173">
        <f t="shared" si="19"/>
        <v>44760</v>
      </c>
      <c r="I50" s="175"/>
      <c r="J50" s="81">
        <f t="shared" si="0"/>
        <v>491.86</v>
      </c>
      <c r="K50" s="80">
        <v>488.17</v>
      </c>
      <c r="L50" s="186">
        <f t="shared" si="18"/>
        <v>1.0500000000206455E-3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261.97000000000003</v>
      </c>
      <c r="C51" s="116">
        <v>1.4999999999999999E-2</v>
      </c>
      <c r="D51" s="117">
        <f>+B51*C51</f>
        <v>3.9295500000000003</v>
      </c>
      <c r="E51" s="172">
        <v>0</v>
      </c>
      <c r="F51" s="117">
        <f>D51*E51</f>
        <v>0</v>
      </c>
      <c r="G51" s="117">
        <f t="shared" si="16"/>
        <v>258.04045000000002</v>
      </c>
      <c r="H51" s="173">
        <f t="shared" si="19"/>
        <v>44760</v>
      </c>
      <c r="I51" s="175"/>
      <c r="J51" s="81">
        <f t="shared" si="0"/>
        <v>261.97000000000003</v>
      </c>
      <c r="K51" s="80">
        <v>258.04000000000002</v>
      </c>
      <c r="L51" s="186">
        <f t="shared" si="18"/>
        <v>4.500000000007276E-4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248.20999999999998</v>
      </c>
      <c r="C52" s="116">
        <v>2.5000000000000001E-2</v>
      </c>
      <c r="D52" s="117">
        <f>B52*C52</f>
        <v>6.2052499999999995</v>
      </c>
      <c r="E52" s="172">
        <v>0.05</v>
      </c>
      <c r="F52" s="117">
        <f>(B52/E$10)*E52</f>
        <v>10.698706896551725</v>
      </c>
      <c r="G52" s="117">
        <f>B52-D52-F52</f>
        <v>231.30604310344825</v>
      </c>
      <c r="H52" s="188">
        <f t="shared" si="19"/>
        <v>44760</v>
      </c>
      <c r="I52" s="176">
        <v>248.21</v>
      </c>
      <c r="J52" s="81">
        <f t="shared" si="0"/>
        <v>0</v>
      </c>
      <c r="K52" s="80">
        <v>231.31</v>
      </c>
      <c r="L52" s="186">
        <f>K52-G52</f>
        <v>3.9568965517560173E-3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215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44760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85.141775000000024</v>
      </c>
      <c r="E61" s="177"/>
      <c r="F61" s="57">
        <f>SUM(F46:F58)</f>
        <v>10.698706896551725</v>
      </c>
      <c r="G61" s="57">
        <f>SUM(G46:G58)</f>
        <v>10415.269518103451</v>
      </c>
      <c r="H61" s="173">
        <f t="shared" si="19"/>
        <v>44760</v>
      </c>
      <c r="I61" s="175"/>
      <c r="J61" s="81">
        <f t="shared" si="0"/>
        <v>0</v>
      </c>
      <c r="K61" s="80"/>
      <c r="L61" s="186">
        <f t="shared" si="18"/>
        <v>10415.269518103451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20830.539036206901</v>
      </c>
      <c r="H64" s="184"/>
      <c r="I64" s="175"/>
      <c r="J64" s="81">
        <f t="shared" si="0"/>
        <v>0</v>
      </c>
      <c r="K64" s="80"/>
      <c r="L64" s="186">
        <f t="shared" si="18"/>
        <v>20830.539036206901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23993.465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23643.31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23941.279999999999</v>
      </c>
      <c r="C69" s="59"/>
      <c r="F69" s="87" t="s">
        <v>129</v>
      </c>
      <c r="G69" s="22"/>
      <c r="H69" s="89"/>
      <c r="I69" s="136"/>
      <c r="J69" s="136">
        <f>K52</f>
        <v>231.31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-297.96999999999753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904</v>
      </c>
      <c r="Q70" s="228">
        <v>2002</v>
      </c>
      <c r="R70" s="255">
        <v>2258.81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16.941074999999998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2241.8689249999998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52.18500000000131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231.31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817</v>
      </c>
      <c r="Q73" s="228">
        <v>2002</v>
      </c>
      <c r="R73" s="255">
        <v>1119.28</v>
      </c>
      <c r="S73" s="228"/>
      <c r="T73" s="228"/>
      <c r="U73" s="189">
        <f t="shared" si="34"/>
        <v>0</v>
      </c>
      <c r="V73" s="189">
        <f t="shared" si="35"/>
        <v>8.3945999999999987</v>
      </c>
      <c r="W73" s="189">
        <f t="shared" si="36"/>
        <v>0</v>
      </c>
      <c r="X73" s="189">
        <f t="shared" si="37"/>
        <v>0</v>
      </c>
      <c r="Y73" s="189">
        <f t="shared" si="38"/>
        <v>1110.8853999999999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3378.09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25.335674999999995</v>
      </c>
      <c r="W75" s="192">
        <f t="shared" si="41"/>
        <v>0</v>
      </c>
      <c r="X75" s="192">
        <f t="shared" si="41"/>
        <v>0</v>
      </c>
      <c r="Y75" s="192">
        <f t="shared" si="41"/>
        <v>3352.7543249999999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>
        <v>92.74</v>
      </c>
      <c r="Q78" s="137">
        <v>2.37</v>
      </c>
      <c r="R78" s="82">
        <v>7.4999999999999997E-3</v>
      </c>
      <c r="S78" s="194">
        <f>+(P78+Q78)*R78</f>
        <v>0.71332499999999999</v>
      </c>
      <c r="T78" s="242">
        <f>+(P78+Q78)-S78</f>
        <v>94.396675000000002</v>
      </c>
      <c r="U78" s="211">
        <v>51.12</v>
      </c>
      <c r="V78" s="112"/>
      <c r="W78" s="113">
        <v>1.4999999999999999E-2</v>
      </c>
      <c r="X78" s="196">
        <f>+(U78+V78)*W78</f>
        <v>0.76679999999999993</v>
      </c>
      <c r="Y78" s="242">
        <f>+(U78+V78)-X78</f>
        <v>50.353200000000001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488.17</v>
      </c>
      <c r="N79" s="87">
        <v>2</v>
      </c>
      <c r="O79" s="87" t="s">
        <v>112</v>
      </c>
      <c r="P79" s="87">
        <v>126.34</v>
      </c>
      <c r="Q79" s="87">
        <v>51.48</v>
      </c>
      <c r="R79" s="82">
        <v>7.4999999999999997E-3</v>
      </c>
      <c r="S79" s="194">
        <f t="shared" ref="S79:S97" si="43">+(P79+Q79)*R79</f>
        <v>1.33365</v>
      </c>
      <c r="T79" s="242">
        <f t="shared" ref="T79:T97" si="44">+(P79+Q79)-S79</f>
        <v>176.48634999999999</v>
      </c>
      <c r="U79" s="211">
        <v>40.28</v>
      </c>
      <c r="V79" s="112"/>
      <c r="W79" s="113">
        <v>1.4999999999999999E-2</v>
      </c>
      <c r="X79" s="196">
        <f t="shared" ref="X79:X97" si="45">+(U79+V79)*W79</f>
        <v>0.60419999999999996</v>
      </c>
      <c r="Y79" s="242">
        <f t="shared" ref="Y79:Y97" si="46">+(U79+V79)-X79</f>
        <v>39.675800000000002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54.28</v>
      </c>
      <c r="Q80" s="137">
        <v>27.95</v>
      </c>
      <c r="R80" s="82">
        <v>7.4999999999999997E-3</v>
      </c>
      <c r="S80" s="194">
        <f t="shared" si="43"/>
        <v>0.61672499999999997</v>
      </c>
      <c r="T80" s="213">
        <f t="shared" si="44"/>
        <v>81.613275000000002</v>
      </c>
      <c r="U80" s="211">
        <v>57.98</v>
      </c>
      <c r="V80" s="112"/>
      <c r="W80" s="113">
        <v>1.4999999999999999E-2</v>
      </c>
      <c r="X80" s="196">
        <f t="shared" si="45"/>
        <v>0.86969999999999992</v>
      </c>
      <c r="Y80" s="242">
        <f t="shared" si="46"/>
        <v>57.110299999999995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488.17</v>
      </c>
      <c r="N81" s="87">
        <v>4</v>
      </c>
      <c r="O81" s="87" t="s">
        <v>112</v>
      </c>
      <c r="P81" s="87">
        <v>111.41</v>
      </c>
      <c r="Q81" s="87">
        <v>25.29</v>
      </c>
      <c r="R81" s="82">
        <v>7.4999999999999997E-3</v>
      </c>
      <c r="S81" s="194">
        <f t="shared" si="43"/>
        <v>1.0252499999999998</v>
      </c>
      <c r="T81" s="242">
        <f t="shared" si="44"/>
        <v>135.67474999999999</v>
      </c>
      <c r="U81" s="211">
        <v>112.59</v>
      </c>
      <c r="V81" s="112"/>
      <c r="W81" s="113">
        <v>1.4999999999999999E-2</v>
      </c>
      <c r="X81" s="196">
        <f t="shared" si="45"/>
        <v>1.68885</v>
      </c>
      <c r="Y81" s="242">
        <f t="shared" si="46"/>
        <v>110.90115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384.77</v>
      </c>
      <c r="Q98" s="195">
        <f>SUM(Q78:Q97)</f>
        <v>107.09</v>
      </c>
      <c r="R98" s="111"/>
      <c r="S98" s="195">
        <f>SUM(S78:S97)</f>
        <v>3.6889499999999993</v>
      </c>
      <c r="T98" s="195">
        <f>SUM(T78:T97)</f>
        <v>488.17104999999992</v>
      </c>
      <c r="U98" s="114">
        <f>SUM(U78:U97)</f>
        <v>261.97000000000003</v>
      </c>
      <c r="V98" s="114">
        <f>SUM(V78:V97)</f>
        <v>0</v>
      </c>
      <c r="W98" s="112"/>
      <c r="X98" s="197">
        <f>SUM(X78:X97)</f>
        <v>3.9295499999999999</v>
      </c>
      <c r="Y98" s="197">
        <f>SUM(Y78:Y97)</f>
        <v>258.04044999999996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45">
        <f>P78+Q78+U78</f>
        <v>146.22999999999999</v>
      </c>
    </row>
    <row r="101" spans="14:30" x14ac:dyDescent="0.25">
      <c r="N101" s="85"/>
      <c r="Q101" s="245">
        <f>P79+Q79+U79</f>
        <v>218.1</v>
      </c>
    </row>
    <row r="102" spans="14:30" x14ac:dyDescent="0.25">
      <c r="N102" s="85"/>
      <c r="Q102" s="245">
        <f>U80+P80+Q80</f>
        <v>140.20999999999998</v>
      </c>
    </row>
    <row r="103" spans="14:30" x14ac:dyDescent="0.25">
      <c r="N103" s="85"/>
      <c r="Q103" s="245">
        <f>P81+Q81+U81</f>
        <v>249.29</v>
      </c>
    </row>
    <row r="104" spans="14:30" x14ac:dyDescent="0.25">
      <c r="N104" s="85"/>
      <c r="Q104" s="245">
        <f>P82+Q82+U82</f>
        <v>0</v>
      </c>
    </row>
    <row r="105" spans="14:30" x14ac:dyDescent="0.25">
      <c r="N105" s="85"/>
      <c r="Q105" s="246">
        <f>P83+Q83+U83</f>
        <v>0</v>
      </c>
    </row>
    <row r="106" spans="14:30" x14ac:dyDescent="0.25">
      <c r="N106" s="85"/>
      <c r="Q106" s="247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8" zoomScale="90" zoomScaleNormal="90" workbookViewId="0">
      <selection activeCell="Y72" sqref="Y7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.855468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192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44760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1088.5</v>
      </c>
      <c r="C12" s="15"/>
      <c r="D12" s="56"/>
      <c r="E12" s="16"/>
      <c r="F12" s="56"/>
      <c r="G12" s="56"/>
      <c r="H12" s="17"/>
      <c r="I12" s="83">
        <v>1088.5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3">
        <v>214</v>
      </c>
      <c r="Q12" s="153">
        <v>6</v>
      </c>
      <c r="R12" s="154">
        <v>239.69</v>
      </c>
      <c r="S12" s="155"/>
      <c r="T12" s="155"/>
      <c r="U12" s="189">
        <f>((T12/U$10)*U$9)</f>
        <v>0</v>
      </c>
      <c r="V12" s="189">
        <f>R12*V$10</f>
        <v>1.7976749999999999</v>
      </c>
      <c r="W12" s="189">
        <f>+S12*V$10</f>
        <v>0</v>
      </c>
      <c r="X12" s="189">
        <f>+T12*X$10</f>
        <v>0</v>
      </c>
      <c r="Y12" s="189">
        <f>R12-V12</f>
        <v>237.892325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1035</v>
      </c>
      <c r="C13" s="15"/>
      <c r="D13" s="56"/>
      <c r="E13" s="16"/>
      <c r="F13" s="56"/>
      <c r="G13" s="56"/>
      <c r="H13" s="17"/>
      <c r="I13" s="83">
        <v>1035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3">
        <v>215</v>
      </c>
      <c r="Q13" s="153">
        <v>6</v>
      </c>
      <c r="R13" s="154">
        <v>2089.04</v>
      </c>
      <c r="S13" s="155"/>
      <c r="T13" s="157">
        <v>156.81</v>
      </c>
      <c r="U13" s="189">
        <f t="shared" ref="U13:U41" si="2">((T13/U$10)*U$9)</f>
        <v>6.7590517241379322</v>
      </c>
      <c r="V13" s="189">
        <f t="shared" ref="V13:V41" si="3">R13*V$10</f>
        <v>15.6678</v>
      </c>
      <c r="W13" s="189">
        <f t="shared" ref="W13:W41" si="4">+S13*V$10</f>
        <v>0</v>
      </c>
      <c r="X13" s="189">
        <f t="shared" ref="X13:X41" si="5">+T13*X$10</f>
        <v>3.9202500000000002</v>
      </c>
      <c r="Y13" s="189">
        <f t="shared" ref="Y13:Z41" si="6">R13-V13</f>
        <v>2073.3721999999998</v>
      </c>
      <c r="Z13" s="189">
        <f t="shared" si="6"/>
        <v>0</v>
      </c>
      <c r="AA13" s="189">
        <f t="shared" ref="AA13:AA41" si="7">T13-U13-X13</f>
        <v>146.13069827586207</v>
      </c>
      <c r="AB13" s="156"/>
    </row>
    <row r="14" spans="1:28" ht="15.75" x14ac:dyDescent="0.25">
      <c r="A14" s="86" t="s">
        <v>83</v>
      </c>
      <c r="B14" s="57">
        <f>B13*B8</f>
        <v>5899.5</v>
      </c>
      <c r="C14" s="15"/>
      <c r="D14" s="56"/>
      <c r="E14" s="16"/>
      <c r="F14" s="56"/>
      <c r="G14" s="56"/>
      <c r="H14" s="17"/>
      <c r="I14" s="83">
        <v>5899.5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984</v>
      </c>
      <c r="Q15" s="153">
        <v>6</v>
      </c>
      <c r="R15" s="154">
        <v>1505.42</v>
      </c>
      <c r="S15" s="155"/>
      <c r="T15" s="157"/>
      <c r="U15" s="189">
        <f t="shared" si="2"/>
        <v>0</v>
      </c>
      <c r="V15" s="189">
        <f t="shared" si="3"/>
        <v>11.290649999999999</v>
      </c>
      <c r="W15" s="189">
        <f t="shared" si="4"/>
        <v>0</v>
      </c>
      <c r="X15" s="189">
        <f t="shared" si="5"/>
        <v>0</v>
      </c>
      <c r="Y15" s="189">
        <f t="shared" si="6"/>
        <v>1494.1293500000002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1035</v>
      </c>
      <c r="C19" s="95"/>
      <c r="D19" s="94"/>
      <c r="E19" s="96"/>
      <c r="F19" s="94"/>
      <c r="G19" s="94"/>
      <c r="H19" s="98"/>
      <c r="I19" s="99">
        <v>1035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5899.5</v>
      </c>
      <c r="C20" s="95"/>
      <c r="D20" s="94"/>
      <c r="E20" s="96"/>
      <c r="F20" s="94"/>
      <c r="G20" s="94"/>
      <c r="H20" s="98"/>
      <c r="I20" s="99">
        <v>5899.5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3834.15</v>
      </c>
      <c r="S42" s="190">
        <f t="shared" si="8"/>
        <v>0</v>
      </c>
      <c r="T42" s="190">
        <f t="shared" si="8"/>
        <v>156.81</v>
      </c>
      <c r="U42" s="190">
        <f t="shared" si="8"/>
        <v>6.7590517241379322</v>
      </c>
      <c r="V42" s="190">
        <f t="shared" si="8"/>
        <v>28.756124999999997</v>
      </c>
      <c r="W42" s="190">
        <f t="shared" si="8"/>
        <v>0</v>
      </c>
      <c r="X42" s="190">
        <f t="shared" si="8"/>
        <v>3.9202500000000002</v>
      </c>
      <c r="Y42" s="190">
        <f t="shared" si="8"/>
        <v>3805.3938749999998</v>
      </c>
      <c r="Z42" s="190">
        <f t="shared" si="8"/>
        <v>0</v>
      </c>
      <c r="AA42" s="190">
        <f t="shared" si="8"/>
        <v>146.13069827586207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3834.15</v>
      </c>
      <c r="C46" s="116">
        <v>7.4999999999999997E-3</v>
      </c>
      <c r="D46" s="117">
        <f>B46*C46</f>
        <v>28.756125000000001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3805.3938750000002</v>
      </c>
      <c r="H46" s="173">
        <f>B$6+1</f>
        <v>44761</v>
      </c>
      <c r="I46" s="174"/>
      <c r="J46" s="81">
        <f t="shared" si="0"/>
        <v>3834.15</v>
      </c>
      <c r="K46" s="80">
        <v>3805.39</v>
      </c>
      <c r="L46" s="186">
        <f>K46-G46</f>
        <v>-3.8750000003346941E-3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860.11</v>
      </c>
      <c r="C49" s="116">
        <v>7.4999999999999997E-3</v>
      </c>
      <c r="D49" s="117">
        <f t="shared" si="17"/>
        <v>6.450825</v>
      </c>
      <c r="E49" s="172">
        <v>0</v>
      </c>
      <c r="F49" s="117">
        <f t="shared" si="15"/>
        <v>0</v>
      </c>
      <c r="G49" s="117">
        <f t="shared" si="16"/>
        <v>853.659175</v>
      </c>
      <c r="H49" s="173">
        <f t="shared" si="19"/>
        <v>44761</v>
      </c>
      <c r="I49" s="176"/>
      <c r="J49" s="81">
        <f t="shared" si="0"/>
        <v>860.11</v>
      </c>
      <c r="K49" s="80">
        <v>853.66</v>
      </c>
      <c r="L49" s="186">
        <f t="shared" si="18"/>
        <v>-8.2499999996343831E-4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522.86</v>
      </c>
      <c r="C50" s="116">
        <v>7.4999999999999997E-3</v>
      </c>
      <c r="D50" s="117">
        <f t="shared" si="17"/>
        <v>3.9214500000000001</v>
      </c>
      <c r="E50" s="172">
        <v>0</v>
      </c>
      <c r="F50" s="117">
        <f t="shared" si="15"/>
        <v>0</v>
      </c>
      <c r="G50" s="117">
        <f t="shared" si="16"/>
        <v>518.93854999999996</v>
      </c>
      <c r="H50" s="173">
        <f t="shared" si="19"/>
        <v>44761</v>
      </c>
      <c r="I50" s="175"/>
      <c r="J50" s="81">
        <f t="shared" si="0"/>
        <v>522.86</v>
      </c>
      <c r="K50" s="80">
        <v>518.94000000000005</v>
      </c>
      <c r="L50" s="186">
        <f t="shared" si="18"/>
        <v>-1.4500000000907676E-3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470.58</v>
      </c>
      <c r="C51" s="116">
        <v>1.4999999999999999E-2</v>
      </c>
      <c r="D51" s="117">
        <f>+B51*C51</f>
        <v>7.0586999999999991</v>
      </c>
      <c r="E51" s="172">
        <v>0</v>
      </c>
      <c r="F51" s="117">
        <f>D51*E51</f>
        <v>0</v>
      </c>
      <c r="G51" s="117">
        <f t="shared" si="16"/>
        <v>463.5213</v>
      </c>
      <c r="H51" s="173">
        <f t="shared" si="19"/>
        <v>44761</v>
      </c>
      <c r="I51" s="175"/>
      <c r="J51" s="81">
        <f t="shared" si="0"/>
        <v>470.58</v>
      </c>
      <c r="K51" s="80">
        <v>463.52</v>
      </c>
      <c r="L51" s="186">
        <f t="shared" si="18"/>
        <v>1.3000000000147338E-3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156.81</v>
      </c>
      <c r="C52" s="116">
        <v>2.5000000000000001E-2</v>
      </c>
      <c r="D52" s="117">
        <f>B52*C52</f>
        <v>3.9202500000000002</v>
      </c>
      <c r="E52" s="172">
        <v>0.05</v>
      </c>
      <c r="F52" s="117">
        <f>(B52/E$10)*E52</f>
        <v>6.7590517241379322</v>
      </c>
      <c r="G52" s="117">
        <f>B52-D52-F52</f>
        <v>146.13069827586207</v>
      </c>
      <c r="H52" s="188">
        <f t="shared" si="19"/>
        <v>44761</v>
      </c>
      <c r="I52" s="176">
        <v>156.81</v>
      </c>
      <c r="J52" s="81">
        <f t="shared" si="0"/>
        <v>0</v>
      </c>
      <c r="K52" s="80">
        <v>146.13</v>
      </c>
      <c r="L52" s="186">
        <f>K52-G52</f>
        <v>-6.9827586207793502E-4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44761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50.107350000000004</v>
      </c>
      <c r="E61" s="177"/>
      <c r="F61" s="57">
        <f>SUM(F46:F58)</f>
        <v>6.7590517241379322</v>
      </c>
      <c r="G61" s="57">
        <f>SUM(G46:G58)</f>
        <v>5787.643598275863</v>
      </c>
      <c r="H61" s="173">
        <f t="shared" si="19"/>
        <v>44761</v>
      </c>
      <c r="I61" s="175"/>
      <c r="J61" s="81">
        <f t="shared" si="0"/>
        <v>0</v>
      </c>
      <c r="K61" s="80"/>
      <c r="L61" s="186">
        <f t="shared" si="18"/>
        <v>5787.643598275863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11575.287196551726</v>
      </c>
      <c r="H64" s="184"/>
      <c r="I64" s="175"/>
      <c r="J64" s="81">
        <f t="shared" si="0"/>
        <v>0</v>
      </c>
      <c r="K64" s="80"/>
      <c r="L64" s="186">
        <f t="shared" si="18"/>
        <v>11575.287196551726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12832.51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227</v>
      </c>
      <c r="B68" s="77">
        <v>12652.47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225</v>
      </c>
      <c r="B69" s="62">
        <v>12811.45</v>
      </c>
      <c r="C69" s="59"/>
      <c r="F69" s="87" t="s">
        <v>129</v>
      </c>
      <c r="G69" s="22"/>
      <c r="H69" s="89"/>
      <c r="I69" s="136"/>
      <c r="J69" s="136">
        <f>K52</f>
        <v>146.13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-158.98000000000138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193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21.059999999999491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146.13</v>
      </c>
      <c r="N71" s="87">
        <v>2</v>
      </c>
      <c r="O71" s="122" t="s">
        <v>193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193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818</v>
      </c>
      <c r="Q73" s="228">
        <v>2002</v>
      </c>
      <c r="R73" s="255">
        <v>860.11</v>
      </c>
      <c r="S73" s="228"/>
      <c r="T73" s="228"/>
      <c r="U73" s="189">
        <f t="shared" si="34"/>
        <v>0</v>
      </c>
      <c r="V73" s="189">
        <f t="shared" si="35"/>
        <v>6.450825</v>
      </c>
      <c r="W73" s="189">
        <f t="shared" si="36"/>
        <v>0</v>
      </c>
      <c r="X73" s="189">
        <f t="shared" si="37"/>
        <v>0</v>
      </c>
      <c r="Y73" s="189">
        <f t="shared" si="38"/>
        <v>853.659175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860.11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6.450825</v>
      </c>
      <c r="W75" s="192">
        <f t="shared" si="41"/>
        <v>0</v>
      </c>
      <c r="X75" s="192">
        <f t="shared" si="41"/>
        <v>0</v>
      </c>
      <c r="Y75" s="192">
        <f t="shared" si="41"/>
        <v>853.659175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110.27</v>
      </c>
      <c r="Q78" s="137"/>
      <c r="R78" s="82">
        <v>7.4999999999999997E-3</v>
      </c>
      <c r="S78" s="216">
        <f>+(P78+Q78)*R78</f>
        <v>0.8270249999999999</v>
      </c>
      <c r="T78" s="213">
        <f>+(P78+Q78)-S78</f>
        <v>109.44297499999999</v>
      </c>
      <c r="U78" s="211"/>
      <c r="V78" s="112"/>
      <c r="W78" s="113">
        <v>1.4999999999999999E-2</v>
      </c>
      <c r="X78" s="217">
        <f>+(U78+V78)*W78</f>
        <v>0</v>
      </c>
      <c r="Y78" s="25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518.94000000000005</v>
      </c>
      <c r="N79" s="87">
        <v>2</v>
      </c>
      <c r="O79" s="87" t="s">
        <v>112</v>
      </c>
      <c r="P79" s="137">
        <v>128.1</v>
      </c>
      <c r="Q79" s="137">
        <v>23.57</v>
      </c>
      <c r="R79" s="82">
        <v>7.4999999999999997E-3</v>
      </c>
      <c r="S79" s="216">
        <f t="shared" ref="S79:S97" si="43">+(P79+Q79)*R79</f>
        <v>1.1375249999999999</v>
      </c>
      <c r="T79" s="213">
        <f t="shared" ref="T79:T97" si="44">+(P79+Q79)-S79</f>
        <v>150.53247499999998</v>
      </c>
      <c r="U79" s="211">
        <v>206.65</v>
      </c>
      <c r="V79" s="112"/>
      <c r="W79" s="113">
        <v>1.4999999999999999E-2</v>
      </c>
      <c r="X79" s="217">
        <f t="shared" ref="X79:X97" si="45">+(U79+V79)*W79</f>
        <v>3.0997499999999998</v>
      </c>
      <c r="Y79" s="254">
        <f t="shared" ref="Y79:Y97" si="46">+(U79+V79)-X79</f>
        <v>203.55025000000001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39.450000000000003</v>
      </c>
      <c r="Q80" s="137">
        <v>174.25</v>
      </c>
      <c r="R80" s="82">
        <v>7.4999999999999997E-3</v>
      </c>
      <c r="S80" s="216">
        <f t="shared" si="43"/>
        <v>1.6027499999999999</v>
      </c>
      <c r="T80" s="242">
        <f t="shared" si="44"/>
        <v>212.09725</v>
      </c>
      <c r="U80" s="211">
        <v>180.04</v>
      </c>
      <c r="V80" s="112"/>
      <c r="W80" s="113">
        <v>1.4999999999999999E-2</v>
      </c>
      <c r="X80" s="217">
        <f t="shared" si="45"/>
        <v>2.7005999999999997</v>
      </c>
      <c r="Y80" s="254">
        <f t="shared" si="46"/>
        <v>177.33939999999998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518.94000000000005</v>
      </c>
      <c r="N81" s="87">
        <v>4</v>
      </c>
      <c r="O81" s="87" t="s">
        <v>112</v>
      </c>
      <c r="P81" s="137">
        <v>28.41</v>
      </c>
      <c r="Q81" s="137">
        <v>18.809999999999999</v>
      </c>
      <c r="R81" s="82">
        <v>7.4999999999999997E-3</v>
      </c>
      <c r="S81" s="216">
        <f t="shared" si="43"/>
        <v>0.35414999999999996</v>
      </c>
      <c r="T81" s="242">
        <f t="shared" si="44"/>
        <v>46.865850000000002</v>
      </c>
      <c r="U81" s="211">
        <v>83.89</v>
      </c>
      <c r="V81" s="112"/>
      <c r="W81" s="113">
        <v>1.4999999999999999E-2</v>
      </c>
      <c r="X81" s="217">
        <f t="shared" si="45"/>
        <v>1.2583499999999999</v>
      </c>
      <c r="Y81" s="254">
        <f t="shared" si="46"/>
        <v>82.631650000000008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5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53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306.23</v>
      </c>
      <c r="Q98" s="195">
        <f>SUM(Q78:Q97)</f>
        <v>216.63</v>
      </c>
      <c r="R98" s="111"/>
      <c r="S98" s="195">
        <f>SUM(S78:S97)</f>
        <v>3.9214499999999992</v>
      </c>
      <c r="T98" s="195">
        <f>SUM(T78:T97)</f>
        <v>518.93854999999996</v>
      </c>
      <c r="U98" s="114">
        <f>SUM(U78:U97)</f>
        <v>470.58</v>
      </c>
      <c r="V98" s="114">
        <f>SUM(V78:V97)</f>
        <v>0</v>
      </c>
      <c r="W98" s="112"/>
      <c r="X98" s="197">
        <f>SUM(X78:X97)</f>
        <v>7.0587</v>
      </c>
      <c r="Y98" s="197">
        <f>SUM(Y78:Y97)</f>
        <v>463.5213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 t="shared" ref="P101:P106" si="50">P78+Q78+U78</f>
        <v>110.27</v>
      </c>
    </row>
    <row r="102" spans="14:30" x14ac:dyDescent="0.25">
      <c r="N102" s="85"/>
      <c r="P102" s="212">
        <f>P79+Q79+U79</f>
        <v>358.32</v>
      </c>
    </row>
    <row r="103" spans="14:30" x14ac:dyDescent="0.25">
      <c r="N103" s="85"/>
      <c r="P103" s="212">
        <f t="shared" si="50"/>
        <v>393.74</v>
      </c>
    </row>
    <row r="104" spans="14:30" x14ac:dyDescent="0.25">
      <c r="N104" s="85"/>
      <c r="P104" s="212">
        <f t="shared" si="50"/>
        <v>131.11000000000001</v>
      </c>
    </row>
    <row r="105" spans="14:30" x14ac:dyDescent="0.25">
      <c r="N105" s="85"/>
      <c r="P105" s="212">
        <f>P82+Q82+U82</f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X53" zoomScale="90" zoomScaleNormal="90" workbookViewId="0">
      <selection activeCell="Y81" sqref="Y8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192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44761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1356</v>
      </c>
      <c r="C12" s="15"/>
      <c r="D12" s="56"/>
      <c r="E12" s="16"/>
      <c r="F12" s="56"/>
      <c r="G12" s="56"/>
      <c r="H12" s="17"/>
      <c r="I12" s="83">
        <v>1356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216</v>
      </c>
      <c r="Q12" s="158">
        <v>6</v>
      </c>
      <c r="R12" s="159">
        <v>600.54999999999995</v>
      </c>
      <c r="S12" s="160"/>
      <c r="T12" s="160"/>
      <c r="U12" s="189">
        <f>((T12/U$10)*U$9)</f>
        <v>0</v>
      </c>
      <c r="V12" s="189">
        <f>R12*V$10</f>
        <v>4.5041249999999993</v>
      </c>
      <c r="W12" s="189">
        <f>+S12*V$10</f>
        <v>0</v>
      </c>
      <c r="X12" s="189">
        <f>+T12*X$10</f>
        <v>0</v>
      </c>
      <c r="Y12" s="189">
        <f>R12-V12</f>
        <v>596.04587499999991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781</v>
      </c>
      <c r="C13" s="15"/>
      <c r="D13" s="56"/>
      <c r="E13" s="16"/>
      <c r="F13" s="56"/>
      <c r="G13" s="56"/>
      <c r="H13" s="17"/>
      <c r="I13" s="83">
        <v>781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217</v>
      </c>
      <c r="Q13" s="158">
        <v>6</v>
      </c>
      <c r="R13" s="159">
        <v>1454.87</v>
      </c>
      <c r="S13" s="160"/>
      <c r="T13" s="161">
        <v>118.7</v>
      </c>
      <c r="U13" s="189">
        <f t="shared" ref="U13:U41" si="2">((T13/U$10)*U$9)</f>
        <v>5.1163793103448283</v>
      </c>
      <c r="V13" s="189">
        <f t="shared" ref="V13:V41" si="3">R13*V$10</f>
        <v>10.911524999999999</v>
      </c>
      <c r="W13" s="189">
        <f t="shared" ref="W13:W41" si="4">+S13*V$10</f>
        <v>0</v>
      </c>
      <c r="X13" s="189">
        <f t="shared" ref="X13:X41" si="5">+T13*X$10</f>
        <v>2.9675000000000002</v>
      </c>
      <c r="Y13" s="189">
        <f t="shared" ref="Y13:Z41" si="6">R13-V13</f>
        <v>1443.9584749999999</v>
      </c>
      <c r="Z13" s="189">
        <f t="shared" si="6"/>
        <v>0</v>
      </c>
      <c r="AA13" s="189">
        <f t="shared" ref="AA13:AA41" si="7">T13-U13-X13</f>
        <v>110.61612068965518</v>
      </c>
      <c r="AB13" s="156"/>
    </row>
    <row r="14" spans="1:28" ht="15.75" x14ac:dyDescent="0.25">
      <c r="A14" s="86" t="s">
        <v>83</v>
      </c>
      <c r="B14" s="57">
        <f>B13*B8</f>
        <v>4451.7</v>
      </c>
      <c r="C14" s="15"/>
      <c r="D14" s="56"/>
      <c r="E14" s="16"/>
      <c r="F14" s="56"/>
      <c r="G14" s="56"/>
      <c r="H14" s="17"/>
      <c r="I14" s="83">
        <v>4451.7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985</v>
      </c>
      <c r="Q15" s="153">
        <v>6</v>
      </c>
      <c r="R15" s="154">
        <v>1865.73</v>
      </c>
      <c r="S15" s="155"/>
      <c r="T15" s="157"/>
      <c r="U15" s="189">
        <f t="shared" si="2"/>
        <v>0</v>
      </c>
      <c r="V15" s="189">
        <f t="shared" si="3"/>
        <v>13.992974999999999</v>
      </c>
      <c r="W15" s="189">
        <f t="shared" si="4"/>
        <v>0</v>
      </c>
      <c r="X15" s="189">
        <f t="shared" si="5"/>
        <v>0</v>
      </c>
      <c r="Y15" s="189">
        <f t="shared" si="6"/>
        <v>1851.7370250000001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781</v>
      </c>
      <c r="C19" s="95"/>
      <c r="D19" s="94"/>
      <c r="E19" s="96"/>
      <c r="F19" s="94"/>
      <c r="G19" s="94"/>
      <c r="H19" s="98"/>
      <c r="I19" s="99">
        <v>781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4451.7</v>
      </c>
      <c r="C20" s="95"/>
      <c r="D20" s="94"/>
      <c r="E20" s="96"/>
      <c r="F20" s="94"/>
      <c r="G20" s="94"/>
      <c r="H20" s="98"/>
      <c r="I20" s="99">
        <v>4451.7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3921.15</v>
      </c>
      <c r="S42" s="190">
        <f t="shared" si="8"/>
        <v>0</v>
      </c>
      <c r="T42" s="190">
        <f t="shared" si="8"/>
        <v>118.7</v>
      </c>
      <c r="U42" s="190">
        <f t="shared" si="8"/>
        <v>5.1163793103448283</v>
      </c>
      <c r="V42" s="190">
        <f t="shared" si="8"/>
        <v>29.408625000000001</v>
      </c>
      <c r="W42" s="190">
        <f t="shared" si="8"/>
        <v>0</v>
      </c>
      <c r="X42" s="190">
        <f t="shared" si="8"/>
        <v>2.9675000000000002</v>
      </c>
      <c r="Y42" s="190">
        <f t="shared" si="8"/>
        <v>3891.7413749999996</v>
      </c>
      <c r="Z42" s="190">
        <f t="shared" si="8"/>
        <v>0</v>
      </c>
      <c r="AA42" s="190">
        <f t="shared" si="8"/>
        <v>110.61612068965518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3921.15</v>
      </c>
      <c r="C46" s="116">
        <v>7.4999999999999997E-3</v>
      </c>
      <c r="D46" s="117">
        <f>B46*C46</f>
        <v>29.408625000000001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3891.7413750000001</v>
      </c>
      <c r="H46" s="173">
        <f>B$6+1</f>
        <v>44762</v>
      </c>
      <c r="I46" s="174"/>
      <c r="J46" s="81">
        <f t="shared" si="0"/>
        <v>3921.15</v>
      </c>
      <c r="K46" s="80">
        <v>3891.74</v>
      </c>
      <c r="L46" s="186">
        <f>K46-G46</f>
        <v>-1.3750000002801244E-3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930.6</v>
      </c>
      <c r="C49" s="116">
        <v>7.4999999999999997E-3</v>
      </c>
      <c r="D49" s="117">
        <f t="shared" si="17"/>
        <v>6.9794999999999998</v>
      </c>
      <c r="E49" s="172">
        <v>0</v>
      </c>
      <c r="F49" s="117">
        <f t="shared" si="15"/>
        <v>0</v>
      </c>
      <c r="G49" s="117">
        <f t="shared" si="16"/>
        <v>923.62049999999999</v>
      </c>
      <c r="H49" s="173">
        <f t="shared" si="19"/>
        <v>44762</v>
      </c>
      <c r="I49" s="176"/>
      <c r="J49" s="81">
        <f t="shared" si="0"/>
        <v>930.6</v>
      </c>
      <c r="K49" s="80">
        <v>923.62</v>
      </c>
      <c r="L49" s="186">
        <f t="shared" si="18"/>
        <v>4.9999999998817657E-4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560.20000000000005</v>
      </c>
      <c r="C50" s="116">
        <v>7.4999999999999997E-3</v>
      </c>
      <c r="D50" s="117">
        <f t="shared" si="17"/>
        <v>4.2015000000000002</v>
      </c>
      <c r="E50" s="172">
        <v>0</v>
      </c>
      <c r="F50" s="117">
        <f t="shared" si="15"/>
        <v>0</v>
      </c>
      <c r="G50" s="117">
        <f t="shared" si="16"/>
        <v>555.99850000000004</v>
      </c>
      <c r="H50" s="173">
        <f t="shared" si="19"/>
        <v>44762</v>
      </c>
      <c r="I50" s="175"/>
      <c r="J50" s="81">
        <f t="shared" si="0"/>
        <v>560.20000000000005</v>
      </c>
      <c r="K50" s="80">
        <v>556</v>
      </c>
      <c r="L50" s="186">
        <f t="shared" si="18"/>
        <v>-1.4999999999645297E-3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332.5</v>
      </c>
      <c r="C51" s="116">
        <v>1.4999999999999999E-2</v>
      </c>
      <c r="D51" s="117">
        <f>+B51*C51</f>
        <v>4.9874999999999998</v>
      </c>
      <c r="E51" s="172">
        <v>0</v>
      </c>
      <c r="F51" s="117">
        <f>D51*E51</f>
        <v>0</v>
      </c>
      <c r="G51" s="117">
        <f t="shared" si="16"/>
        <v>327.51249999999999</v>
      </c>
      <c r="H51" s="173">
        <f t="shared" si="19"/>
        <v>44762</v>
      </c>
      <c r="I51" s="175"/>
      <c r="J51" s="81">
        <f t="shared" si="0"/>
        <v>332.5</v>
      </c>
      <c r="K51" s="80">
        <v>327.51</v>
      </c>
      <c r="L51" s="186">
        <f t="shared" si="18"/>
        <v>2.4999999999977263E-3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118.7</v>
      </c>
      <c r="C52" s="116">
        <v>2.5000000000000001E-2</v>
      </c>
      <c r="D52" s="117">
        <f>B52*C52</f>
        <v>2.9675000000000002</v>
      </c>
      <c r="E52" s="172">
        <v>0.05</v>
      </c>
      <c r="F52" s="117">
        <f>(B52/E$10)*E52</f>
        <v>5.1163793103448283</v>
      </c>
      <c r="G52" s="117">
        <f>B52-D52-F52</f>
        <v>110.61612068965518</v>
      </c>
      <c r="H52" s="188">
        <f t="shared" si="19"/>
        <v>44762</v>
      </c>
      <c r="I52" s="176">
        <v>118.7</v>
      </c>
      <c r="J52" s="81">
        <f t="shared" si="0"/>
        <v>0</v>
      </c>
      <c r="K52" s="80">
        <v>110.62</v>
      </c>
      <c r="L52" s="186">
        <f>K52-G52</f>
        <v>3.8793103448284683E-3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194</v>
      </c>
      <c r="B56" s="117">
        <f>T75</f>
        <v>14.54</v>
      </c>
      <c r="C56" s="116">
        <v>2.5000000000000001E-2</v>
      </c>
      <c r="D56" s="117">
        <f t="shared" si="20"/>
        <v>0.36349999999999999</v>
      </c>
      <c r="E56" s="172">
        <v>0.05</v>
      </c>
      <c r="F56" s="117">
        <f t="shared" si="21"/>
        <v>0.62672413793103454</v>
      </c>
      <c r="G56" s="117">
        <f t="shared" si="22"/>
        <v>13.549775862068964</v>
      </c>
      <c r="H56" s="173">
        <f t="shared" si="19"/>
        <v>44762</v>
      </c>
      <c r="I56" s="176">
        <v>14.54</v>
      </c>
      <c r="J56" s="81">
        <f t="shared" si="0"/>
        <v>0</v>
      </c>
      <c r="K56" s="80">
        <v>13.55</v>
      </c>
      <c r="L56" s="186">
        <f t="shared" si="18"/>
        <v>-2.241379310365943E-4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48.908125000000005</v>
      </c>
      <c r="E61" s="177"/>
      <c r="F61" s="57">
        <f>SUM(F46:F58)</f>
        <v>5.7431034482758632</v>
      </c>
      <c r="G61" s="57">
        <f>SUM(G46:G58)</f>
        <v>5823.0387715517236</v>
      </c>
      <c r="H61" s="173">
        <f t="shared" si="19"/>
        <v>44762</v>
      </c>
      <c r="I61" s="175"/>
      <c r="J61" s="81">
        <f t="shared" si="0"/>
        <v>0</v>
      </c>
      <c r="K61" s="80"/>
      <c r="L61" s="186">
        <f t="shared" si="18"/>
        <v>5823.0387715517236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11646.077543103447</v>
      </c>
      <c r="H64" s="184"/>
      <c r="I64" s="175"/>
      <c r="J64" s="81">
        <f t="shared" si="0"/>
        <v>0</v>
      </c>
      <c r="K64" s="80"/>
      <c r="L64" s="186">
        <f t="shared" si="18"/>
        <v>11646.077543103447</v>
      </c>
      <c r="M64" s="130"/>
      <c r="N64" s="87">
        <v>1</v>
      </c>
      <c r="O64" s="122" t="s">
        <v>172</v>
      </c>
      <c r="P64" s="87"/>
      <c r="Q64" s="87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11685.390000000003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11551.46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11671.51</v>
      </c>
      <c r="C69" s="59"/>
      <c r="F69" s="87" t="s">
        <v>129</v>
      </c>
      <c r="G69" s="22"/>
      <c r="H69" s="89"/>
      <c r="I69" s="136"/>
      <c r="J69" s="136">
        <f>K52</f>
        <v>110.62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-120.05000000000109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13.880000000002838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110.62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191</v>
      </c>
      <c r="P73" s="228">
        <v>819</v>
      </c>
      <c r="Q73" s="228">
        <v>2002</v>
      </c>
      <c r="R73" s="255">
        <v>825.37</v>
      </c>
      <c r="S73" s="228"/>
      <c r="T73" s="256">
        <v>14.54</v>
      </c>
      <c r="U73" s="189">
        <f t="shared" si="34"/>
        <v>0.62672413793103454</v>
      </c>
      <c r="V73" s="189">
        <f t="shared" si="35"/>
        <v>6.1902749999999997</v>
      </c>
      <c r="W73" s="189">
        <f t="shared" si="36"/>
        <v>0</v>
      </c>
      <c r="X73" s="189">
        <f t="shared" si="37"/>
        <v>0.36349999999999999</v>
      </c>
      <c r="Y73" s="189">
        <f t="shared" si="38"/>
        <v>819.17972499999996</v>
      </c>
      <c r="Z73" s="189">
        <f t="shared" si="38"/>
        <v>0</v>
      </c>
      <c r="AA73" s="189">
        <f t="shared" si="39"/>
        <v>13.549775862068964</v>
      </c>
      <c r="AB73" s="87"/>
    </row>
    <row r="74" spans="1:30" ht="15.75" x14ac:dyDescent="0.25">
      <c r="A74" s="85" t="s">
        <v>219</v>
      </c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191</v>
      </c>
      <c r="P74" s="228">
        <v>820</v>
      </c>
      <c r="Q74" s="228">
        <v>2002</v>
      </c>
      <c r="R74" s="255">
        <v>105.23</v>
      </c>
      <c r="S74" s="228"/>
      <c r="T74" s="228"/>
      <c r="U74" s="189">
        <f t="shared" si="34"/>
        <v>0</v>
      </c>
      <c r="V74" s="189">
        <f t="shared" si="35"/>
        <v>0.78922499999999995</v>
      </c>
      <c r="W74" s="189">
        <f t="shared" si="36"/>
        <v>0</v>
      </c>
      <c r="X74" s="189">
        <f t="shared" si="37"/>
        <v>0</v>
      </c>
      <c r="Y74" s="189">
        <f t="shared" si="38"/>
        <v>104.440775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930.6</v>
      </c>
      <c r="S75" s="192"/>
      <c r="T75" s="192">
        <f>SUM(T70:T74)</f>
        <v>14.54</v>
      </c>
      <c r="U75" s="192">
        <f>SUM(U70:U74)</f>
        <v>0.62672413793103454</v>
      </c>
      <c r="V75" s="192">
        <f t="shared" ref="V75:AA75" si="41">SUM(V70:V74)</f>
        <v>6.9794999999999998</v>
      </c>
      <c r="W75" s="192">
        <f t="shared" si="41"/>
        <v>0</v>
      </c>
      <c r="X75" s="192">
        <f t="shared" si="41"/>
        <v>0.36349999999999999</v>
      </c>
      <c r="Y75" s="192">
        <f t="shared" si="41"/>
        <v>923.62049999999999</v>
      </c>
      <c r="Z75" s="192">
        <f t="shared" si="41"/>
        <v>0</v>
      </c>
      <c r="AA75" s="193">
        <f t="shared" si="41"/>
        <v>13.549775862068964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22.29</v>
      </c>
      <c r="Q78" s="137">
        <v>6.41</v>
      </c>
      <c r="R78" s="82">
        <v>7.4999999999999997E-3</v>
      </c>
      <c r="S78" s="194">
        <f>+(P78+Q78)*R78</f>
        <v>0.21525</v>
      </c>
      <c r="T78" s="242">
        <f>+(P78+Q78)-S78</f>
        <v>28.484749999999998</v>
      </c>
      <c r="U78" s="211">
        <v>54.79</v>
      </c>
      <c r="V78" s="112"/>
      <c r="W78" s="113">
        <v>1.4999999999999999E-2</v>
      </c>
      <c r="X78" s="196">
        <f>+(U78+V78)*W78</f>
        <v>0.82184999999999997</v>
      </c>
      <c r="Y78" s="213">
        <f>+(U78+V78)-X78</f>
        <v>53.968150000000001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556</v>
      </c>
      <c r="N79" s="87">
        <v>2</v>
      </c>
      <c r="O79" s="87" t="s">
        <v>112</v>
      </c>
      <c r="P79" s="222">
        <v>320.45</v>
      </c>
      <c r="Q79" s="87">
        <v>35.58</v>
      </c>
      <c r="R79" s="82">
        <v>7.4999999999999997E-3</v>
      </c>
      <c r="S79" s="194">
        <f t="shared" ref="S79:S97" si="43">+(P79+Q79)*R79</f>
        <v>2.6702249999999998</v>
      </c>
      <c r="T79" s="242">
        <f t="shared" ref="T79:T97" si="44">+(P79+Q79)-S79</f>
        <v>353.35977499999996</v>
      </c>
      <c r="U79" s="211">
        <v>117.31</v>
      </c>
      <c r="V79" s="112"/>
      <c r="W79" s="113">
        <v>1.4999999999999999E-2</v>
      </c>
      <c r="X79" s="196">
        <f t="shared" ref="X79:X97" si="45">+(U79+V79)*W79</f>
        <v>1.7596499999999999</v>
      </c>
      <c r="Y79" s="213">
        <f t="shared" ref="Y79:Y97" si="46">+(U79+V79)-X79</f>
        <v>115.55035000000001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222"/>
      <c r="Q80" s="87">
        <v>8.36</v>
      </c>
      <c r="R80" s="82">
        <v>7.4999999999999997E-3</v>
      </c>
      <c r="S80" s="194">
        <f t="shared" si="43"/>
        <v>6.2699999999999992E-2</v>
      </c>
      <c r="T80" s="242">
        <f t="shared" si="44"/>
        <v>8.2972999999999999</v>
      </c>
      <c r="U80" s="211">
        <v>48.72</v>
      </c>
      <c r="V80" s="112"/>
      <c r="W80" s="113">
        <v>1.4999999999999999E-2</v>
      </c>
      <c r="X80" s="196">
        <f t="shared" si="45"/>
        <v>0.73080000000000001</v>
      </c>
      <c r="Y80" s="213">
        <f t="shared" si="46"/>
        <v>47.989199999999997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556</v>
      </c>
      <c r="N81" s="87">
        <v>4</v>
      </c>
      <c r="O81" s="87" t="s">
        <v>112</v>
      </c>
      <c r="P81" s="222">
        <v>167.11</v>
      </c>
      <c r="Q81" s="137"/>
      <c r="R81" s="82">
        <v>7.4999999999999997E-3</v>
      </c>
      <c r="S81" s="194">
        <f t="shared" si="43"/>
        <v>1.253325</v>
      </c>
      <c r="T81" s="213">
        <f t="shared" si="44"/>
        <v>165.85667500000002</v>
      </c>
      <c r="U81" s="211">
        <v>111.68</v>
      </c>
      <c r="V81" s="112"/>
      <c r="W81" s="113">
        <v>1.4999999999999999E-2</v>
      </c>
      <c r="X81" s="196">
        <f t="shared" si="45"/>
        <v>1.6752</v>
      </c>
      <c r="Y81" s="242">
        <f t="shared" si="46"/>
        <v>110.0048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222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222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228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228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228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509.85</v>
      </c>
      <c r="Q98" s="195">
        <f>SUM(Q78:Q97)</f>
        <v>50.349999999999994</v>
      </c>
      <c r="R98" s="111"/>
      <c r="S98" s="195">
        <f>SUM(S78:S97)</f>
        <v>4.2015000000000002</v>
      </c>
      <c r="T98" s="195">
        <f>SUM(T78:T97)</f>
        <v>555.99850000000004</v>
      </c>
      <c r="U98" s="114">
        <f>SUM(U78:U97)</f>
        <v>332.5</v>
      </c>
      <c r="V98" s="114">
        <f>SUM(V78:V97)</f>
        <v>0</v>
      </c>
      <c r="W98" s="112"/>
      <c r="X98" s="197">
        <f>SUM(X78:X97)</f>
        <v>4.9874999999999998</v>
      </c>
      <c r="Y98" s="197">
        <f>SUM(Y78:Y97)</f>
        <v>327.51249999999999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83.49</v>
      </c>
    </row>
    <row r="102" spans="14:30" x14ac:dyDescent="0.25">
      <c r="N102" s="85"/>
      <c r="P102" s="215">
        <f>P79+U79+Q79</f>
        <v>473.34</v>
      </c>
    </row>
    <row r="103" spans="14:30" x14ac:dyDescent="0.25">
      <c r="N103" s="85"/>
      <c r="P103" s="215">
        <f>P80+Q80+U80</f>
        <v>57.08</v>
      </c>
    </row>
    <row r="104" spans="14:30" x14ac:dyDescent="0.25">
      <c r="N104" s="85"/>
      <c r="P104" s="215">
        <f>P81+Q81+U81</f>
        <v>278.79000000000002</v>
      </c>
    </row>
    <row r="105" spans="14:30" x14ac:dyDescent="0.25">
      <c r="N105" s="85"/>
      <c r="P105" s="215">
        <f>P82+U82+Q82</f>
        <v>0</v>
      </c>
    </row>
    <row r="106" spans="14:30" x14ac:dyDescent="0.25">
      <c r="N106" s="85"/>
      <c r="P106" s="215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R5" zoomScale="90" zoomScaleNormal="90" workbookViewId="0">
      <selection activeCell="X16" sqref="X1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7109375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8.140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168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190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44762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>
        <v>5.73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1455.2</v>
      </c>
      <c r="C12" s="15"/>
      <c r="D12" s="56"/>
      <c r="E12" s="16"/>
      <c r="F12" s="56"/>
      <c r="G12" s="56"/>
      <c r="H12" s="17"/>
      <c r="I12" s="83">
        <v>1455.2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218</v>
      </c>
      <c r="Q12" s="158">
        <v>6</v>
      </c>
      <c r="R12" s="159">
        <v>798.23</v>
      </c>
      <c r="S12" s="155"/>
      <c r="T12" s="155"/>
      <c r="U12" s="189">
        <f>((T12/U$10)*U$9)</f>
        <v>0</v>
      </c>
      <c r="V12" s="189">
        <f>R12*V$10</f>
        <v>5.9867249999999999</v>
      </c>
      <c r="W12" s="189">
        <f>+S12*V$10</f>
        <v>0</v>
      </c>
      <c r="X12" s="189">
        <f>+T12*X$10</f>
        <v>0</v>
      </c>
      <c r="Y12" s="189">
        <f>R12-V12</f>
        <v>792.24327500000004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645</v>
      </c>
      <c r="C13" s="15"/>
      <c r="D13" s="56"/>
      <c r="E13" s="16"/>
      <c r="F13" s="56"/>
      <c r="G13" s="56"/>
      <c r="H13" s="17"/>
      <c r="I13" s="83">
        <v>645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/>
      <c r="Q13" s="158"/>
      <c r="R13" s="159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3676.5</v>
      </c>
      <c r="C14" s="15"/>
      <c r="D14" s="56"/>
      <c r="E14" s="16"/>
      <c r="F14" s="56"/>
      <c r="G14" s="56"/>
      <c r="H14" s="17"/>
      <c r="I14" s="83"/>
      <c r="J14" s="81">
        <f t="shared" si="0"/>
        <v>3676.5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279</v>
      </c>
      <c r="C15" s="15"/>
      <c r="D15" s="56"/>
      <c r="E15" s="16"/>
      <c r="F15" s="56"/>
      <c r="G15" s="56"/>
      <c r="H15" s="17"/>
      <c r="I15" s="83">
        <v>279</v>
      </c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986</v>
      </c>
      <c r="Q15" s="153">
        <v>6</v>
      </c>
      <c r="R15" s="154">
        <v>1565.56</v>
      </c>
      <c r="S15" s="155"/>
      <c r="T15" s="157"/>
      <c r="U15" s="189">
        <f t="shared" si="2"/>
        <v>0</v>
      </c>
      <c r="V15" s="189">
        <f t="shared" si="3"/>
        <v>11.7417</v>
      </c>
      <c r="W15" s="189">
        <f t="shared" si="4"/>
        <v>0</v>
      </c>
      <c r="X15" s="189">
        <f t="shared" si="5"/>
        <v>0</v>
      </c>
      <c r="Y15" s="189">
        <f t="shared" si="6"/>
        <v>1553.8182999999999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1598.67</v>
      </c>
      <c r="C16" s="15"/>
      <c r="D16" s="56"/>
      <c r="E16" s="16"/>
      <c r="F16" s="56"/>
      <c r="G16" s="56"/>
      <c r="H16" s="17"/>
      <c r="I16" s="83"/>
      <c r="J16" s="81">
        <f t="shared" si="0"/>
        <v>1598.67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214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924</v>
      </c>
      <c r="C19" s="95"/>
      <c r="D19" s="94"/>
      <c r="E19" s="96"/>
      <c r="F19" s="94"/>
      <c r="G19" s="94"/>
      <c r="H19" s="98"/>
      <c r="I19" s="99">
        <v>924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5275.17</v>
      </c>
      <c r="C20" s="95"/>
      <c r="D20" s="94"/>
      <c r="E20" s="96"/>
      <c r="F20" s="94"/>
      <c r="G20" s="94"/>
      <c r="H20" s="98"/>
      <c r="I20" s="99">
        <v>5294.52</v>
      </c>
      <c r="J20" s="185">
        <f t="shared" si="0"/>
        <v>-19.350000000000364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 t="s">
        <v>167</v>
      </c>
      <c r="C25" s="100"/>
      <c r="D25" s="66"/>
      <c r="E25" s="67"/>
      <c r="F25" s="66"/>
      <c r="G25" s="66"/>
      <c r="H25" s="102"/>
      <c r="I25" s="79"/>
      <c r="J25" s="81"/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/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/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2363.79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17.728425000000001</v>
      </c>
      <c r="W42" s="190">
        <f t="shared" si="8"/>
        <v>0</v>
      </c>
      <c r="X42" s="190">
        <f t="shared" si="8"/>
        <v>0</v>
      </c>
      <c r="Y42" s="190">
        <f t="shared" si="8"/>
        <v>2346.0615749999997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2363.79</v>
      </c>
      <c r="C46" s="116">
        <v>7.4999999999999997E-3</v>
      </c>
      <c r="D46" s="117">
        <f>B46*C46</f>
        <v>17.728424999999998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2346.0615750000002</v>
      </c>
      <c r="H46" s="173">
        <f>B$6+1</f>
        <v>44763</v>
      </c>
      <c r="I46" s="174"/>
      <c r="J46" s="81">
        <f t="shared" si="0"/>
        <v>2363.79</v>
      </c>
      <c r="K46" s="80"/>
      <c r="L46" s="186">
        <f>K46-G46</f>
        <v>-2346.0615750000002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1963.64</v>
      </c>
      <c r="C49" s="116">
        <v>7.4999999999999997E-3</v>
      </c>
      <c r="D49" s="117">
        <f t="shared" si="17"/>
        <v>14.7273</v>
      </c>
      <c r="E49" s="172">
        <v>0</v>
      </c>
      <c r="F49" s="117">
        <f t="shared" si="15"/>
        <v>0</v>
      </c>
      <c r="G49" s="117">
        <f t="shared" si="16"/>
        <v>1948.9127000000001</v>
      </c>
      <c r="H49" s="173">
        <f t="shared" si="19"/>
        <v>44763</v>
      </c>
      <c r="I49" s="176"/>
      <c r="J49" s="81">
        <f t="shared" si="0"/>
        <v>1963.64</v>
      </c>
      <c r="K49" s="80"/>
      <c r="L49" s="186">
        <f t="shared" si="18"/>
        <v>1948.9127000000001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462.18999999999994</v>
      </c>
      <c r="C50" s="116">
        <v>7.4999999999999997E-3</v>
      </c>
      <c r="D50" s="117">
        <f t="shared" si="17"/>
        <v>3.4664249999999996</v>
      </c>
      <c r="E50" s="172">
        <v>0</v>
      </c>
      <c r="F50" s="117">
        <f t="shared" si="15"/>
        <v>0</v>
      </c>
      <c r="G50" s="117">
        <f t="shared" si="16"/>
        <v>458.72357499999993</v>
      </c>
      <c r="H50" s="173">
        <f t="shared" si="19"/>
        <v>44763</v>
      </c>
      <c r="I50" s="175"/>
      <c r="J50" s="81">
        <f t="shared" si="0"/>
        <v>462.18999999999994</v>
      </c>
      <c r="K50" s="80"/>
      <c r="L50" s="186">
        <f t="shared" si="18"/>
        <v>458.72357499999993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168.57</v>
      </c>
      <c r="C51" s="116">
        <v>1.4999999999999999E-2</v>
      </c>
      <c r="D51" s="117">
        <f>+B51*C51</f>
        <v>2.5285499999999996</v>
      </c>
      <c r="E51" s="172">
        <v>0</v>
      </c>
      <c r="F51" s="117">
        <f>D51*E51</f>
        <v>0</v>
      </c>
      <c r="G51" s="117">
        <f t="shared" si="16"/>
        <v>166.04145</v>
      </c>
      <c r="H51" s="173">
        <f t="shared" si="19"/>
        <v>44763</v>
      </c>
      <c r="I51" s="175"/>
      <c r="J51" s="81">
        <f t="shared" si="0"/>
        <v>168.57</v>
      </c>
      <c r="K51" s="80">
        <v>166.04</v>
      </c>
      <c r="L51" s="186">
        <f t="shared" si="18"/>
        <v>1.4500000000055024E-3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44763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44763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38.450700000000005</v>
      </c>
      <c r="E61" s="177"/>
      <c r="F61" s="57">
        <f>SUM(F46:F58)</f>
        <v>0</v>
      </c>
      <c r="G61" s="57">
        <f>SUM(G46:G58)</f>
        <v>4919.7393000000002</v>
      </c>
      <c r="H61" s="173">
        <f t="shared" si="19"/>
        <v>44763</v>
      </c>
      <c r="I61" s="175"/>
      <c r="J61" s="81">
        <f t="shared" si="0"/>
        <v>0</v>
      </c>
      <c r="K61" s="80"/>
      <c r="L61" s="186">
        <f t="shared" si="18"/>
        <v>4919.7393000000002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9839.4786000000004</v>
      </c>
      <c r="H64" s="184"/>
      <c r="I64" s="175"/>
      <c r="J64" s="81">
        <f t="shared" si="0"/>
        <v>0</v>
      </c>
      <c r="K64" s="80"/>
      <c r="L64" s="186">
        <f t="shared" si="18"/>
        <v>9839.4786000000004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11688.56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11522.85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11663.99</v>
      </c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-141.13999999999942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24.569999999999709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821</v>
      </c>
      <c r="Q73" s="228">
        <v>2002</v>
      </c>
      <c r="R73" s="222">
        <v>409.99</v>
      </c>
      <c r="S73" s="228"/>
      <c r="T73" s="228"/>
      <c r="U73" s="189">
        <f t="shared" si="34"/>
        <v>0</v>
      </c>
      <c r="V73" s="189">
        <f t="shared" si="35"/>
        <v>3.0749249999999999</v>
      </c>
      <c r="W73" s="189">
        <f t="shared" si="36"/>
        <v>0</v>
      </c>
      <c r="X73" s="189">
        <f t="shared" si="37"/>
        <v>0</v>
      </c>
      <c r="Y73" s="189">
        <f t="shared" si="38"/>
        <v>406.915075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822</v>
      </c>
      <c r="Q74" s="228">
        <v>2002</v>
      </c>
      <c r="R74" s="222">
        <v>1553.65</v>
      </c>
      <c r="S74" s="228"/>
      <c r="T74" s="222"/>
      <c r="U74" s="189">
        <f t="shared" si="34"/>
        <v>0</v>
      </c>
      <c r="V74" s="189">
        <f t="shared" si="35"/>
        <v>11.652375000000001</v>
      </c>
      <c r="W74" s="189">
        <f t="shared" si="36"/>
        <v>0</v>
      </c>
      <c r="X74" s="189">
        <f t="shared" si="37"/>
        <v>0</v>
      </c>
      <c r="Y74" s="189">
        <f t="shared" si="38"/>
        <v>1541.9976250000002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1963.64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14.727300000000001</v>
      </c>
      <c r="W75" s="192">
        <f t="shared" si="41"/>
        <v>0</v>
      </c>
      <c r="X75" s="192">
        <f t="shared" si="41"/>
        <v>0</v>
      </c>
      <c r="Y75" s="192">
        <f t="shared" si="41"/>
        <v>1948.9127000000003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211">
        <v>49.49</v>
      </c>
      <c r="V78" s="112"/>
      <c r="W78" s="113">
        <v>1.4999999999999999E-2</v>
      </c>
      <c r="X78" s="217">
        <f>+(U78+V78)*W78</f>
        <v>0.74234999999999995</v>
      </c>
      <c r="Y78" s="242">
        <f>+(U78+V78)-X78</f>
        <v>48.74765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236.16</v>
      </c>
      <c r="Q79" s="137">
        <v>35</v>
      </c>
      <c r="R79" s="82">
        <v>7.4999999999999997E-3</v>
      </c>
      <c r="S79" s="216">
        <f t="shared" ref="S79:S97" si="43">+(P79+Q79)*R79</f>
        <v>2.0336999999999996</v>
      </c>
      <c r="T79" s="219">
        <f t="shared" ref="T79:T97" si="44">+(P79+Q79)-S79</f>
        <v>269.12629999999996</v>
      </c>
      <c r="U79" s="211">
        <v>10.38</v>
      </c>
      <c r="V79" s="112"/>
      <c r="W79" s="113">
        <v>1.4999999999999999E-2</v>
      </c>
      <c r="X79" s="217">
        <f t="shared" ref="X79:X97" si="45">+(U79+V79)*W79</f>
        <v>0.15570000000000001</v>
      </c>
      <c r="Y79" s="213">
        <f t="shared" ref="Y79:Y97" si="46">+(U79+V79)-X79</f>
        <v>10.224300000000001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29</v>
      </c>
      <c r="Q80" s="137">
        <v>25.78</v>
      </c>
      <c r="R80" s="82">
        <v>7.4999999999999997E-3</v>
      </c>
      <c r="S80" s="216">
        <f t="shared" si="43"/>
        <v>0.41084999999999999</v>
      </c>
      <c r="T80" s="219">
        <f t="shared" si="44"/>
        <v>54.369149999999998</v>
      </c>
      <c r="U80" s="211">
        <v>9.01</v>
      </c>
      <c r="V80" s="112"/>
      <c r="W80" s="113">
        <v>1.4999999999999999E-2</v>
      </c>
      <c r="X80" s="217">
        <f t="shared" si="45"/>
        <v>0.13514999999999999</v>
      </c>
      <c r="Y80" s="213">
        <f t="shared" si="46"/>
        <v>8.8748500000000003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136.25</v>
      </c>
      <c r="Q81" s="137"/>
      <c r="R81" s="82">
        <v>7.4999999999999997E-3</v>
      </c>
      <c r="S81" s="216">
        <f t="shared" si="43"/>
        <v>1.0218749999999999</v>
      </c>
      <c r="T81" s="219">
        <f t="shared" si="44"/>
        <v>135.22812500000001</v>
      </c>
      <c r="U81" s="211">
        <v>99.69</v>
      </c>
      <c r="V81" s="112"/>
      <c r="W81" s="113">
        <v>1.4999999999999999E-2</v>
      </c>
      <c r="X81" s="217">
        <f t="shared" si="45"/>
        <v>1.49535</v>
      </c>
      <c r="Y81" s="242">
        <f t="shared" si="46"/>
        <v>98.194649999999996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216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6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401.40999999999997</v>
      </c>
      <c r="Q98" s="195">
        <f>SUM(Q78:Q97)</f>
        <v>60.78</v>
      </c>
      <c r="R98" s="111"/>
      <c r="S98" s="195">
        <f>SUM(S78:S97)</f>
        <v>3.4664249999999992</v>
      </c>
      <c r="T98" s="195">
        <f>SUM(T78:T97)</f>
        <v>458.72357499999998</v>
      </c>
      <c r="U98" s="114">
        <f>SUM(U78:U97)</f>
        <v>168.57</v>
      </c>
      <c r="V98" s="114">
        <f>SUM(V78:V97)</f>
        <v>0</v>
      </c>
      <c r="W98" s="112"/>
      <c r="X98" s="197">
        <f>SUM(X78:X97)</f>
        <v>2.5285500000000001</v>
      </c>
      <c r="Y98" s="197">
        <f>SUM(Y78:Y97)</f>
        <v>166.04145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 t="shared" ref="P101:P106" si="50">P78+Q78+U78</f>
        <v>49.49</v>
      </c>
    </row>
    <row r="102" spans="14:30" x14ac:dyDescent="0.25">
      <c r="N102" s="85"/>
      <c r="P102" s="215">
        <f t="shared" si="50"/>
        <v>281.53999999999996</v>
      </c>
    </row>
    <row r="103" spans="14:30" x14ac:dyDescent="0.25">
      <c r="N103" s="85"/>
      <c r="P103" s="215">
        <f t="shared" si="50"/>
        <v>63.79</v>
      </c>
    </row>
    <row r="104" spans="14:30" x14ac:dyDescent="0.25">
      <c r="N104" s="85"/>
      <c r="P104" s="215">
        <f t="shared" si="50"/>
        <v>235.94</v>
      </c>
    </row>
    <row r="105" spans="14:30" x14ac:dyDescent="0.25">
      <c r="N105" s="85"/>
      <c r="P105" s="215">
        <f t="shared" si="50"/>
        <v>0</v>
      </c>
    </row>
    <row r="106" spans="14:30" x14ac:dyDescent="0.25">
      <c r="N106" s="85"/>
      <c r="P106" s="85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61" zoomScale="90" zoomScaleNormal="90" workbookViewId="0">
      <selection activeCell="X87" sqref="X8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0.71093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168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190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44763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241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4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1315.5</v>
      </c>
      <c r="C12" s="15"/>
      <c r="D12" s="56"/>
      <c r="E12" s="16"/>
      <c r="F12" s="56"/>
      <c r="G12" s="56"/>
      <c r="H12" s="17"/>
      <c r="I12" s="83">
        <v>1350.5</v>
      </c>
      <c r="J12" s="81">
        <f>B12-I12</f>
        <v>-35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219</v>
      </c>
      <c r="Q12" s="158">
        <v>6</v>
      </c>
      <c r="R12" s="159">
        <v>1037.51</v>
      </c>
      <c r="S12" s="155"/>
      <c r="T12" s="155"/>
      <c r="U12" s="189">
        <f>((T12/U$10)*U$9)</f>
        <v>0</v>
      </c>
      <c r="V12" s="189">
        <f>R12*V$10</f>
        <v>7.7813249999999998</v>
      </c>
      <c r="W12" s="189">
        <f>+S12*V$10</f>
        <v>0</v>
      </c>
      <c r="X12" s="189">
        <f>+T12*X$10</f>
        <v>0</v>
      </c>
      <c r="Y12" s="189">
        <f>R12-V12</f>
        <v>1029.7286750000001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630</v>
      </c>
      <c r="C13" s="15"/>
      <c r="D13" s="56"/>
      <c r="E13" s="16"/>
      <c r="F13" s="56"/>
      <c r="G13" s="56"/>
      <c r="H13" s="17"/>
      <c r="I13" s="83">
        <v>630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>
        <v>220</v>
      </c>
      <c r="Q13" s="158">
        <v>6</v>
      </c>
      <c r="R13" s="159">
        <v>860.89</v>
      </c>
      <c r="S13" s="155"/>
      <c r="T13" s="157">
        <v>129.55000000000001</v>
      </c>
      <c r="U13" s="189">
        <f t="shared" ref="U13:U41" si="2">((T13/U$10)*U$9)</f>
        <v>5.5840517241379324</v>
      </c>
      <c r="V13" s="189">
        <f t="shared" ref="V13:V41" si="3">R13*V$10</f>
        <v>6.4566749999999997</v>
      </c>
      <c r="W13" s="189">
        <f t="shared" ref="W13:W41" si="4">+S13*V$10</f>
        <v>0</v>
      </c>
      <c r="X13" s="189">
        <f t="shared" ref="X13:X41" si="5">+T13*X$10</f>
        <v>3.2387500000000005</v>
      </c>
      <c r="Y13" s="189">
        <f t="shared" ref="Y13:Z41" si="6">R13-V13</f>
        <v>854.43332499999997</v>
      </c>
      <c r="Z13" s="189">
        <f t="shared" si="6"/>
        <v>0</v>
      </c>
      <c r="AA13" s="189">
        <f t="shared" ref="AA13:AA41" si="7">T13-U13-X13</f>
        <v>120.72719827586208</v>
      </c>
      <c r="AB13" s="156"/>
    </row>
    <row r="14" spans="1:28" ht="15.75" x14ac:dyDescent="0.25">
      <c r="A14" s="86" t="s">
        <v>83</v>
      </c>
      <c r="B14" s="57">
        <f>B13*B8</f>
        <v>3609.9</v>
      </c>
      <c r="C14" s="15"/>
      <c r="D14" s="56"/>
      <c r="E14" s="16"/>
      <c r="F14" s="56"/>
      <c r="G14" s="56"/>
      <c r="H14" s="17"/>
      <c r="I14" s="83">
        <v>3609.9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987</v>
      </c>
      <c r="Q15" s="158">
        <v>6</v>
      </c>
      <c r="R15" s="159">
        <v>2510.0300000000002</v>
      </c>
      <c r="S15" s="155"/>
      <c r="T15" s="157">
        <v>20.63</v>
      </c>
      <c r="U15" s="189">
        <f t="shared" si="2"/>
        <v>0.88922413793103461</v>
      </c>
      <c r="V15" s="189">
        <f t="shared" si="3"/>
        <v>18.825225</v>
      </c>
      <c r="W15" s="189">
        <f t="shared" si="4"/>
        <v>0</v>
      </c>
      <c r="X15" s="189">
        <f t="shared" si="5"/>
        <v>0.51575000000000004</v>
      </c>
      <c r="Y15" s="189">
        <f t="shared" si="6"/>
        <v>2491.2047750000002</v>
      </c>
      <c r="Z15" s="189">
        <f t="shared" si="6"/>
        <v>0</v>
      </c>
      <c r="AA15" s="189">
        <f t="shared" si="7"/>
        <v>19.225025862068964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630</v>
      </c>
      <c r="C19" s="95"/>
      <c r="D19" s="94"/>
      <c r="E19" s="96"/>
      <c r="F19" s="94"/>
      <c r="G19" s="94"/>
      <c r="H19" s="98"/>
      <c r="I19" s="99">
        <v>630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3609.9</v>
      </c>
      <c r="C20" s="95"/>
      <c r="D20" s="94"/>
      <c r="E20" s="96"/>
      <c r="F20" s="94"/>
      <c r="G20" s="94"/>
      <c r="H20" s="98"/>
      <c r="I20" s="99">
        <v>3609.9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4408.43</v>
      </c>
      <c r="S42" s="190">
        <f t="shared" si="8"/>
        <v>0</v>
      </c>
      <c r="T42" s="190">
        <f t="shared" si="8"/>
        <v>150.18</v>
      </c>
      <c r="U42" s="190">
        <f t="shared" si="8"/>
        <v>6.4732758620689665</v>
      </c>
      <c r="V42" s="190">
        <f t="shared" si="8"/>
        <v>33.063225000000003</v>
      </c>
      <c r="W42" s="190">
        <f t="shared" si="8"/>
        <v>0</v>
      </c>
      <c r="X42" s="190">
        <f t="shared" si="8"/>
        <v>3.7545000000000006</v>
      </c>
      <c r="Y42" s="190">
        <f t="shared" si="8"/>
        <v>4375.3667750000004</v>
      </c>
      <c r="Z42" s="190">
        <f t="shared" si="8"/>
        <v>0</v>
      </c>
      <c r="AA42" s="190">
        <f t="shared" si="8"/>
        <v>139.95222413793104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59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59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4408.43</v>
      </c>
      <c r="C46" s="116">
        <v>7.4999999999999997E-3</v>
      </c>
      <c r="D46" s="117">
        <f>B46*C46</f>
        <v>33.063225000000003</v>
      </c>
      <c r="E46" s="172">
        <v>0</v>
      </c>
      <c r="F46" s="117">
        <f t="shared" ref="F46:F50" si="15">D46*E46</f>
        <v>0</v>
      </c>
      <c r="G46" s="117">
        <f t="shared" ref="G46:G51" si="16">B46-D46-F46</f>
        <v>4375.3667750000004</v>
      </c>
      <c r="H46" s="173">
        <f>B$6+1</f>
        <v>44764</v>
      </c>
      <c r="I46" s="174"/>
      <c r="J46" s="81">
        <f t="shared" si="0"/>
        <v>4408.43</v>
      </c>
      <c r="K46" s="80"/>
      <c r="L46" s="186">
        <f t="shared" ref="L46:L64" si="17">+G46-K46</f>
        <v>4375.3667750000004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5149.54</v>
      </c>
      <c r="C49" s="116">
        <v>7.4999999999999997E-3</v>
      </c>
      <c r="D49" s="117">
        <f t="shared" si="18"/>
        <v>38.621549999999999</v>
      </c>
      <c r="E49" s="172">
        <v>0</v>
      </c>
      <c r="F49" s="117">
        <f t="shared" si="15"/>
        <v>0</v>
      </c>
      <c r="G49" s="117">
        <f t="shared" si="16"/>
        <v>5110.9184500000001</v>
      </c>
      <c r="H49" s="173">
        <f t="shared" si="19"/>
        <v>44764</v>
      </c>
      <c r="I49" s="176"/>
      <c r="J49" s="81">
        <f t="shared" si="0"/>
        <v>5149.54</v>
      </c>
      <c r="K49" s="80"/>
      <c r="L49" s="186">
        <f t="shared" si="17"/>
        <v>5110.9184500000001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700.82999999999993</v>
      </c>
      <c r="C50" s="116">
        <v>7.4999999999999997E-3</v>
      </c>
      <c r="D50" s="117">
        <f t="shared" si="18"/>
        <v>5.2562249999999997</v>
      </c>
      <c r="E50" s="172">
        <v>0</v>
      </c>
      <c r="F50" s="117">
        <f t="shared" si="15"/>
        <v>0</v>
      </c>
      <c r="G50" s="117">
        <f t="shared" si="16"/>
        <v>695.57377499999996</v>
      </c>
      <c r="H50" s="173">
        <f t="shared" si="19"/>
        <v>44764</v>
      </c>
      <c r="I50" s="175"/>
      <c r="J50" s="81">
        <f t="shared" si="0"/>
        <v>700.82999999999993</v>
      </c>
      <c r="K50" s="80"/>
      <c r="L50" s="186">
        <f t="shared" si="17"/>
        <v>695.57377499999996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49.24</v>
      </c>
      <c r="C51" s="116">
        <v>1.4999999999999999E-2</v>
      </c>
      <c r="D51" s="117">
        <f>+B51*C51</f>
        <v>0.73860000000000003</v>
      </c>
      <c r="E51" s="172">
        <v>0</v>
      </c>
      <c r="F51" s="117">
        <f>D51*E51</f>
        <v>0</v>
      </c>
      <c r="G51" s="117">
        <f t="shared" si="16"/>
        <v>48.501400000000004</v>
      </c>
      <c r="H51" s="173">
        <f t="shared" si="19"/>
        <v>44764</v>
      </c>
      <c r="I51" s="175"/>
      <c r="J51" s="81">
        <f t="shared" si="0"/>
        <v>49.24</v>
      </c>
      <c r="K51" s="80"/>
      <c r="L51" s="186">
        <f t="shared" si="17"/>
        <v>48.501400000000004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150.18</v>
      </c>
      <c r="C52" s="116">
        <v>2.5000000000000001E-2</v>
      </c>
      <c r="D52" s="117">
        <f>B52*C52</f>
        <v>3.7545000000000002</v>
      </c>
      <c r="E52" s="172">
        <v>0.05</v>
      </c>
      <c r="F52" s="117">
        <f>(B52/E$10)*E52</f>
        <v>6.4732758620689665</v>
      </c>
      <c r="G52" s="117">
        <f>B52-D52-F52</f>
        <v>139.95222413793104</v>
      </c>
      <c r="H52" s="188">
        <f t="shared" si="19"/>
        <v>44764</v>
      </c>
      <c r="I52" s="176">
        <v>150.18</v>
      </c>
      <c r="J52" s="81">
        <f t="shared" si="0"/>
        <v>0</v>
      </c>
      <c r="K52" s="80"/>
      <c r="L52" s="186">
        <f>K52-G52</f>
        <v>-139.95222413793104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81.434100000000001</v>
      </c>
      <c r="E61" s="177"/>
      <c r="F61" s="57">
        <f>SUM(F46:F58)</f>
        <v>6.4732758620689665</v>
      </c>
      <c r="G61" s="57">
        <f>SUM(G46:G58)</f>
        <v>10370.31262413793</v>
      </c>
      <c r="H61" s="173">
        <f t="shared" si="19"/>
        <v>44764</v>
      </c>
      <c r="I61" s="175"/>
      <c r="J61" s="81">
        <f t="shared" si="0"/>
        <v>0</v>
      </c>
      <c r="K61" s="80"/>
      <c r="L61" s="186">
        <f t="shared" si="17"/>
        <v>10370.31262413793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20740.625248275861</v>
      </c>
      <c r="H64" s="184"/>
      <c r="I64" s="175"/>
      <c r="J64" s="81">
        <f t="shared" si="0"/>
        <v>0</v>
      </c>
      <c r="K64" s="80"/>
      <c r="L64" s="186">
        <f t="shared" si="17"/>
        <v>20740.625248275861</v>
      </c>
      <c r="M64" s="130"/>
      <c r="N64" s="87">
        <v>1</v>
      </c>
      <c r="O64" s="122" t="s">
        <v>169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15383.619999999999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15247.73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15343.33</v>
      </c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-95.600000000000364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40.289999999999054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823</v>
      </c>
      <c r="Q73" s="228">
        <v>2002</v>
      </c>
      <c r="R73" s="222">
        <v>2727.87</v>
      </c>
      <c r="S73" s="228"/>
      <c r="T73" s="228"/>
      <c r="U73" s="189">
        <f t="shared" si="34"/>
        <v>0</v>
      </c>
      <c r="V73" s="189">
        <f t="shared" si="35"/>
        <v>20.459024999999997</v>
      </c>
      <c r="W73" s="189">
        <f t="shared" si="36"/>
        <v>0</v>
      </c>
      <c r="X73" s="189">
        <f t="shared" si="37"/>
        <v>0</v>
      </c>
      <c r="Y73" s="189">
        <f t="shared" si="38"/>
        <v>2707.4109749999998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824</v>
      </c>
      <c r="Q74" s="228">
        <v>2002</v>
      </c>
      <c r="R74" s="222">
        <v>2421.67</v>
      </c>
      <c r="S74" s="228"/>
      <c r="T74" s="228"/>
      <c r="U74" s="189">
        <f t="shared" si="34"/>
        <v>0</v>
      </c>
      <c r="V74" s="189">
        <f t="shared" si="35"/>
        <v>18.162524999999999</v>
      </c>
      <c r="W74" s="189">
        <f t="shared" si="36"/>
        <v>0</v>
      </c>
      <c r="X74" s="189">
        <f t="shared" si="37"/>
        <v>0</v>
      </c>
      <c r="Y74" s="189">
        <f t="shared" si="38"/>
        <v>2403.5074749999999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5149.54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38.621549999999999</v>
      </c>
      <c r="W75" s="192">
        <f t="shared" si="41"/>
        <v>0</v>
      </c>
      <c r="X75" s="192">
        <f t="shared" si="41"/>
        <v>0</v>
      </c>
      <c r="Y75" s="192">
        <f t="shared" si="41"/>
        <v>5110.9184499999992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130.24</v>
      </c>
      <c r="Q78" s="137">
        <v>121.02</v>
      </c>
      <c r="R78" s="82">
        <v>7.4999999999999997E-3</v>
      </c>
      <c r="S78" s="194">
        <f>+(P78+Q78)*R78</f>
        <v>1.88445</v>
      </c>
      <c r="T78" s="242">
        <f>+(P78+Q78)-S78</f>
        <v>249.37555</v>
      </c>
      <c r="U78" s="211">
        <v>17.98</v>
      </c>
      <c r="V78" s="112"/>
      <c r="W78" s="113">
        <v>1.4999999999999999E-2</v>
      </c>
      <c r="X78" s="196">
        <f>+(U78+V78)*W78</f>
        <v>0.2697</v>
      </c>
      <c r="Y78" s="213">
        <f>+(U78+V78)-X78</f>
        <v>17.7103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v>183.31</v>
      </c>
      <c r="R79" s="82">
        <v>7.4999999999999997E-3</v>
      </c>
      <c r="S79" s="194">
        <f t="shared" ref="S79:S97" si="43">+(P79+Q79)*R79</f>
        <v>1.374825</v>
      </c>
      <c r="T79" s="242">
        <f t="shared" ref="T79:T97" si="44">+(P79+Q79)-S79</f>
        <v>181.93517500000002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>
        <v>19.850000000000001</v>
      </c>
      <c r="V80" s="112"/>
      <c r="W80" s="113">
        <v>1.4999999999999999E-2</v>
      </c>
      <c r="X80" s="196">
        <f t="shared" si="45"/>
        <v>0.29775000000000001</v>
      </c>
      <c r="Y80" s="242">
        <f t="shared" si="46"/>
        <v>19.552250000000001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>
        <v>29.79</v>
      </c>
      <c r="Q81" s="137">
        <v>139.83000000000001</v>
      </c>
      <c r="R81" s="82">
        <v>7.4999999999999997E-3</v>
      </c>
      <c r="S81" s="194">
        <f t="shared" si="43"/>
        <v>1.2721499999999999</v>
      </c>
      <c r="T81" s="219">
        <f t="shared" si="44"/>
        <v>168.34784999999999</v>
      </c>
      <c r="U81" s="211">
        <v>10.71</v>
      </c>
      <c r="V81" s="112"/>
      <c r="W81" s="113">
        <v>1.4999999999999999E-2</v>
      </c>
      <c r="X81" s="196">
        <f t="shared" si="45"/>
        <v>0.16065000000000002</v>
      </c>
      <c r="Y81" s="242">
        <f t="shared" si="46"/>
        <v>10.54935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61.79</v>
      </c>
      <c r="Q82" s="137">
        <v>34.85</v>
      </c>
      <c r="R82" s="82">
        <v>7.4999999999999997E-3</v>
      </c>
      <c r="S82" s="194">
        <f t="shared" si="43"/>
        <v>0.7248</v>
      </c>
      <c r="T82" s="219">
        <f t="shared" si="44"/>
        <v>95.915199999999999</v>
      </c>
      <c r="U82" s="211">
        <v>0.7</v>
      </c>
      <c r="V82" s="112"/>
      <c r="W82" s="113">
        <v>1.4999999999999999E-2</v>
      </c>
      <c r="X82" s="196">
        <f t="shared" si="45"/>
        <v>1.0499999999999999E-2</v>
      </c>
      <c r="Y82" s="242">
        <f t="shared" si="46"/>
        <v>0.6895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221.82</v>
      </c>
      <c r="Q98" s="195">
        <f>SUM(Q78:Q97)</f>
        <v>479.01</v>
      </c>
      <c r="R98" s="111"/>
      <c r="S98" s="195">
        <f>SUM(S78:S97)</f>
        <v>5.2562249999999997</v>
      </c>
      <c r="T98" s="195">
        <f>SUM(T78:T97)</f>
        <v>695.57377500000007</v>
      </c>
      <c r="U98" s="114">
        <f>SUM(U78:U97)</f>
        <v>49.24</v>
      </c>
      <c r="V98" s="114">
        <f>SUM(V78:V97)</f>
        <v>0</v>
      </c>
      <c r="W98" s="112"/>
      <c r="X98" s="197">
        <f>SUM(X78:X97)</f>
        <v>0.73859999999999992</v>
      </c>
      <c r="Y98" s="197">
        <f>SUM(Y78:Y97)</f>
        <v>48.501400000000011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 t="shared" ref="Q102:Q107" si="50">P78+Q78+U78</f>
        <v>269.24</v>
      </c>
    </row>
    <row r="103" spans="14:30" x14ac:dyDescent="0.25">
      <c r="N103" s="85"/>
      <c r="Q103" s="215">
        <f t="shared" si="50"/>
        <v>183.31</v>
      </c>
    </row>
    <row r="104" spans="14:30" x14ac:dyDescent="0.25">
      <c r="N104" s="85"/>
      <c r="Q104" s="215">
        <f>P80+Q80+U80</f>
        <v>19.850000000000001</v>
      </c>
    </row>
    <row r="105" spans="14:30" x14ac:dyDescent="0.25">
      <c r="N105" s="85"/>
      <c r="Q105" s="235">
        <f>P81+Q81+U81</f>
        <v>180.33</v>
      </c>
    </row>
    <row r="106" spans="14:30" x14ac:dyDescent="0.25">
      <c r="N106" s="85"/>
      <c r="Q106" s="215">
        <f>P82+Q82+U82</f>
        <v>97.34</v>
      </c>
    </row>
    <row r="107" spans="14:30" x14ac:dyDescent="0.25">
      <c r="N107" s="85"/>
      <c r="Q107" s="218">
        <f t="shared" si="50"/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8"/>
      <c r="B1" s="282" t="s">
        <v>12</v>
      </c>
      <c r="C1" s="283"/>
      <c r="D1" s="283"/>
      <c r="E1" s="283"/>
      <c r="F1" s="283"/>
      <c r="G1" s="283"/>
      <c r="H1" s="283"/>
      <c r="I1" s="284"/>
    </row>
    <row r="2" spans="1:9" s="84" customFormat="1" ht="16.5" customHeight="1" x14ac:dyDescent="0.25">
      <c r="A2" s="278"/>
      <c r="B2" s="285" t="s">
        <v>13</v>
      </c>
      <c r="C2" s="286"/>
      <c r="D2" s="286"/>
      <c r="E2" s="286"/>
      <c r="F2" s="286"/>
      <c r="G2" s="286"/>
      <c r="H2" s="286"/>
      <c r="I2" s="287"/>
    </row>
    <row r="3" spans="1:9" s="84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</row>
    <row r="4" spans="1:9" x14ac:dyDescent="0.25">
      <c r="B4" s="281"/>
      <c r="C4" s="281"/>
      <c r="D4" s="281"/>
      <c r="E4" s="281"/>
      <c r="F4" s="281"/>
      <c r="G4" s="281"/>
    </row>
    <row r="6" spans="1:9" ht="15.75" thickBot="1" x14ac:dyDescent="0.3"/>
    <row r="7" spans="1:9" x14ac:dyDescent="0.25">
      <c r="E7" s="279" t="s">
        <v>14</v>
      </c>
      <c r="F7" s="280"/>
    </row>
    <row r="8" spans="1:9" ht="27" customHeight="1" x14ac:dyDescent="0.25">
      <c r="A8" s="45" t="s">
        <v>33</v>
      </c>
      <c r="B8" s="45" t="s">
        <v>1</v>
      </c>
      <c r="C8" s="45" t="s">
        <v>2</v>
      </c>
      <c r="D8" s="52" t="s">
        <v>27</v>
      </c>
      <c r="E8" s="49" t="s">
        <v>1</v>
      </c>
      <c r="F8" s="50" t="s">
        <v>2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1'!G$47</f>
        <v>0</v>
      </c>
      <c r="C9" s="199">
        <f>+'DIA 1'!G$53</f>
        <v>0</v>
      </c>
      <c r="D9" s="203">
        <f>B9+C9</f>
        <v>0</v>
      </c>
      <c r="E9" s="204">
        <f>+'DIA 1'!K$47</f>
        <v>0</v>
      </c>
      <c r="F9" s="205">
        <f>+'DIA 1'!K$53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2'!G$47</f>
        <v>0</v>
      </c>
      <c r="C10" s="199">
        <f>'DIA 2'!G$53</f>
        <v>0</v>
      </c>
      <c r="D10" s="203">
        <f t="shared" ref="D10:D39" si="0">B10+C10</f>
        <v>0</v>
      </c>
      <c r="E10" s="199">
        <f>'DIA 2'!K$47</f>
        <v>0</v>
      </c>
      <c r="F10" s="199">
        <f>'DIA 2'!K$53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3'!G$47</f>
        <v>0</v>
      </c>
      <c r="C11" s="199">
        <f>'DIA 3'!G$53</f>
        <v>0</v>
      </c>
      <c r="D11" s="203">
        <f t="shared" si="0"/>
        <v>0</v>
      </c>
      <c r="E11" s="199">
        <f>'DIA 3'!K$47</f>
        <v>0</v>
      </c>
      <c r="F11" s="199">
        <f>'DIA 3'!K$53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7'!G$47</f>
        <v>0</v>
      </c>
      <c r="C15" s="199">
        <f>'DIA 7'!G$53</f>
        <v>0</v>
      </c>
      <c r="D15" s="203">
        <f t="shared" si="0"/>
        <v>0</v>
      </c>
      <c r="E15" s="199">
        <f>'DIA 7'!K$47</f>
        <v>0</v>
      </c>
      <c r="F15" s="199">
        <f>'DIA 7'!K$53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8'!G$47</f>
        <v>0</v>
      </c>
      <c r="C16" s="199">
        <f>'DIA 8'!G$53</f>
        <v>0</v>
      </c>
      <c r="D16" s="203">
        <f t="shared" si="0"/>
        <v>0</v>
      </c>
      <c r="E16" s="199">
        <f>'DIA 8'!K$47</f>
        <v>0</v>
      </c>
      <c r="F16" s="199">
        <f>'DIA 8'!K$53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10'!G$47</f>
        <v>0</v>
      </c>
      <c r="C18" s="199">
        <f>'DIA 10'!G$53</f>
        <v>0</v>
      </c>
      <c r="D18" s="203">
        <f t="shared" si="0"/>
        <v>0</v>
      </c>
      <c r="E18" s="199">
        <f>'DIA 10'!K$47</f>
        <v>0</v>
      </c>
      <c r="F18" s="199">
        <f>'DIA 10'!K$53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12'!G$47</f>
        <v>0</v>
      </c>
      <c r="C20" s="199">
        <f>'DIA 12'!G$53</f>
        <v>0</v>
      </c>
      <c r="D20" s="203">
        <f t="shared" si="0"/>
        <v>0</v>
      </c>
      <c r="E20" s="199">
        <f>'DIA 12'!K$47</f>
        <v>0</v>
      </c>
      <c r="F20" s="199">
        <f>'DIA 12'!K$53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13'!G$47</f>
        <v>0</v>
      </c>
      <c r="C21" s="199">
        <f>'DIA 13'!G$53</f>
        <v>0</v>
      </c>
      <c r="D21" s="203">
        <f t="shared" si="0"/>
        <v>0</v>
      </c>
      <c r="E21" s="199">
        <f>'DIA 13'!K$47</f>
        <v>0</v>
      </c>
      <c r="F21" s="199">
        <f>'DIA 13'!K$53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14'!G$47</f>
        <v>0</v>
      </c>
      <c r="C22" s="199">
        <f>'DIA 14'!G$53</f>
        <v>0</v>
      </c>
      <c r="D22" s="203">
        <f t="shared" si="0"/>
        <v>0</v>
      </c>
      <c r="E22" s="199">
        <f>'DIA 14'!K$47</f>
        <v>0</v>
      </c>
      <c r="F22" s="199">
        <f>'DIA 14'!K$53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19'!G$47</f>
        <v>0</v>
      </c>
      <c r="C27" s="199">
        <f>'DIA 19'!G$53</f>
        <v>0</v>
      </c>
      <c r="D27" s="203">
        <f t="shared" si="0"/>
        <v>0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22'!G$47</f>
        <v>0</v>
      </c>
      <c r="C30" s="199">
        <f>'DIA 22'!G$53</f>
        <v>0</v>
      </c>
      <c r="D30" s="203">
        <f t="shared" si="0"/>
        <v>0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23'!G$47</f>
        <v>0</v>
      </c>
      <c r="C31" s="199">
        <f>'DIA 23'!G$53</f>
        <v>0</v>
      </c>
      <c r="D31" s="203">
        <f t="shared" si="0"/>
        <v>0</v>
      </c>
      <c r="E31" s="199">
        <f>'DIA 23'!K$47</f>
        <v>0</v>
      </c>
      <c r="F31" s="199">
        <f>'DIA 23'!K$53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24'!G$47</f>
        <v>0</v>
      </c>
      <c r="C32" s="199">
        <f>'DIA 24'!G$53</f>
        <v>0</v>
      </c>
      <c r="D32" s="203">
        <f t="shared" si="0"/>
        <v>0</v>
      </c>
      <c r="E32" s="199">
        <f>'DIA 24'!K$47</f>
        <v>0</v>
      </c>
      <c r="F32" s="199">
        <f>'DIA 24'!K$53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25'!G$47</f>
        <v>0</v>
      </c>
      <c r="C33" s="199">
        <f>'DIA 25'!G$53</f>
        <v>0</v>
      </c>
      <c r="D33" s="203">
        <f t="shared" si="0"/>
        <v>0</v>
      </c>
      <c r="E33" s="199">
        <f>'DIA 25'!K$47</f>
        <v>0</v>
      </c>
      <c r="F33" s="199">
        <f>'DIA 25'!K$53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26'!G$47</f>
        <v>0</v>
      </c>
      <c r="C34" s="199">
        <f>'DIA 26'!G$53</f>
        <v>0</v>
      </c>
      <c r="D34" s="203">
        <f t="shared" si="0"/>
        <v>0</v>
      </c>
      <c r="E34" s="199">
        <f>'DIA 26'!K$47</f>
        <v>0</v>
      </c>
      <c r="F34" s="199">
        <f>'DIA 26'!K$53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27'!G$47</f>
        <v>0</v>
      </c>
      <c r="C35" s="199">
        <f>'DIA 27'!G$53</f>
        <v>0</v>
      </c>
      <c r="D35" s="203">
        <f t="shared" si="0"/>
        <v>0</v>
      </c>
      <c r="E35" s="199">
        <f>'DIA 27'!K$47</f>
        <v>0</v>
      </c>
      <c r="F35" s="199">
        <f>'DIA 27'!K$53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28'!G$47</f>
        <v>0</v>
      </c>
      <c r="C36" s="199">
        <f>'DIA 28'!G$53</f>
        <v>0</v>
      </c>
      <c r="D36" s="203">
        <f t="shared" si="0"/>
        <v>0</v>
      </c>
      <c r="E36" s="199">
        <f>'DIA 28'!K$47</f>
        <v>0</v>
      </c>
      <c r="F36" s="199">
        <f>'DIA 28'!K$53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29'!G$47</f>
        <v>0</v>
      </c>
      <c r="C37" s="199">
        <f>'DIA 29'!G$53</f>
        <v>0</v>
      </c>
      <c r="D37" s="203">
        <f t="shared" si="0"/>
        <v>0</v>
      </c>
      <c r="E37" s="199">
        <f>'DIA 29'!K$47</f>
        <v>0</v>
      </c>
      <c r="F37" s="199">
        <f>'DIA 29'!K$53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30'!G$47</f>
        <v>0</v>
      </c>
      <c r="C38" s="199">
        <f>'DIA 30'!G$53</f>
        <v>0</v>
      </c>
      <c r="D38" s="203">
        <f t="shared" si="0"/>
        <v>0</v>
      </c>
      <c r="E38" s="199">
        <f>'DIA 30'!K$47</f>
        <v>0</v>
      </c>
      <c r="F38" s="199">
        <f>'DIA 30'!K$53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31'!G$47</f>
        <v>0</v>
      </c>
      <c r="C39" s="199">
        <f>'DIA 31'!G$53</f>
        <v>0</v>
      </c>
      <c r="D39" s="203">
        <f t="shared" si="0"/>
        <v>0</v>
      </c>
      <c r="E39" s="199">
        <f>'DIA 31'!K$47</f>
        <v>0</v>
      </c>
      <c r="F39" s="199">
        <f>'DIA 31'!K$53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X58" zoomScale="90" zoomScaleNormal="90" workbookViewId="0">
      <selection activeCell="AA75" sqref="AA7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187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/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44764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>
        <v>5.84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1195</v>
      </c>
      <c r="C12" s="15"/>
      <c r="D12" s="56"/>
      <c r="E12" s="16"/>
      <c r="F12" s="56"/>
      <c r="G12" s="56"/>
      <c r="H12" s="17"/>
      <c r="I12" s="83">
        <v>1195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221</v>
      </c>
      <c r="Q12" s="158">
        <v>6</v>
      </c>
      <c r="R12" s="159">
        <v>400.11</v>
      </c>
      <c r="S12" s="160"/>
      <c r="T12" s="160"/>
      <c r="U12" s="189">
        <f>((T12/U$10)*U$9)</f>
        <v>0</v>
      </c>
      <c r="V12" s="189">
        <f>R12*V$10</f>
        <v>3.0008249999999999</v>
      </c>
      <c r="W12" s="189">
        <f>+S12*V$10</f>
        <v>0</v>
      </c>
      <c r="X12" s="189">
        <f>+T12*X$10</f>
        <v>0</v>
      </c>
      <c r="Y12" s="189">
        <f>R12-V12</f>
        <v>397.10917499999999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1256</v>
      </c>
      <c r="C13" s="15"/>
      <c r="D13" s="56"/>
      <c r="E13" s="16"/>
      <c r="F13" s="56"/>
      <c r="G13" s="56"/>
      <c r="H13" s="17"/>
      <c r="I13" s="83">
        <v>1256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222</v>
      </c>
      <c r="Q13" s="158">
        <v>6</v>
      </c>
      <c r="R13" s="159">
        <v>2279.1799999999998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17.09385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2262.0861499999996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7196.88</v>
      </c>
      <c r="C14" s="15"/>
      <c r="D14" s="56"/>
      <c r="E14" s="16"/>
      <c r="F14" s="56"/>
      <c r="G14" s="56"/>
      <c r="H14" s="17"/>
      <c r="I14" s="83">
        <v>7196.88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>
        <v>989</v>
      </c>
      <c r="Q14" s="158">
        <v>6</v>
      </c>
      <c r="R14" s="159">
        <v>2059.06</v>
      </c>
      <c r="S14" s="160"/>
      <c r="T14" s="161">
        <v>75.75</v>
      </c>
      <c r="U14" s="189">
        <f t="shared" si="2"/>
        <v>3.2650862068965516</v>
      </c>
      <c r="V14" s="189">
        <f t="shared" si="3"/>
        <v>15.44295</v>
      </c>
      <c r="W14" s="189">
        <f t="shared" si="4"/>
        <v>0</v>
      </c>
      <c r="X14" s="189">
        <f t="shared" si="5"/>
        <v>1.89375</v>
      </c>
      <c r="Y14" s="189">
        <f t="shared" si="6"/>
        <v>2043.6170499999998</v>
      </c>
      <c r="Z14" s="189">
        <f t="shared" si="6"/>
        <v>0</v>
      </c>
      <c r="AA14" s="189">
        <f t="shared" si="7"/>
        <v>70.591163793103448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988</v>
      </c>
      <c r="Q15" s="153">
        <v>6</v>
      </c>
      <c r="R15" s="159">
        <v>1311.05</v>
      </c>
      <c r="S15" s="155"/>
      <c r="T15" s="157"/>
      <c r="U15" s="189">
        <f t="shared" si="2"/>
        <v>0</v>
      </c>
      <c r="V15" s="189">
        <f t="shared" si="3"/>
        <v>9.8328749999999996</v>
      </c>
      <c r="W15" s="189">
        <f t="shared" si="4"/>
        <v>0</v>
      </c>
      <c r="X15" s="189">
        <f t="shared" si="5"/>
        <v>0</v>
      </c>
      <c r="Y15" s="189">
        <f t="shared" si="6"/>
        <v>1301.2171249999999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9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9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1256</v>
      </c>
      <c r="C19" s="95"/>
      <c r="D19" s="94"/>
      <c r="E19" s="96"/>
      <c r="F19" s="94"/>
      <c r="G19" s="94"/>
      <c r="H19" s="98"/>
      <c r="I19" s="99">
        <v>1256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7196.88</v>
      </c>
      <c r="C20" s="95"/>
      <c r="D20" s="94"/>
      <c r="E20" s="96"/>
      <c r="F20" s="94"/>
      <c r="G20" s="94"/>
      <c r="H20" s="98"/>
      <c r="I20" s="99">
        <v>7196.88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5</v>
      </c>
      <c r="C21" s="100"/>
      <c r="D21" s="66"/>
      <c r="E21" s="67"/>
      <c r="F21" s="66"/>
      <c r="G21" s="66"/>
      <c r="H21" s="102"/>
      <c r="I21" s="79">
        <v>5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29.2</v>
      </c>
      <c r="C22" s="100"/>
      <c r="D22" s="66"/>
      <c r="E22" s="67"/>
      <c r="F22" s="66"/>
      <c r="G22" s="66"/>
      <c r="H22" s="102"/>
      <c r="I22" s="79">
        <v>29.3</v>
      </c>
      <c r="J22" s="81">
        <f t="shared" si="0"/>
        <v>-0.10000000000000142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5</v>
      </c>
      <c r="C27" s="95"/>
      <c r="D27" s="94"/>
      <c r="E27" s="96"/>
      <c r="F27" s="94"/>
      <c r="G27" s="94"/>
      <c r="H27" s="98"/>
      <c r="I27" s="99">
        <v>5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29.2</v>
      </c>
      <c r="C28" s="95"/>
      <c r="D28" s="94"/>
      <c r="E28" s="96"/>
      <c r="F28" s="94"/>
      <c r="G28" s="94"/>
      <c r="H28" s="98"/>
      <c r="I28" s="99">
        <v>29.2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6049.4000000000005</v>
      </c>
      <c r="S42" s="190">
        <f t="shared" si="8"/>
        <v>0</v>
      </c>
      <c r="T42" s="190">
        <f t="shared" si="8"/>
        <v>75.75</v>
      </c>
      <c r="U42" s="190">
        <f t="shared" si="8"/>
        <v>3.2650862068965516</v>
      </c>
      <c r="V42" s="190">
        <f t="shared" si="8"/>
        <v>45.3705</v>
      </c>
      <c r="W42" s="190">
        <f t="shared" si="8"/>
        <v>0</v>
      </c>
      <c r="X42" s="190">
        <f t="shared" si="8"/>
        <v>1.89375</v>
      </c>
      <c r="Y42" s="190">
        <f t="shared" si="8"/>
        <v>6004.0294999999996</v>
      </c>
      <c r="Z42" s="190">
        <f t="shared" si="8"/>
        <v>0</v>
      </c>
      <c r="AA42" s="190">
        <f t="shared" si="8"/>
        <v>70.591163793103448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6049.4000000000005</v>
      </c>
      <c r="C46" s="116">
        <v>7.4999999999999997E-3</v>
      </c>
      <c r="D46" s="117">
        <f>B46*C46</f>
        <v>45.3705</v>
      </c>
      <c r="E46" s="172">
        <v>0</v>
      </c>
      <c r="F46" s="117">
        <f t="shared" ref="F46:F50" si="15">D46*E46</f>
        <v>0</v>
      </c>
      <c r="G46" s="117">
        <f t="shared" ref="G46:G51" si="16">B46-D46-F46</f>
        <v>6004.0295000000006</v>
      </c>
      <c r="H46" s="173">
        <f>B$6+1</f>
        <v>44765</v>
      </c>
      <c r="I46" s="174"/>
      <c r="J46" s="81">
        <f t="shared" si="0"/>
        <v>6049.4000000000005</v>
      </c>
      <c r="K46" s="80"/>
      <c r="L46" s="186">
        <f t="shared" ref="L46:L64" si="17">+G46-K46</f>
        <v>6004.0295000000006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3249.29</v>
      </c>
      <c r="C49" s="116">
        <v>7.4999999999999997E-3</v>
      </c>
      <c r="D49" s="117">
        <f t="shared" si="18"/>
        <v>24.369674999999997</v>
      </c>
      <c r="E49" s="172">
        <v>0</v>
      </c>
      <c r="F49" s="117">
        <f t="shared" si="15"/>
        <v>0</v>
      </c>
      <c r="G49" s="117">
        <f t="shared" si="16"/>
        <v>3224.920325</v>
      </c>
      <c r="H49" s="173">
        <f t="shared" si="19"/>
        <v>44765</v>
      </c>
      <c r="I49" s="219"/>
      <c r="J49" s="81">
        <f t="shared" si="0"/>
        <v>3249.29</v>
      </c>
      <c r="K49" s="80"/>
      <c r="L49" s="186">
        <f t="shared" si="17"/>
        <v>3224.920325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888.96</v>
      </c>
      <c r="C50" s="116">
        <v>7.4999999999999997E-3</v>
      </c>
      <c r="D50" s="117">
        <f t="shared" si="18"/>
        <v>6.6672000000000002</v>
      </c>
      <c r="E50" s="172">
        <v>0</v>
      </c>
      <c r="F50" s="117">
        <f t="shared" si="15"/>
        <v>0</v>
      </c>
      <c r="G50" s="117">
        <f t="shared" si="16"/>
        <v>882.29280000000006</v>
      </c>
      <c r="H50" s="173">
        <f t="shared" si="19"/>
        <v>44765</v>
      </c>
      <c r="I50" s="175"/>
      <c r="J50" s="81">
        <f t="shared" si="0"/>
        <v>888.96</v>
      </c>
      <c r="K50" s="80"/>
      <c r="L50" s="186">
        <f t="shared" si="17"/>
        <v>882.29280000000006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100.39</v>
      </c>
      <c r="C51" s="116">
        <v>1.4999999999999999E-2</v>
      </c>
      <c r="D51" s="117">
        <f>+B51*C51</f>
        <v>1.5058499999999999</v>
      </c>
      <c r="E51" s="172">
        <v>0</v>
      </c>
      <c r="F51" s="117">
        <f>D51*E51</f>
        <v>0</v>
      </c>
      <c r="G51" s="117">
        <f t="shared" si="16"/>
        <v>98.884150000000005</v>
      </c>
      <c r="H51" s="173">
        <f t="shared" si="19"/>
        <v>44765</v>
      </c>
      <c r="I51" s="175"/>
      <c r="J51" s="81">
        <f t="shared" si="0"/>
        <v>100.39</v>
      </c>
      <c r="K51" s="80"/>
      <c r="L51" s="186">
        <f t="shared" si="17"/>
        <v>98.884150000000005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75.75</v>
      </c>
      <c r="C52" s="116">
        <v>2.5000000000000001E-2</v>
      </c>
      <c r="D52" s="117">
        <f>B52*C52</f>
        <v>1.89375</v>
      </c>
      <c r="E52" s="172">
        <v>0.05</v>
      </c>
      <c r="F52" s="117">
        <f>(B52/E$10)*E52</f>
        <v>3.2650862068965516</v>
      </c>
      <c r="G52" s="117">
        <f>B52-D52-F52</f>
        <v>70.591163793103448</v>
      </c>
      <c r="H52" s="188">
        <f t="shared" si="19"/>
        <v>44765</v>
      </c>
      <c r="I52" s="176">
        <v>75.75</v>
      </c>
      <c r="J52" s="81">
        <f t="shared" si="0"/>
        <v>0</v>
      </c>
      <c r="K52" s="80"/>
      <c r="L52" s="186">
        <f t="shared" si="17"/>
        <v>70.591163793103448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28.77</v>
      </c>
      <c r="C56" s="116">
        <v>2.5000000000000001E-2</v>
      </c>
      <c r="D56" s="117">
        <f t="shared" si="20"/>
        <v>0.71925000000000006</v>
      </c>
      <c r="E56" s="172">
        <v>0.05</v>
      </c>
      <c r="F56" s="117">
        <f t="shared" si="21"/>
        <v>1.2400862068965519</v>
      </c>
      <c r="G56" s="117">
        <f t="shared" si="22"/>
        <v>26.810663793103448</v>
      </c>
      <c r="H56" s="173">
        <f t="shared" si="19"/>
        <v>44765</v>
      </c>
      <c r="I56" s="176">
        <v>28.77</v>
      </c>
      <c r="J56" s="81">
        <f t="shared" si="0"/>
        <v>0</v>
      </c>
      <c r="K56" s="80"/>
      <c r="L56" s="186">
        <f t="shared" si="17"/>
        <v>26.810663793103448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80.526224999999982</v>
      </c>
      <c r="E61" s="177"/>
      <c r="F61" s="57">
        <f>SUM(F46:F58)</f>
        <v>4.5051724137931037</v>
      </c>
      <c r="G61" s="57">
        <f>SUM(G46:G58)</f>
        <v>10307.528602586206</v>
      </c>
      <c r="H61" s="173">
        <f t="shared" si="19"/>
        <v>44765</v>
      </c>
      <c r="I61" s="175"/>
      <c r="J61" s="81">
        <f t="shared" si="0"/>
        <v>0</v>
      </c>
      <c r="K61" s="80"/>
      <c r="L61" s="186">
        <f t="shared" si="17"/>
        <v>10307.528602586206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20615.057205172412</v>
      </c>
      <c r="H64" s="184"/>
      <c r="I64" s="175"/>
      <c r="J64" s="81">
        <f t="shared" si="0"/>
        <v>0</v>
      </c>
      <c r="K64" s="80"/>
      <c r="L64" s="186">
        <f t="shared" si="17"/>
        <v>20615.057205172412</v>
      </c>
      <c r="M64" s="130"/>
      <c r="N64" s="87">
        <v>1</v>
      </c>
      <c r="O64" s="122" t="s">
        <v>172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18813.640000000003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18590.22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77">
        <v>18781.03</v>
      </c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18590.22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32.61000000000422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825</v>
      </c>
      <c r="Q73" s="228">
        <v>2002</v>
      </c>
      <c r="R73" s="222">
        <v>875.1</v>
      </c>
      <c r="S73" s="228"/>
      <c r="T73" s="222">
        <v>28.77</v>
      </c>
      <c r="U73" s="189">
        <f t="shared" si="34"/>
        <v>1.2400862068965519</v>
      </c>
      <c r="V73" s="189">
        <f t="shared" si="35"/>
        <v>6.56325</v>
      </c>
      <c r="W73" s="189">
        <f t="shared" si="36"/>
        <v>0</v>
      </c>
      <c r="X73" s="189">
        <f t="shared" si="37"/>
        <v>0.71925000000000006</v>
      </c>
      <c r="Y73" s="189">
        <f t="shared" si="38"/>
        <v>868.53674999999998</v>
      </c>
      <c r="Z73" s="189">
        <f t="shared" si="38"/>
        <v>0</v>
      </c>
      <c r="AA73" s="189">
        <f t="shared" si="39"/>
        <v>26.810663793103448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826</v>
      </c>
      <c r="Q74" s="228">
        <v>2002</v>
      </c>
      <c r="R74" s="222">
        <v>2374.19</v>
      </c>
      <c r="S74" s="228"/>
      <c r="T74" s="228"/>
      <c r="U74" s="189">
        <f t="shared" si="34"/>
        <v>0</v>
      </c>
      <c r="V74" s="189">
        <f t="shared" si="35"/>
        <v>17.806425000000001</v>
      </c>
      <c r="W74" s="189">
        <f t="shared" si="36"/>
        <v>0</v>
      </c>
      <c r="X74" s="189">
        <f t="shared" si="37"/>
        <v>0</v>
      </c>
      <c r="Y74" s="189">
        <f t="shared" si="38"/>
        <v>2356.3835749999998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/>
      <c r="O75" s="303"/>
      <c r="P75" s="304"/>
      <c r="Q75" s="304"/>
      <c r="R75" s="192">
        <f>SUM(R70:R74)</f>
        <v>3249.29</v>
      </c>
      <c r="S75" s="192"/>
      <c r="T75" s="192">
        <f>SUM(T70:T74)</f>
        <v>28.77</v>
      </c>
      <c r="U75" s="192">
        <f>SUM(U70:U74)</f>
        <v>1.2400862068965519</v>
      </c>
      <c r="V75" s="192">
        <f t="shared" ref="V75:AA75" si="41">SUM(V70:V74)</f>
        <v>24.369675000000001</v>
      </c>
      <c r="W75" s="192">
        <f t="shared" si="41"/>
        <v>0</v>
      </c>
      <c r="X75" s="192">
        <f t="shared" si="41"/>
        <v>0.71925000000000006</v>
      </c>
      <c r="Y75" s="192">
        <f t="shared" si="41"/>
        <v>3224.920325</v>
      </c>
      <c r="Z75" s="192">
        <f t="shared" si="41"/>
        <v>0</v>
      </c>
      <c r="AA75" s="193">
        <f t="shared" si="41"/>
        <v>26.810663793103448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v>4.32</v>
      </c>
      <c r="R78" s="82">
        <v>7.4999999999999997E-3</v>
      </c>
      <c r="S78" s="194">
        <f>+(P78+Q78)*R78</f>
        <v>3.2399999999999998E-2</v>
      </c>
      <c r="T78" s="219">
        <f>+(P78+Q78)-S78</f>
        <v>4.2876000000000003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21.34</v>
      </c>
      <c r="Q79" s="137">
        <v>54.4</v>
      </c>
      <c r="R79" s="82">
        <v>7.4999999999999997E-3</v>
      </c>
      <c r="S79" s="194">
        <f t="shared" ref="S79:S97" si="43">+(P79+Q79)*R79</f>
        <v>0.56804999999999994</v>
      </c>
      <c r="T79" s="219">
        <f t="shared" ref="T79:T97" si="44">+(P79+Q79)-S79</f>
        <v>75.171949999999995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121.34</v>
      </c>
      <c r="Q80" s="137">
        <v>221.22</v>
      </c>
      <c r="R80" s="82">
        <v>7.4999999999999997E-3</v>
      </c>
      <c r="S80" s="194">
        <f t="shared" si="43"/>
        <v>2.5691999999999999</v>
      </c>
      <c r="T80" s="219">
        <f t="shared" si="44"/>
        <v>339.99079999999998</v>
      </c>
      <c r="U80" s="211">
        <v>48.56</v>
      </c>
      <c r="V80" s="112"/>
      <c r="W80" s="113">
        <v>1.4999999999999999E-2</v>
      </c>
      <c r="X80" s="196">
        <f t="shared" si="45"/>
        <v>0.72840000000000005</v>
      </c>
      <c r="Y80" s="242">
        <f t="shared" si="46"/>
        <v>47.831600000000002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24.43</v>
      </c>
      <c r="Q81" s="137">
        <v>34.25</v>
      </c>
      <c r="R81" s="82">
        <v>7.4999999999999997E-3</v>
      </c>
      <c r="S81" s="194">
        <f t="shared" si="43"/>
        <v>0.44009999999999999</v>
      </c>
      <c r="T81" s="219">
        <f t="shared" si="44"/>
        <v>58.239899999999999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86.57</v>
      </c>
      <c r="Q82" s="137">
        <v>14.42</v>
      </c>
      <c r="R82" s="82">
        <v>7.4999999999999997E-3</v>
      </c>
      <c r="S82" s="194">
        <f t="shared" si="43"/>
        <v>0.7574249999999999</v>
      </c>
      <c r="T82" s="219">
        <f t="shared" si="44"/>
        <v>100.232575</v>
      </c>
      <c r="U82" s="211">
        <v>51.83</v>
      </c>
      <c r="V82" s="112"/>
      <c r="W82" s="113">
        <v>1.4999999999999999E-2</v>
      </c>
      <c r="X82" s="196">
        <f t="shared" si="45"/>
        <v>0.77744999999999997</v>
      </c>
      <c r="Y82" s="242">
        <f t="shared" si="46"/>
        <v>51.052549999999997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>
        <v>255.53</v>
      </c>
      <c r="Q83" s="137">
        <v>51.14</v>
      </c>
      <c r="R83" s="82">
        <v>7.4999999999999997E-3</v>
      </c>
      <c r="S83" s="194">
        <f t="shared" si="43"/>
        <v>2.3000250000000002</v>
      </c>
      <c r="T83" s="219">
        <f t="shared" si="44"/>
        <v>304.36997500000001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137"/>
      <c r="Q86" s="13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137"/>
      <c r="Q87" s="13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509.21000000000004</v>
      </c>
      <c r="Q98" s="195">
        <f>SUM(Q78:Q97)</f>
        <v>379.75</v>
      </c>
      <c r="R98" s="111"/>
      <c r="S98" s="195">
        <f>SUM(S78:S97)</f>
        <v>6.6671999999999993</v>
      </c>
      <c r="T98" s="195">
        <f>SUM(T78:T97)</f>
        <v>882.29279999999994</v>
      </c>
      <c r="U98" s="114">
        <f>SUM(U78:U97)</f>
        <v>100.39</v>
      </c>
      <c r="V98" s="114">
        <f>SUM(V78:V97)</f>
        <v>0</v>
      </c>
      <c r="W98" s="112"/>
      <c r="X98" s="197">
        <f>SUM(X78:X97)</f>
        <v>1.5058500000000001</v>
      </c>
      <c r="Y98" s="197">
        <f>SUM(Y78:Y97)</f>
        <v>98.884150000000005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P78+U78+Q78</f>
        <v>4.32</v>
      </c>
    </row>
    <row r="101" spans="14:30" x14ac:dyDescent="0.25">
      <c r="N101" s="85"/>
      <c r="P101" s="215">
        <f>P79+Q79+U79</f>
        <v>75.739999999999995</v>
      </c>
    </row>
    <row r="102" spans="14:30" x14ac:dyDescent="0.25">
      <c r="N102" s="85"/>
      <c r="P102" s="215">
        <f>P80+Q80+U80</f>
        <v>391.12</v>
      </c>
    </row>
    <row r="103" spans="14:30" x14ac:dyDescent="0.25">
      <c r="N103" s="85"/>
      <c r="P103" s="215">
        <f>Q81+U81+P81</f>
        <v>58.68</v>
      </c>
    </row>
    <row r="104" spans="14:30" x14ac:dyDescent="0.25">
      <c r="N104" s="85"/>
      <c r="P104" s="215">
        <f>P82+Q82+U82</f>
        <v>152.82</v>
      </c>
    </row>
    <row r="105" spans="14:30" x14ac:dyDescent="0.25">
      <c r="N105" s="85"/>
      <c r="P105" s="215">
        <f>P83+Q83+U83</f>
        <v>306.67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  <c r="P108" s="212">
        <f>P86+Q86+U86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U46" zoomScale="90" zoomScaleNormal="90" workbookViewId="0">
      <selection activeCell="X73" sqref="X7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8.28515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190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/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44765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1742</v>
      </c>
      <c r="C12" s="15"/>
      <c r="D12" s="56"/>
      <c r="E12" s="16"/>
      <c r="F12" s="56"/>
      <c r="G12" s="56"/>
      <c r="H12" s="17"/>
      <c r="I12" s="83">
        <v>1742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223</v>
      </c>
      <c r="Q12" s="158">
        <v>6</v>
      </c>
      <c r="R12" s="159">
        <v>2505.42</v>
      </c>
      <c r="S12" s="160"/>
      <c r="T12" s="160"/>
      <c r="U12" s="189">
        <f>((T12/U$10)*U$9)</f>
        <v>0</v>
      </c>
      <c r="V12" s="189">
        <f>R12*V$10</f>
        <v>18.790649999999999</v>
      </c>
      <c r="W12" s="189">
        <f>+S12*V$10</f>
        <v>0</v>
      </c>
      <c r="X12" s="189">
        <f>+T12*X$10</f>
        <v>0</v>
      </c>
      <c r="Y12" s="189">
        <f>R12-V12</f>
        <v>2486.6293500000002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1365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1365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224</v>
      </c>
      <c r="Q13" s="158">
        <v>6</v>
      </c>
      <c r="R13" s="159">
        <v>2655.27</v>
      </c>
      <c r="S13" s="160"/>
      <c r="T13" s="161">
        <v>25.13</v>
      </c>
      <c r="U13" s="189">
        <f t="shared" ref="U13:U41" si="2">((T13/U$10)*U$9)</f>
        <v>1.0831896551724138</v>
      </c>
      <c r="V13" s="189">
        <f t="shared" ref="V13:V41" si="3">R13*V$10</f>
        <v>19.914524999999998</v>
      </c>
      <c r="W13" s="189">
        <f t="shared" ref="W13:W41" si="4">+S13*V$10</f>
        <v>0</v>
      </c>
      <c r="X13" s="189">
        <f t="shared" ref="X13:X41" si="5">+T13*X$10</f>
        <v>0.62824999999999998</v>
      </c>
      <c r="Y13" s="189">
        <f t="shared" ref="Y13:Z41" si="6">R13-V13</f>
        <v>2635.3554749999998</v>
      </c>
      <c r="Z13" s="189">
        <f t="shared" si="6"/>
        <v>0</v>
      </c>
      <c r="AA13" s="189">
        <f t="shared" ref="AA13:AA41" si="7">T13-U13-X13</f>
        <v>23.418560344827583</v>
      </c>
      <c r="AB13" s="156"/>
    </row>
    <row r="14" spans="1:28" ht="15.75" x14ac:dyDescent="0.25">
      <c r="A14" s="86" t="s">
        <v>83</v>
      </c>
      <c r="B14" s="57">
        <f>B13*B8</f>
        <v>7821.4500000000007</v>
      </c>
      <c r="C14" s="15"/>
      <c r="D14" s="56"/>
      <c r="E14" s="16"/>
      <c r="F14" s="56"/>
      <c r="G14" s="56"/>
      <c r="H14" s="17"/>
      <c r="I14" s="83"/>
      <c r="J14" s="81">
        <f t="shared" si="0"/>
        <v>7821.4500000000007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8">
        <v>990</v>
      </c>
      <c r="Q15" s="158">
        <v>6</v>
      </c>
      <c r="R15" s="159">
        <v>2011.85</v>
      </c>
      <c r="S15" s="160"/>
      <c r="T15" s="161">
        <v>131.91</v>
      </c>
      <c r="U15" s="189">
        <f t="shared" si="2"/>
        <v>5.685775862068966</v>
      </c>
      <c r="V15" s="189">
        <f t="shared" si="3"/>
        <v>15.088874999999998</v>
      </c>
      <c r="W15" s="189">
        <f t="shared" si="4"/>
        <v>0</v>
      </c>
      <c r="X15" s="189">
        <f t="shared" si="5"/>
        <v>3.2977500000000002</v>
      </c>
      <c r="Y15" s="189">
        <f t="shared" si="6"/>
        <v>1996.761125</v>
      </c>
      <c r="Z15" s="189">
        <f t="shared" si="6"/>
        <v>0</v>
      </c>
      <c r="AA15" s="189">
        <f t="shared" si="7"/>
        <v>122.92647413793104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3">
        <v>991</v>
      </c>
      <c r="Q16" s="153">
        <v>6</v>
      </c>
      <c r="R16" s="154">
        <v>3026.07</v>
      </c>
      <c r="S16" s="155"/>
      <c r="T16" s="157"/>
      <c r="U16" s="189">
        <f t="shared" si="2"/>
        <v>0</v>
      </c>
      <c r="V16" s="189">
        <f t="shared" si="3"/>
        <v>22.695525</v>
      </c>
      <c r="W16" s="189">
        <f t="shared" si="4"/>
        <v>0</v>
      </c>
      <c r="X16" s="189">
        <f t="shared" si="5"/>
        <v>0</v>
      </c>
      <c r="Y16" s="189">
        <f t="shared" si="6"/>
        <v>3003.3744750000001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1365</v>
      </c>
      <c r="C19" s="95"/>
      <c r="D19" s="94"/>
      <c r="E19" s="96"/>
      <c r="F19" s="94"/>
      <c r="G19" s="94"/>
      <c r="H19" s="98"/>
      <c r="I19" s="99"/>
      <c r="J19" s="185">
        <f>B19-I19</f>
        <v>1365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7821.4500000000007</v>
      </c>
      <c r="C20" s="95"/>
      <c r="D20" s="94"/>
      <c r="E20" s="96"/>
      <c r="F20" s="94"/>
      <c r="G20" s="94"/>
      <c r="H20" s="98"/>
      <c r="I20" s="99"/>
      <c r="J20" s="185">
        <f t="shared" si="0"/>
        <v>7821.4500000000007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50</v>
      </c>
      <c r="C29" s="100"/>
      <c r="D29" s="66"/>
      <c r="E29" s="67"/>
      <c r="F29" s="66"/>
      <c r="G29" s="66"/>
      <c r="H29" s="102"/>
      <c r="I29" s="79">
        <v>50</v>
      </c>
      <c r="J29" s="81">
        <f t="shared" si="0"/>
        <v>0</v>
      </c>
      <c r="K29" s="80">
        <v>50</v>
      </c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286.5</v>
      </c>
      <c r="C30" s="100"/>
      <c r="D30" s="66"/>
      <c r="E30" s="67"/>
      <c r="F30" s="66"/>
      <c r="G30" s="66"/>
      <c r="H30" s="102"/>
      <c r="I30" s="79">
        <v>286.5</v>
      </c>
      <c r="J30" s="81">
        <f t="shared" si="0"/>
        <v>0</v>
      </c>
      <c r="K30" s="80">
        <v>286.5</v>
      </c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50</v>
      </c>
      <c r="C35" s="95"/>
      <c r="D35" s="94"/>
      <c r="E35" s="96"/>
      <c r="F35" s="94"/>
      <c r="G35" s="94"/>
      <c r="H35" s="98"/>
      <c r="I35" s="99">
        <v>50</v>
      </c>
      <c r="J35" s="185">
        <f t="shared" si="0"/>
        <v>0</v>
      </c>
      <c r="K35" s="99">
        <v>50</v>
      </c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286.5</v>
      </c>
      <c r="C36" s="95"/>
      <c r="D36" s="94"/>
      <c r="E36" s="96"/>
      <c r="F36" s="94"/>
      <c r="G36" s="94"/>
      <c r="H36" s="98"/>
      <c r="I36" s="99">
        <v>286.5</v>
      </c>
      <c r="J36" s="185">
        <f t="shared" si="0"/>
        <v>0</v>
      </c>
      <c r="K36" s="99">
        <v>286.5</v>
      </c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10198.61</v>
      </c>
      <c r="S42" s="190">
        <f t="shared" si="8"/>
        <v>0</v>
      </c>
      <c r="T42" s="190">
        <f t="shared" si="8"/>
        <v>157.04</v>
      </c>
      <c r="U42" s="190">
        <f t="shared" si="8"/>
        <v>6.7689655172413801</v>
      </c>
      <c r="V42" s="190">
        <f t="shared" si="8"/>
        <v>76.489575000000002</v>
      </c>
      <c r="W42" s="190">
        <f t="shared" si="8"/>
        <v>0</v>
      </c>
      <c r="X42" s="190">
        <f t="shared" si="8"/>
        <v>3.9260000000000002</v>
      </c>
      <c r="Y42" s="190">
        <f t="shared" si="8"/>
        <v>10122.120424999999</v>
      </c>
      <c r="Z42" s="190">
        <f t="shared" si="8"/>
        <v>0</v>
      </c>
      <c r="AA42" s="190">
        <f t="shared" si="8"/>
        <v>146.34503448275862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10198.61</v>
      </c>
      <c r="C46" s="116">
        <v>7.4999999999999997E-3</v>
      </c>
      <c r="D46" s="117">
        <f>B46*C46</f>
        <v>76.489575000000002</v>
      </c>
      <c r="E46" s="172">
        <v>0</v>
      </c>
      <c r="F46" s="117">
        <f t="shared" ref="F46:F50" si="15">D46*E46</f>
        <v>0</v>
      </c>
      <c r="G46" s="117">
        <f t="shared" ref="G46:G51" si="16">B46-D46-F46</f>
        <v>10122.120425000001</v>
      </c>
      <c r="H46" s="173">
        <f>B$6+1</f>
        <v>44766</v>
      </c>
      <c r="I46" s="174"/>
      <c r="J46" s="81">
        <f t="shared" si="0"/>
        <v>10198.61</v>
      </c>
      <c r="K46" s="80"/>
      <c r="L46" s="186">
        <f t="shared" ref="L46:L64" si="17">+G46-K46</f>
        <v>10122.120425000001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930.32</v>
      </c>
      <c r="C49" s="116">
        <v>7.4999999999999997E-3</v>
      </c>
      <c r="D49" s="117">
        <f t="shared" si="18"/>
        <v>6.9774000000000003</v>
      </c>
      <c r="E49" s="172">
        <v>0</v>
      </c>
      <c r="F49" s="117">
        <f t="shared" si="15"/>
        <v>0</v>
      </c>
      <c r="G49" s="117">
        <f t="shared" si="16"/>
        <v>923.34260000000006</v>
      </c>
      <c r="H49" s="173">
        <f t="shared" si="19"/>
        <v>44766</v>
      </c>
      <c r="I49" s="176"/>
      <c r="J49" s="81">
        <f t="shared" si="0"/>
        <v>930.32</v>
      </c>
      <c r="K49" s="80"/>
      <c r="L49" s="186">
        <f t="shared" si="17"/>
        <v>923.34260000000006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826.63000000000011</v>
      </c>
      <c r="C50" s="116">
        <v>7.4999999999999997E-3</v>
      </c>
      <c r="D50" s="117">
        <f t="shared" si="18"/>
        <v>6.1997250000000008</v>
      </c>
      <c r="E50" s="172">
        <v>0</v>
      </c>
      <c r="F50" s="117">
        <f t="shared" si="15"/>
        <v>0</v>
      </c>
      <c r="G50" s="117">
        <f t="shared" si="16"/>
        <v>820.43027500000017</v>
      </c>
      <c r="H50" s="173">
        <f t="shared" si="19"/>
        <v>44766</v>
      </c>
      <c r="I50" s="175"/>
      <c r="J50" s="81">
        <f t="shared" si="0"/>
        <v>826.63000000000011</v>
      </c>
      <c r="K50" s="225">
        <v>820.43</v>
      </c>
      <c r="L50" s="186">
        <f t="shared" si="17"/>
        <v>2.7500000021518645E-4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173.96</v>
      </c>
      <c r="C51" s="116">
        <v>1.4999999999999999E-2</v>
      </c>
      <c r="D51" s="117">
        <f>+B51*C51</f>
        <v>2.6093999999999999</v>
      </c>
      <c r="E51" s="172">
        <v>0</v>
      </c>
      <c r="F51" s="117">
        <f>D51*E51</f>
        <v>0</v>
      </c>
      <c r="G51" s="117">
        <f t="shared" si="16"/>
        <v>171.35060000000001</v>
      </c>
      <c r="H51" s="173">
        <f t="shared" si="19"/>
        <v>44766</v>
      </c>
      <c r="I51" s="175"/>
      <c r="J51" s="81">
        <f t="shared" si="0"/>
        <v>173.96</v>
      </c>
      <c r="K51" s="80">
        <v>171.35</v>
      </c>
      <c r="L51" s="186">
        <f t="shared" si="17"/>
        <v>6.0000000001991793E-4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157.04</v>
      </c>
      <c r="C52" s="116">
        <v>2.5000000000000001E-2</v>
      </c>
      <c r="D52" s="117">
        <f>B52*C52</f>
        <v>3.9260000000000002</v>
      </c>
      <c r="E52" s="172">
        <v>0.05</v>
      </c>
      <c r="F52" s="117">
        <f>(B52/E$10)*E52</f>
        <v>6.7689655172413801</v>
      </c>
      <c r="G52" s="117">
        <f>B52-D52-F52</f>
        <v>146.34503448275862</v>
      </c>
      <c r="H52" s="188">
        <f t="shared" si="19"/>
        <v>44766</v>
      </c>
      <c r="I52" s="176">
        <v>157.04</v>
      </c>
      <c r="J52" s="81">
        <f t="shared" si="0"/>
        <v>0</v>
      </c>
      <c r="K52" s="80"/>
      <c r="L52" s="186">
        <f t="shared" si="17"/>
        <v>146.34503448275862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44766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96.202100000000002</v>
      </c>
      <c r="E61" s="177"/>
      <c r="F61" s="57">
        <f>SUM(F46:F58)</f>
        <v>6.7689655172413801</v>
      </c>
      <c r="G61" s="57">
        <f>SUM(G46:G58)</f>
        <v>12183.588934482759</v>
      </c>
      <c r="H61" s="173">
        <f t="shared" si="19"/>
        <v>44766</v>
      </c>
      <c r="I61" s="175"/>
      <c r="J61" s="81">
        <f t="shared" si="0"/>
        <v>0</v>
      </c>
      <c r="K61" s="80"/>
      <c r="L61" s="186">
        <f t="shared" si="17"/>
        <v>12183.588934482759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24367.177868965518</v>
      </c>
      <c r="H64" s="184"/>
      <c r="I64" s="175"/>
      <c r="J64" s="81">
        <f t="shared" si="0"/>
        <v>0</v>
      </c>
      <c r="K64" s="80"/>
      <c r="L64" s="186">
        <f t="shared" si="17"/>
        <v>24367.177868965518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22136.510000000002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/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21968.44</v>
      </c>
      <c r="C69" s="59"/>
      <c r="F69" s="87" t="s">
        <v>129</v>
      </c>
      <c r="G69" s="22"/>
      <c r="H69" s="89">
        <f>+G52</f>
        <v>146.34503448275862</v>
      </c>
      <c r="I69" s="136"/>
      <c r="J69" s="136"/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-21968.44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168.07000000000335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-146.34503448275862</v>
      </c>
      <c r="N71" s="87">
        <v>2</v>
      </c>
      <c r="O71" s="122" t="s">
        <v>188</v>
      </c>
      <c r="P71" s="228"/>
      <c r="Q71" s="228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191</v>
      </c>
      <c r="P73" s="228">
        <v>827</v>
      </c>
      <c r="Q73" s="228">
        <v>2002</v>
      </c>
      <c r="R73" s="222">
        <v>930.32</v>
      </c>
      <c r="S73" s="87"/>
      <c r="T73" s="87"/>
      <c r="U73" s="189">
        <f t="shared" si="34"/>
        <v>0</v>
      </c>
      <c r="V73" s="189">
        <f t="shared" si="35"/>
        <v>6.9774000000000003</v>
      </c>
      <c r="W73" s="189">
        <f t="shared" si="36"/>
        <v>0</v>
      </c>
      <c r="X73" s="189">
        <f t="shared" si="37"/>
        <v>0</v>
      </c>
      <c r="Y73" s="189">
        <f t="shared" si="38"/>
        <v>923.34260000000006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146.34503448275862</v>
      </c>
      <c r="N74" s="87">
        <v>5</v>
      </c>
      <c r="O74" s="122" t="s">
        <v>191</v>
      </c>
      <c r="P74" s="87"/>
      <c r="Q74" s="87"/>
      <c r="R74" s="137"/>
      <c r="S74" s="87"/>
      <c r="T74" s="13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930.32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6.9774000000000003</v>
      </c>
      <c r="W75" s="192">
        <f t="shared" si="41"/>
        <v>0</v>
      </c>
      <c r="X75" s="192">
        <f t="shared" si="41"/>
        <v>0</v>
      </c>
      <c r="Y75" s="192">
        <f t="shared" si="41"/>
        <v>923.34260000000006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81.36</v>
      </c>
      <c r="Q78" s="87">
        <v>13.06</v>
      </c>
      <c r="R78" s="82">
        <v>7.4999999999999997E-3</v>
      </c>
      <c r="S78" s="194">
        <f>+(P78+Q78)*R78</f>
        <v>0.70814999999999995</v>
      </c>
      <c r="T78" s="242">
        <f>+(P78+Q78)-S78</f>
        <v>93.711849999999998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87">
        <v>115.27</v>
      </c>
      <c r="R79" s="82">
        <v>7.4999999999999997E-3</v>
      </c>
      <c r="S79" s="194">
        <f t="shared" ref="S79:S97" si="43">+(P79+Q79)*R79</f>
        <v>0.86452499999999999</v>
      </c>
      <c r="T79" s="242">
        <f t="shared" ref="T79:T97" si="44">+(P79+Q79)-S79</f>
        <v>114.405475</v>
      </c>
      <c r="U79" s="211">
        <v>41.36</v>
      </c>
      <c r="V79" s="112"/>
      <c r="W79" s="113">
        <v>1.4999999999999999E-2</v>
      </c>
      <c r="X79" s="196">
        <f t="shared" ref="X79:X97" si="45">+(U79+V79)*W79</f>
        <v>0.62039999999999995</v>
      </c>
      <c r="Y79" s="242">
        <f t="shared" ref="Y79:Y97" si="46">+(U79+V79)-X79</f>
        <v>40.739600000000003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67.040000000000006</v>
      </c>
      <c r="Q80" s="87">
        <v>136.4</v>
      </c>
      <c r="R80" s="82">
        <v>7.4999999999999997E-3</v>
      </c>
      <c r="S80" s="194">
        <f t="shared" si="43"/>
        <v>1.5257999999999998</v>
      </c>
      <c r="T80" s="242">
        <f t="shared" si="44"/>
        <v>201.91419999999999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109.5</v>
      </c>
      <c r="Q81" s="137">
        <v>59.34</v>
      </c>
      <c r="R81" s="82">
        <v>7.4999999999999997E-3</v>
      </c>
      <c r="S81" s="194">
        <f t="shared" si="43"/>
        <v>1.2663</v>
      </c>
      <c r="T81" s="213">
        <f t="shared" si="44"/>
        <v>167.5737</v>
      </c>
      <c r="U81" s="211">
        <v>2.39</v>
      </c>
      <c r="V81" s="112"/>
      <c r="W81" s="113">
        <v>1.4999999999999999E-2</v>
      </c>
      <c r="X81" s="196">
        <f t="shared" si="45"/>
        <v>3.585E-2</v>
      </c>
      <c r="Y81" s="242">
        <f t="shared" si="46"/>
        <v>2.3541500000000002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>
        <v>194.22</v>
      </c>
      <c r="Q82" s="87">
        <v>50.44</v>
      </c>
      <c r="R82" s="82">
        <v>7.4999999999999997E-3</v>
      </c>
      <c r="S82" s="194">
        <f t="shared" si="43"/>
        <v>1.8349499999999999</v>
      </c>
      <c r="T82" s="213">
        <f t="shared" si="44"/>
        <v>242.82505</v>
      </c>
      <c r="U82" s="211">
        <v>130.21</v>
      </c>
      <c r="V82" s="112"/>
      <c r="W82" s="113">
        <v>1.4999999999999999E-2</v>
      </c>
      <c r="X82" s="196">
        <f t="shared" si="45"/>
        <v>1.9531499999999999</v>
      </c>
      <c r="Y82" s="242">
        <f t="shared" si="46"/>
        <v>128.25685000000001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452.12</v>
      </c>
      <c r="Q98" s="195">
        <f>SUM(Q78:Q97)</f>
        <v>374.51000000000005</v>
      </c>
      <c r="R98" s="111"/>
      <c r="S98" s="195">
        <f>SUM(S78:S97)</f>
        <v>6.1997249999999999</v>
      </c>
      <c r="T98" s="195">
        <f>SUM(T78:T97)</f>
        <v>820.43027500000005</v>
      </c>
      <c r="U98" s="114">
        <f>SUM(U78:U97)</f>
        <v>173.96</v>
      </c>
      <c r="V98" s="114">
        <f>SUM(V78:V97)</f>
        <v>0</v>
      </c>
      <c r="W98" s="112"/>
      <c r="X98" s="197">
        <f>SUM(X78:X97)</f>
        <v>2.6093999999999999</v>
      </c>
      <c r="Y98" s="197">
        <f>SUM(Y78:Y97)</f>
        <v>171.35060000000001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8">
        <f t="shared" ref="P101:P106" si="50">P78+Q78+U78</f>
        <v>94.42</v>
      </c>
    </row>
    <row r="102" spans="14:30" x14ac:dyDescent="0.25">
      <c r="N102" s="85"/>
      <c r="P102" s="215">
        <f t="shared" si="50"/>
        <v>156.63</v>
      </c>
    </row>
    <row r="103" spans="14:30" x14ac:dyDescent="0.25">
      <c r="N103" s="85"/>
      <c r="P103" s="215">
        <f t="shared" si="50"/>
        <v>203.44</v>
      </c>
    </row>
    <row r="104" spans="14:30" x14ac:dyDescent="0.25">
      <c r="N104" s="85"/>
      <c r="P104" s="212">
        <f t="shared" si="50"/>
        <v>171.23</v>
      </c>
    </row>
    <row r="105" spans="14:30" x14ac:dyDescent="0.25">
      <c r="N105" s="85"/>
      <c r="P105" s="212">
        <f t="shared" si="50"/>
        <v>374.87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N51" zoomScale="90" zoomScaleNormal="90" workbookViewId="0">
      <selection activeCell="AA12" sqref="AA1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8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195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/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44766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>
        <v>5.85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4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1807.5</v>
      </c>
      <c r="C12" s="15"/>
      <c r="D12" s="56"/>
      <c r="E12" s="16"/>
      <c r="F12" s="56"/>
      <c r="G12" s="56"/>
      <c r="H12" s="17"/>
      <c r="I12" s="83">
        <v>1807.5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225</v>
      </c>
      <c r="Q12" s="158">
        <v>6</v>
      </c>
      <c r="R12" s="159">
        <v>1798.62</v>
      </c>
      <c r="S12" s="160"/>
      <c r="T12" s="160">
        <v>146.97</v>
      </c>
      <c r="U12" s="189">
        <f>((T12/U$10)*U$9)</f>
        <v>6.3349137931034489</v>
      </c>
      <c r="V12" s="189">
        <f>R12*V$10</f>
        <v>13.489649999999999</v>
      </c>
      <c r="W12" s="189">
        <f>+S12*V$10</f>
        <v>0</v>
      </c>
      <c r="X12" s="189">
        <f>+T12*X$10</f>
        <v>3.6742500000000002</v>
      </c>
      <c r="Y12" s="189">
        <f>R12-V12</f>
        <v>1785.1303499999999</v>
      </c>
      <c r="Z12" s="189">
        <f>S12-W12</f>
        <v>0</v>
      </c>
      <c r="AA12" s="189">
        <f>T12-U12-X12</f>
        <v>136.96083620689654</v>
      </c>
      <c r="AB12" s="156"/>
    </row>
    <row r="13" spans="1:28" ht="15.75" x14ac:dyDescent="0.25">
      <c r="A13" s="86" t="s">
        <v>76</v>
      </c>
      <c r="B13" s="89">
        <v>1768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1768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226</v>
      </c>
      <c r="Q13" s="158">
        <v>6</v>
      </c>
      <c r="R13" s="159">
        <v>1792.14</v>
      </c>
      <c r="S13" s="160"/>
      <c r="T13" s="161">
        <v>330.86</v>
      </c>
      <c r="U13" s="189">
        <f t="shared" ref="U13:U41" si="2">((T13/U$10)*U$9)</f>
        <v>14.261206896551727</v>
      </c>
      <c r="V13" s="189">
        <f t="shared" ref="V13:V41" si="3">R13*V$10</f>
        <v>13.441050000000001</v>
      </c>
      <c r="W13" s="189">
        <f t="shared" ref="W13:W41" si="4">+S13*V$10</f>
        <v>0</v>
      </c>
      <c r="X13" s="189">
        <f t="shared" ref="X13:X41" si="5">+T13*X$10</f>
        <v>8.2715000000000014</v>
      </c>
      <c r="Y13" s="189">
        <f t="shared" ref="Y13:Z41" si="6">R13-V13</f>
        <v>1778.6989500000002</v>
      </c>
      <c r="Z13" s="189">
        <f t="shared" si="6"/>
        <v>0</v>
      </c>
      <c r="AA13" s="189">
        <f t="shared" ref="AA13:AA41" si="7">T13-U13-X13</f>
        <v>308.32729310344831</v>
      </c>
      <c r="AB13" s="156"/>
    </row>
    <row r="14" spans="1:28" ht="15.75" x14ac:dyDescent="0.25">
      <c r="A14" s="86" t="s">
        <v>83</v>
      </c>
      <c r="B14" s="57">
        <f>B13*B8</f>
        <v>10130.640000000001</v>
      </c>
      <c r="C14" s="15"/>
      <c r="D14" s="56"/>
      <c r="E14" s="16"/>
      <c r="F14" s="56"/>
      <c r="G14" s="56"/>
      <c r="H14" s="17"/>
      <c r="I14" s="83"/>
      <c r="J14" s="81">
        <f t="shared" si="0"/>
        <v>10130.640000000001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214</v>
      </c>
      <c r="P18" s="158">
        <v>992</v>
      </c>
      <c r="Q18" s="158">
        <v>6</v>
      </c>
      <c r="R18" s="159">
        <v>1705.68</v>
      </c>
      <c r="S18" s="160"/>
      <c r="T18" s="161"/>
      <c r="U18" s="189">
        <f t="shared" si="2"/>
        <v>0</v>
      </c>
      <c r="V18" s="189">
        <f t="shared" si="3"/>
        <v>12.7926</v>
      </c>
      <c r="W18" s="189">
        <f t="shared" si="4"/>
        <v>0</v>
      </c>
      <c r="X18" s="189">
        <f t="shared" si="5"/>
        <v>0</v>
      </c>
      <c r="Y18" s="189">
        <f t="shared" si="6"/>
        <v>1692.8874000000001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1768</v>
      </c>
      <c r="C19" s="95"/>
      <c r="D19" s="94"/>
      <c r="E19" s="96"/>
      <c r="F19" s="94"/>
      <c r="G19" s="94"/>
      <c r="H19" s="98"/>
      <c r="I19" s="99"/>
      <c r="J19" s="185">
        <f>B19-I19</f>
        <v>1768</v>
      </c>
      <c r="K19" s="99"/>
      <c r="L19" s="187">
        <f t="shared" si="1"/>
        <v>0</v>
      </c>
      <c r="M19" s="107"/>
      <c r="N19" s="104">
        <v>8</v>
      </c>
      <c r="O19" s="152" t="s">
        <v>214</v>
      </c>
      <c r="P19" s="158">
        <v>993</v>
      </c>
      <c r="Q19" s="158">
        <v>6</v>
      </c>
      <c r="R19" s="159">
        <v>807.88</v>
      </c>
      <c r="S19" s="160"/>
      <c r="T19" s="161"/>
      <c r="U19" s="189">
        <f t="shared" si="2"/>
        <v>0</v>
      </c>
      <c r="V19" s="189">
        <f t="shared" si="3"/>
        <v>6.0590999999999999</v>
      </c>
      <c r="W19" s="189">
        <f t="shared" si="4"/>
        <v>0</v>
      </c>
      <c r="X19" s="189">
        <f t="shared" si="5"/>
        <v>0</v>
      </c>
      <c r="Y19" s="189">
        <f t="shared" si="6"/>
        <v>801.82090000000005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10130.640000000001</v>
      </c>
      <c r="C20" s="95"/>
      <c r="D20" s="94"/>
      <c r="E20" s="96"/>
      <c r="F20" s="94"/>
      <c r="G20" s="94"/>
      <c r="H20" s="98"/>
      <c r="I20" s="99">
        <v>10130.64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20</v>
      </c>
      <c r="C21" s="100"/>
      <c r="D21" s="66"/>
      <c r="E21" s="67"/>
      <c r="F21" s="66"/>
      <c r="G21" s="66"/>
      <c r="H21" s="102"/>
      <c r="I21" s="79"/>
      <c r="J21" s="81">
        <f t="shared" si="0"/>
        <v>20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117</v>
      </c>
      <c r="C22" s="100"/>
      <c r="D22" s="66"/>
      <c r="E22" s="67"/>
      <c r="F22" s="66"/>
      <c r="G22" s="66"/>
      <c r="H22" s="102"/>
      <c r="I22" s="79">
        <v>117.2</v>
      </c>
      <c r="J22" s="81">
        <f t="shared" si="0"/>
        <v>-0.20000000000000284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20</v>
      </c>
      <c r="C27" s="95"/>
      <c r="D27" s="94"/>
      <c r="E27" s="96"/>
      <c r="F27" s="94"/>
      <c r="G27" s="94"/>
      <c r="H27" s="98"/>
      <c r="I27" s="99"/>
      <c r="J27" s="185">
        <f t="shared" si="0"/>
        <v>20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117</v>
      </c>
      <c r="C28" s="95"/>
      <c r="D28" s="94"/>
      <c r="E28" s="96"/>
      <c r="F28" s="94"/>
      <c r="G28" s="94"/>
      <c r="H28" s="98"/>
      <c r="I28" s="99">
        <v>117.2</v>
      </c>
      <c r="J28" s="185">
        <f t="shared" si="0"/>
        <v>-0.20000000000000284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6104.3200000000006</v>
      </c>
      <c r="S42" s="190">
        <f t="shared" si="8"/>
        <v>0</v>
      </c>
      <c r="T42" s="190">
        <f t="shared" si="8"/>
        <v>477.83000000000004</v>
      </c>
      <c r="U42" s="190">
        <f t="shared" si="8"/>
        <v>20.596120689655177</v>
      </c>
      <c r="V42" s="190">
        <f t="shared" si="8"/>
        <v>45.782400000000003</v>
      </c>
      <c r="W42" s="190">
        <f t="shared" si="8"/>
        <v>0</v>
      </c>
      <c r="X42" s="190">
        <f t="shared" si="8"/>
        <v>11.945750000000002</v>
      </c>
      <c r="Y42" s="190">
        <f t="shared" si="8"/>
        <v>6058.5376000000006</v>
      </c>
      <c r="Z42" s="190">
        <f t="shared" si="8"/>
        <v>0</v>
      </c>
      <c r="AA42" s="190">
        <f t="shared" si="8"/>
        <v>445.28812931034486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6104.3200000000006</v>
      </c>
      <c r="C46" s="116">
        <v>7.4999999999999997E-3</v>
      </c>
      <c r="D46" s="117">
        <f>B46*C46</f>
        <v>45.782400000000003</v>
      </c>
      <c r="E46" s="172">
        <v>0</v>
      </c>
      <c r="F46" s="117">
        <f t="shared" ref="F46:F50" si="15">D46*E46</f>
        <v>0</v>
      </c>
      <c r="G46" s="117">
        <f t="shared" ref="G46:G51" si="16">B46-D46-F46</f>
        <v>6058.5376000000006</v>
      </c>
      <c r="H46" s="173">
        <f>B$6+1</f>
        <v>44767</v>
      </c>
      <c r="I46" s="174"/>
      <c r="J46" s="81">
        <f t="shared" si="0"/>
        <v>6104.3200000000006</v>
      </c>
      <c r="K46" s="80"/>
      <c r="L46" s="186">
        <f t="shared" ref="L46:L64" si="17">+G46-K46</f>
        <v>6058.5376000000006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44767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3295.08</v>
      </c>
      <c r="C49" s="116">
        <v>7.4999999999999997E-3</v>
      </c>
      <c r="D49" s="117">
        <f t="shared" si="18"/>
        <v>24.713099999999997</v>
      </c>
      <c r="E49" s="172">
        <v>0</v>
      </c>
      <c r="F49" s="117">
        <f t="shared" si="15"/>
        <v>0</v>
      </c>
      <c r="G49" s="117">
        <f t="shared" si="16"/>
        <v>3270.3669</v>
      </c>
      <c r="H49" s="173">
        <f t="shared" si="19"/>
        <v>44767</v>
      </c>
      <c r="I49" s="176"/>
      <c r="J49" s="81">
        <f t="shared" si="0"/>
        <v>3295.08</v>
      </c>
      <c r="K49" s="80"/>
      <c r="L49" s="186">
        <f t="shared" si="17"/>
        <v>3270.3669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918.25</v>
      </c>
      <c r="C50" s="116">
        <v>7.4999999999999997E-3</v>
      </c>
      <c r="D50" s="117">
        <f t="shared" si="18"/>
        <v>6.8868749999999999</v>
      </c>
      <c r="E50" s="172">
        <v>0</v>
      </c>
      <c r="F50" s="117">
        <f t="shared" si="15"/>
        <v>0</v>
      </c>
      <c r="G50" s="117">
        <f t="shared" si="16"/>
        <v>911.36312499999997</v>
      </c>
      <c r="H50" s="173">
        <f t="shared" si="19"/>
        <v>44767</v>
      </c>
      <c r="I50" s="175"/>
      <c r="J50" s="81">
        <f t="shared" si="0"/>
        <v>918.25</v>
      </c>
      <c r="K50" s="80">
        <v>911.36</v>
      </c>
      <c r="L50" s="186">
        <f t="shared" si="17"/>
        <v>3.1249999999545253E-3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68.099999999999994</v>
      </c>
      <c r="C51" s="116">
        <v>1.4999999999999999E-2</v>
      </c>
      <c r="D51" s="117">
        <f>+B51*C51</f>
        <v>1.0214999999999999</v>
      </c>
      <c r="E51" s="172">
        <v>0</v>
      </c>
      <c r="F51" s="117">
        <f>D51*E51</f>
        <v>0</v>
      </c>
      <c r="G51" s="117">
        <f t="shared" si="16"/>
        <v>67.078499999999991</v>
      </c>
      <c r="H51" s="173">
        <f t="shared" si="19"/>
        <v>44767</v>
      </c>
      <c r="I51" s="175"/>
      <c r="J51" s="81">
        <f t="shared" si="0"/>
        <v>68.099999999999994</v>
      </c>
      <c r="K51" s="80">
        <v>67.069999999999993</v>
      </c>
      <c r="L51" s="186">
        <f t="shared" si="17"/>
        <v>8.4999999999979536E-3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477.83000000000004</v>
      </c>
      <c r="C52" s="116">
        <v>2.5000000000000001E-2</v>
      </c>
      <c r="D52" s="117">
        <f>B52*C52</f>
        <v>11.945750000000002</v>
      </c>
      <c r="E52" s="172">
        <v>0.05</v>
      </c>
      <c r="F52" s="117">
        <f>(B52/E$10)*E52</f>
        <v>20.596120689655177</v>
      </c>
      <c r="G52" s="117">
        <f>B52-D52-F52</f>
        <v>445.28812931034491</v>
      </c>
      <c r="H52" s="188">
        <f t="shared" si="19"/>
        <v>44767</v>
      </c>
      <c r="I52" s="176">
        <v>477.83</v>
      </c>
      <c r="J52" s="81">
        <f t="shared" si="0"/>
        <v>0</v>
      </c>
      <c r="K52" s="80"/>
      <c r="L52" s="186">
        <f>K52-G52</f>
        <v>-445.28812931034491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44767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378.29999999999995</v>
      </c>
      <c r="C56" s="116">
        <v>2.5000000000000001E-2</v>
      </c>
      <c r="D56" s="117">
        <f t="shared" si="20"/>
        <v>9.4574999999999996</v>
      </c>
      <c r="E56" s="172">
        <v>0.05</v>
      </c>
      <c r="F56" s="117">
        <f t="shared" si="21"/>
        <v>16.306034482758619</v>
      </c>
      <c r="G56" s="117">
        <f t="shared" si="22"/>
        <v>352.53646551724137</v>
      </c>
      <c r="H56" s="173">
        <f t="shared" si="19"/>
        <v>44767</v>
      </c>
      <c r="I56" s="176">
        <v>378.3</v>
      </c>
      <c r="J56" s="81">
        <f t="shared" si="0"/>
        <v>0</v>
      </c>
      <c r="K56" s="80"/>
      <c r="L56" s="186">
        <f t="shared" si="17"/>
        <v>352.53646551724137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99.807124999999999</v>
      </c>
      <c r="E61" s="177"/>
      <c r="F61" s="57">
        <f>SUM(F46:F58)</f>
        <v>36.902155172413799</v>
      </c>
      <c r="G61" s="57">
        <f>SUM(G46:G58)</f>
        <v>11105.170719827587</v>
      </c>
      <c r="H61" s="173">
        <f t="shared" si="19"/>
        <v>44767</v>
      </c>
      <c r="I61" s="175"/>
      <c r="J61" s="81">
        <f t="shared" si="0"/>
        <v>0</v>
      </c>
      <c r="K61" s="80"/>
      <c r="L61" s="186">
        <f t="shared" si="17"/>
        <v>11105.170719827587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44767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22210.341439655174</v>
      </c>
      <c r="H64" s="184"/>
      <c r="I64" s="175"/>
      <c r="J64" s="81">
        <f t="shared" si="0"/>
        <v>0</v>
      </c>
      <c r="K64" s="80"/>
      <c r="L64" s="186">
        <f t="shared" si="17"/>
        <v>22210.341439655174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23297.02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23245.040000000001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23245.040000000001</v>
      </c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174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0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2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51.979999999999563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2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828</v>
      </c>
      <c r="Q73" s="228">
        <v>2002</v>
      </c>
      <c r="R73" s="222">
        <v>1466.09</v>
      </c>
      <c r="S73" s="228"/>
      <c r="T73" s="228">
        <v>27.02</v>
      </c>
      <c r="U73" s="189">
        <f t="shared" si="34"/>
        <v>1.1646551724137932</v>
      </c>
      <c r="V73" s="189">
        <f t="shared" si="35"/>
        <v>10.995674999999999</v>
      </c>
      <c r="W73" s="189">
        <f t="shared" si="36"/>
        <v>0</v>
      </c>
      <c r="X73" s="189">
        <f t="shared" si="37"/>
        <v>0.67549999999999999</v>
      </c>
      <c r="Y73" s="189">
        <f t="shared" si="38"/>
        <v>1455.094325</v>
      </c>
      <c r="Z73" s="189">
        <f t="shared" si="38"/>
        <v>0</v>
      </c>
      <c r="AA73" s="189">
        <f t="shared" si="39"/>
        <v>25.179844827586209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829</v>
      </c>
      <c r="Q74" s="228">
        <v>2002</v>
      </c>
      <c r="R74" s="222">
        <v>1828.99</v>
      </c>
      <c r="S74" s="228"/>
      <c r="T74" s="222">
        <v>351.28</v>
      </c>
      <c r="U74" s="189">
        <f t="shared" si="34"/>
        <v>15.14137931034483</v>
      </c>
      <c r="V74" s="189">
        <f t="shared" si="35"/>
        <v>13.717425</v>
      </c>
      <c r="W74" s="189">
        <f t="shared" si="36"/>
        <v>0</v>
      </c>
      <c r="X74" s="189">
        <f t="shared" si="37"/>
        <v>8.782</v>
      </c>
      <c r="Y74" s="189">
        <f t="shared" si="38"/>
        <v>1815.272575</v>
      </c>
      <c r="Z74" s="189">
        <f t="shared" si="38"/>
        <v>0</v>
      </c>
      <c r="AA74" s="189">
        <f t="shared" si="39"/>
        <v>327.35662068965519</v>
      </c>
      <c r="AB74" s="87"/>
    </row>
    <row r="75" spans="1:30" ht="15.75" x14ac:dyDescent="0.25">
      <c r="N75" s="303" t="s">
        <v>175</v>
      </c>
      <c r="O75" s="303"/>
      <c r="P75" s="304"/>
      <c r="Q75" s="304"/>
      <c r="R75" s="192">
        <f>SUM(R70:R74)</f>
        <v>3295.08</v>
      </c>
      <c r="S75" s="192"/>
      <c r="T75" s="192">
        <f>SUM(T70:T74)</f>
        <v>378.29999999999995</v>
      </c>
      <c r="U75" s="192">
        <f>SUM(U70:U74)</f>
        <v>16.306034482758623</v>
      </c>
      <c r="V75" s="192">
        <f t="shared" ref="V75:AA75" si="41">SUM(V70:V74)</f>
        <v>24.713099999999997</v>
      </c>
      <c r="W75" s="192">
        <f t="shared" si="41"/>
        <v>0</v>
      </c>
      <c r="X75" s="192">
        <f t="shared" si="41"/>
        <v>9.4574999999999996</v>
      </c>
      <c r="Y75" s="192">
        <f t="shared" si="41"/>
        <v>3270.3669</v>
      </c>
      <c r="Z75" s="192">
        <f t="shared" si="41"/>
        <v>0</v>
      </c>
      <c r="AA75" s="193">
        <f t="shared" si="41"/>
        <v>352.53646551724137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62.58</v>
      </c>
      <c r="Q78" s="137">
        <v>45.25</v>
      </c>
      <c r="R78" s="82">
        <v>7.4999999999999997E-3</v>
      </c>
      <c r="S78" s="194">
        <f>+(P78+Q78)*R78</f>
        <v>0.80872499999999992</v>
      </c>
      <c r="T78" s="242">
        <f>+(P78+Q78)-S78</f>
        <v>107.021275</v>
      </c>
      <c r="U78" s="211">
        <v>2.39</v>
      </c>
      <c r="V78" s="112"/>
      <c r="W78" s="113">
        <v>1.4999999999999999E-2</v>
      </c>
      <c r="X78" s="196">
        <f>+(U78+V78)*W78</f>
        <v>3.585E-2</v>
      </c>
      <c r="Y78" s="242">
        <f>+(U78+V78)-X78</f>
        <v>2.3541500000000002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911.36</v>
      </c>
      <c r="N79" s="87">
        <v>2</v>
      </c>
      <c r="O79" s="87" t="s">
        <v>112</v>
      </c>
      <c r="P79" s="137">
        <v>65.67</v>
      </c>
      <c r="Q79" s="137">
        <v>7.2</v>
      </c>
      <c r="R79" s="82">
        <v>7.4999999999999997E-3</v>
      </c>
      <c r="S79" s="194">
        <f t="shared" ref="S79:S97" si="43">+(P79+Q79)*R79</f>
        <v>0.54652500000000004</v>
      </c>
      <c r="T79" s="242">
        <f t="shared" ref="T79:T97" si="44">+(P79+Q79)-S79</f>
        <v>72.323475000000002</v>
      </c>
      <c r="U79" s="211">
        <v>65.709999999999994</v>
      </c>
      <c r="V79" s="112"/>
      <c r="W79" s="113">
        <v>1.4999999999999999E-2</v>
      </c>
      <c r="X79" s="196">
        <f t="shared" ref="X79:X97" si="45">+(U79+V79)*W79</f>
        <v>0.98564999999999992</v>
      </c>
      <c r="Y79" s="242">
        <f t="shared" ref="Y79:Y97" si="46">+(U79+V79)-X79</f>
        <v>64.724349999999987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167.56</v>
      </c>
      <c r="Q80" s="87">
        <v>79.239999999999995</v>
      </c>
      <c r="R80" s="82">
        <v>7.4999999999999997E-3</v>
      </c>
      <c r="S80" s="194">
        <f t="shared" si="43"/>
        <v>1.851</v>
      </c>
      <c r="T80" s="213">
        <f t="shared" si="44"/>
        <v>244.94900000000001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911.36</v>
      </c>
      <c r="N81" s="87">
        <v>4</v>
      </c>
      <c r="O81" s="87" t="s">
        <v>112</v>
      </c>
      <c r="P81" s="137">
        <v>212.67</v>
      </c>
      <c r="Q81" s="137">
        <v>60.81</v>
      </c>
      <c r="R81" s="82">
        <v>7.4999999999999997E-3</v>
      </c>
      <c r="S81" s="194">
        <f t="shared" si="43"/>
        <v>2.0510999999999999</v>
      </c>
      <c r="T81" s="213">
        <f t="shared" si="44"/>
        <v>271.4289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58.88</v>
      </c>
      <c r="Q82" s="87">
        <v>16.04</v>
      </c>
      <c r="R82" s="82">
        <v>7.4999999999999997E-3</v>
      </c>
      <c r="S82" s="194">
        <f t="shared" si="43"/>
        <v>0.56189999999999996</v>
      </c>
      <c r="T82" s="242">
        <f t="shared" si="44"/>
        <v>74.358100000000007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>
        <v>99.24</v>
      </c>
      <c r="Q83" s="87">
        <v>43.11</v>
      </c>
      <c r="R83" s="82">
        <v>7.4999999999999997E-3</v>
      </c>
      <c r="S83" s="194">
        <f t="shared" si="43"/>
        <v>1.0676249999999998</v>
      </c>
      <c r="T83" s="242">
        <f t="shared" si="44"/>
        <v>141.282375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 t="s">
        <v>167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666.6</v>
      </c>
      <c r="Q98" s="195">
        <f>SUM(Q78:Q97)</f>
        <v>251.64999999999998</v>
      </c>
      <c r="R98" s="111"/>
      <c r="S98" s="195">
        <f>SUM(S78:S97)</f>
        <v>6.886874999999999</v>
      </c>
      <c r="T98" s="195">
        <f>SUM(T78:T97)</f>
        <v>911.36312500000008</v>
      </c>
      <c r="U98" s="114">
        <f>SUM(U78:U97)</f>
        <v>68.099999999999994</v>
      </c>
      <c r="V98" s="114">
        <f>SUM(V78:V97)</f>
        <v>0</v>
      </c>
      <c r="W98" s="112"/>
      <c r="X98" s="197">
        <f>SUM(X78:X97)</f>
        <v>1.0214999999999999</v>
      </c>
      <c r="Y98" s="197">
        <f>SUM(Y78:Y97)</f>
        <v>67.078499999999991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</row>
    <row r="100" spans="14:30" x14ac:dyDescent="0.25">
      <c r="N100" s="85"/>
      <c r="Q100" s="218">
        <f>P78+U78+Q78</f>
        <v>110.22</v>
      </c>
    </row>
    <row r="101" spans="14:30" x14ac:dyDescent="0.25">
      <c r="N101" s="85"/>
      <c r="Q101" s="218">
        <f>P79+Q79+U79</f>
        <v>138.57999999999998</v>
      </c>
    </row>
    <row r="102" spans="14:30" x14ac:dyDescent="0.25">
      <c r="N102" s="85"/>
      <c r="Q102" s="215">
        <f>P80+Q80+U80</f>
        <v>246.8</v>
      </c>
    </row>
    <row r="103" spans="14:30" x14ac:dyDescent="0.25">
      <c r="N103" s="85"/>
      <c r="Q103" s="218">
        <f>P81+Q81+U81</f>
        <v>273.48</v>
      </c>
    </row>
    <row r="104" spans="14:30" x14ac:dyDescent="0.25">
      <c r="N104" s="85"/>
      <c r="Q104" s="243">
        <f>P82+Q82+U82</f>
        <v>74.92</v>
      </c>
    </row>
    <row r="105" spans="14:30" x14ac:dyDescent="0.25">
      <c r="N105" s="85"/>
      <c r="Q105" s="85">
        <f>P83+Q83+U83</f>
        <v>142.35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Q10" zoomScale="90" zoomScaleNormal="90" workbookViewId="0">
      <selection activeCell="U39" sqref="U3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195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/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44767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1514</v>
      </c>
      <c r="C12" s="15"/>
      <c r="D12" s="56"/>
      <c r="E12" s="16"/>
      <c r="F12" s="56"/>
      <c r="G12" s="56"/>
      <c r="H12" s="17"/>
      <c r="I12" s="83">
        <v>1514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227</v>
      </c>
      <c r="Q12" s="158">
        <v>6</v>
      </c>
      <c r="R12" s="159">
        <v>771.21</v>
      </c>
      <c r="S12" s="160"/>
      <c r="T12" s="160"/>
      <c r="U12" s="189">
        <f>((T12/U$10)*U$9)</f>
        <v>0</v>
      </c>
      <c r="V12" s="189">
        <f>R12*V$10</f>
        <v>5.7840749999999996</v>
      </c>
      <c r="W12" s="189">
        <f>+S12*V$10</f>
        <v>0</v>
      </c>
      <c r="X12" s="189">
        <f>+T12*X$10</f>
        <v>0</v>
      </c>
      <c r="Y12" s="189">
        <f>R12-V12</f>
        <v>765.42592500000001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706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706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228</v>
      </c>
      <c r="Q13" s="158">
        <v>6</v>
      </c>
      <c r="R13" s="159">
        <v>2455.46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18.415949999999999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2437.04405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4045.38</v>
      </c>
      <c r="C14" s="15"/>
      <c r="D14" s="56"/>
      <c r="E14" s="16"/>
      <c r="F14" s="56"/>
      <c r="G14" s="56"/>
      <c r="H14" s="17"/>
      <c r="I14" s="83"/>
      <c r="J14" s="81">
        <f t="shared" si="0"/>
        <v>4045.38</v>
      </c>
      <c r="K14" s="80"/>
      <c r="L14" s="213" t="s">
        <v>167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994</v>
      </c>
      <c r="Q15" s="158">
        <v>6</v>
      </c>
      <c r="R15" s="159">
        <v>3149.39</v>
      </c>
      <c r="S15" s="160"/>
      <c r="T15" s="161">
        <v>17</v>
      </c>
      <c r="U15" s="189">
        <f t="shared" si="2"/>
        <v>0.73275862068965525</v>
      </c>
      <c r="V15" s="189">
        <f t="shared" si="3"/>
        <v>23.620424999999997</v>
      </c>
      <c r="W15" s="189">
        <f t="shared" si="4"/>
        <v>0</v>
      </c>
      <c r="X15" s="189">
        <f t="shared" si="5"/>
        <v>0.42500000000000004</v>
      </c>
      <c r="Y15" s="189">
        <f t="shared" si="6"/>
        <v>3125.7695749999998</v>
      </c>
      <c r="Z15" s="189">
        <f t="shared" si="6"/>
        <v>0</v>
      </c>
      <c r="AA15" s="189">
        <f t="shared" si="7"/>
        <v>15.842241379310344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706</v>
      </c>
      <c r="C19" s="95"/>
      <c r="D19" s="94"/>
      <c r="E19" s="96"/>
      <c r="F19" s="94"/>
      <c r="G19" s="94"/>
      <c r="H19" s="98"/>
      <c r="I19" s="99"/>
      <c r="J19" s="185">
        <f>B19-I19</f>
        <v>706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4045.38</v>
      </c>
      <c r="C20" s="95"/>
      <c r="D20" s="94"/>
      <c r="E20" s="96"/>
      <c r="F20" s="94"/>
      <c r="G20" s="94"/>
      <c r="H20" s="98"/>
      <c r="I20" s="99">
        <v>4045.38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>K21-B21</f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>K22-B22</f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>K27-B27</f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>K28-B28</f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6376.0599999999995</v>
      </c>
      <c r="S42" s="190">
        <f t="shared" si="8"/>
        <v>0</v>
      </c>
      <c r="T42" s="190">
        <f t="shared" si="8"/>
        <v>17</v>
      </c>
      <c r="U42" s="190">
        <f t="shared" si="8"/>
        <v>0.73275862068965525</v>
      </c>
      <c r="V42" s="190">
        <f t="shared" si="8"/>
        <v>47.820449999999994</v>
      </c>
      <c r="W42" s="190">
        <f t="shared" si="8"/>
        <v>0</v>
      </c>
      <c r="X42" s="190">
        <f t="shared" si="8"/>
        <v>0.42500000000000004</v>
      </c>
      <c r="Y42" s="190">
        <f t="shared" si="8"/>
        <v>6328.2395500000002</v>
      </c>
      <c r="Z42" s="190">
        <f t="shared" si="8"/>
        <v>0</v>
      </c>
      <c r="AA42" s="190">
        <f t="shared" si="8"/>
        <v>15.842241379310344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6376.0599999999995</v>
      </c>
      <c r="C46" s="116">
        <v>7.4999999999999997E-3</v>
      </c>
      <c r="D46" s="117">
        <f>B46*C46</f>
        <v>47.820449999999994</v>
      </c>
      <c r="E46" s="172">
        <v>0</v>
      </c>
      <c r="F46" s="117">
        <f t="shared" ref="F46:F50" si="15">D46*E46</f>
        <v>0</v>
      </c>
      <c r="G46" s="117">
        <f t="shared" ref="G46:G51" si="16">B46-D46-F46</f>
        <v>6328.2395499999993</v>
      </c>
      <c r="H46" s="173">
        <f>B$6+1</f>
        <v>44768</v>
      </c>
      <c r="I46" s="174"/>
      <c r="J46" s="81">
        <f t="shared" si="0"/>
        <v>6376.0599999999995</v>
      </c>
      <c r="K46" s="80"/>
      <c r="L46" s="186">
        <f t="shared" ref="L46:L64" si="17">+G46-K46</f>
        <v>6328.2395499999993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44768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44768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1026.95</v>
      </c>
      <c r="C49" s="116">
        <v>7.4999999999999997E-3</v>
      </c>
      <c r="D49" s="117">
        <f t="shared" si="18"/>
        <v>7.7021249999999997</v>
      </c>
      <c r="E49" s="172">
        <v>0</v>
      </c>
      <c r="F49" s="117">
        <f t="shared" si="15"/>
        <v>0</v>
      </c>
      <c r="G49" s="117">
        <f t="shared" si="16"/>
        <v>1019.247875</v>
      </c>
      <c r="H49" s="173">
        <f t="shared" si="19"/>
        <v>44768</v>
      </c>
      <c r="I49" s="176"/>
      <c r="J49" s="81">
        <f t="shared" si="0"/>
        <v>1026.95</v>
      </c>
      <c r="K49" s="80"/>
      <c r="L49" s="186">
        <f t="shared" si="17"/>
        <v>1019.247875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720.09999999999991</v>
      </c>
      <c r="C50" s="116">
        <v>7.4999999999999997E-3</v>
      </c>
      <c r="D50" s="117">
        <f t="shared" si="18"/>
        <v>5.4007499999999995</v>
      </c>
      <c r="E50" s="172">
        <v>0</v>
      </c>
      <c r="F50" s="117">
        <f t="shared" si="15"/>
        <v>0</v>
      </c>
      <c r="G50" s="117">
        <f t="shared" si="16"/>
        <v>714.69924999999989</v>
      </c>
      <c r="H50" s="173">
        <f t="shared" si="19"/>
        <v>44768</v>
      </c>
      <c r="I50" s="175"/>
      <c r="J50" s="81">
        <f t="shared" si="0"/>
        <v>720.09999999999991</v>
      </c>
      <c r="K50" s="80"/>
      <c r="L50" s="186">
        <f t="shared" si="17"/>
        <v>714.69924999999989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355.86</v>
      </c>
      <c r="C51" s="116">
        <v>1.4999999999999999E-2</v>
      </c>
      <c r="D51" s="117">
        <f>+B51*C51</f>
        <v>5.3379000000000003</v>
      </c>
      <c r="E51" s="172">
        <v>0</v>
      </c>
      <c r="F51" s="117">
        <f>D51*E51</f>
        <v>0</v>
      </c>
      <c r="G51" s="117">
        <f t="shared" si="16"/>
        <v>350.52210000000002</v>
      </c>
      <c r="H51" s="173">
        <f t="shared" si="19"/>
        <v>44768</v>
      </c>
      <c r="I51" s="175"/>
      <c r="J51" s="81">
        <f t="shared" si="0"/>
        <v>355.86</v>
      </c>
      <c r="K51" s="80"/>
      <c r="L51" s="186">
        <f t="shared" si="17"/>
        <v>350.52210000000002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17</v>
      </c>
      <c r="C52" s="116">
        <v>2.5000000000000001E-2</v>
      </c>
      <c r="D52" s="117">
        <f>B52*C52</f>
        <v>0.42500000000000004</v>
      </c>
      <c r="E52" s="172">
        <v>0.05</v>
      </c>
      <c r="F52" s="117">
        <f>(B52/E$10)*E52</f>
        <v>0.73275862068965525</v>
      </c>
      <c r="G52" s="117">
        <f>B52-D52-F52</f>
        <v>15.842241379310344</v>
      </c>
      <c r="H52" s="188">
        <f t="shared" si="19"/>
        <v>44768</v>
      </c>
      <c r="I52" s="176"/>
      <c r="J52" s="81">
        <f t="shared" si="0"/>
        <v>17</v>
      </c>
      <c r="K52" s="80"/>
      <c r="L52" s="186">
        <f t="shared" si="17"/>
        <v>15.842241379310344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44768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177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44768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44768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44768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44770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44772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44797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66.686224999999993</v>
      </c>
      <c r="E61" s="177"/>
      <c r="F61" s="57">
        <f>SUM(F46:F58)</f>
        <v>0.73275862068965525</v>
      </c>
      <c r="G61" s="57">
        <f>SUM(G46:G58)</f>
        <v>8428.5510163793097</v>
      </c>
      <c r="H61" s="173">
        <f t="shared" si="19"/>
        <v>44768</v>
      </c>
      <c r="I61" s="175"/>
      <c r="J61" s="81">
        <f t="shared" si="0"/>
        <v>0</v>
      </c>
      <c r="K61" s="80"/>
      <c r="L61" s="186">
        <f t="shared" si="17"/>
        <v>8428.5510163793097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44768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16857.102032758619</v>
      </c>
      <c r="H64" s="184"/>
      <c r="I64" s="175"/>
      <c r="J64" s="81">
        <f t="shared" si="0"/>
        <v>0</v>
      </c>
      <c r="K64" s="80"/>
      <c r="L64" s="186">
        <f t="shared" si="17"/>
        <v>16857.102032758619</v>
      </c>
      <c r="M64" s="130"/>
      <c r="N64" s="87">
        <v>1</v>
      </c>
      <c r="O64" s="122" t="s">
        <v>198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14055.35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/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14037.38</v>
      </c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-14037.38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196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17.970000000001164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196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196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197</v>
      </c>
      <c r="P73" s="228">
        <v>830</v>
      </c>
      <c r="Q73" s="228">
        <v>2002</v>
      </c>
      <c r="R73" s="222">
        <v>1026.95</v>
      </c>
      <c r="S73" s="228"/>
      <c r="T73" s="228"/>
      <c r="U73" s="189">
        <f t="shared" si="34"/>
        <v>0</v>
      </c>
      <c r="V73" s="189">
        <f t="shared" si="35"/>
        <v>7.7021249999999997</v>
      </c>
      <c r="W73" s="189">
        <f t="shared" si="36"/>
        <v>0</v>
      </c>
      <c r="X73" s="189">
        <f t="shared" si="37"/>
        <v>0</v>
      </c>
      <c r="Y73" s="189">
        <f t="shared" si="38"/>
        <v>1019.247875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197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1026.95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7.7021249999999997</v>
      </c>
      <c r="W75" s="192">
        <f t="shared" si="41"/>
        <v>0</v>
      </c>
      <c r="X75" s="192">
        <f t="shared" si="41"/>
        <v>0</v>
      </c>
      <c r="Y75" s="192">
        <f t="shared" si="41"/>
        <v>1019.247875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15.75" x14ac:dyDescent="0.25">
      <c r="E77" s="231"/>
      <c r="F77" s="323"/>
      <c r="G77" s="323"/>
      <c r="H77" s="227"/>
      <c r="I77" s="231"/>
      <c r="J77" s="231"/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E78" s="231"/>
      <c r="F78" s="228"/>
      <c r="G78" s="228"/>
      <c r="H78" s="229"/>
      <c r="I78" s="87"/>
      <c r="J78" s="87"/>
      <c r="N78" s="87">
        <v>1</v>
      </c>
      <c r="O78" s="87" t="s">
        <v>112</v>
      </c>
      <c r="P78" s="137">
        <v>17.399999999999999</v>
      </c>
      <c r="Q78" s="137">
        <v>13.83</v>
      </c>
      <c r="R78" s="82">
        <v>7.4999999999999997E-3</v>
      </c>
      <c r="S78" s="194">
        <f>+(P78+Q78)*R78</f>
        <v>0.23422499999999996</v>
      </c>
      <c r="T78" s="257">
        <f>+(P78+Q78)-S78</f>
        <v>30.995774999999998</v>
      </c>
      <c r="U78" s="211">
        <v>29.44</v>
      </c>
      <c r="V78" s="112"/>
      <c r="W78" s="113">
        <v>1.4999999999999999E-2</v>
      </c>
      <c r="X78" s="196">
        <f>+(U78+V78)*W78</f>
        <v>0.44159999999999999</v>
      </c>
      <c r="Y78" s="217">
        <f>+(U78+V78)-X78</f>
        <v>28.9984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31"/>
      <c r="F79" s="228"/>
      <c r="G79" s="63"/>
      <c r="H79" s="230"/>
      <c r="I79" s="87"/>
      <c r="J79" s="87"/>
      <c r="N79" s="87">
        <v>2</v>
      </c>
      <c r="O79" s="87" t="s">
        <v>112</v>
      </c>
      <c r="P79" s="137">
        <v>40.1</v>
      </c>
      <c r="Q79" s="137">
        <v>68.650000000000006</v>
      </c>
      <c r="R79" s="82">
        <v>7.4999999999999997E-3</v>
      </c>
      <c r="S79" s="194">
        <f t="shared" ref="S79:S97" si="43">+(P79+Q79)*R79</f>
        <v>0.81562499999999993</v>
      </c>
      <c r="T79" s="257">
        <f t="shared" ref="T79:T97" si="44">+(P79+Q79)-S79</f>
        <v>107.934375</v>
      </c>
      <c r="U79" s="211">
        <v>210.91</v>
      </c>
      <c r="V79" s="112"/>
      <c r="W79" s="113">
        <v>1.4999999999999999E-2</v>
      </c>
      <c r="X79" s="196">
        <f t="shared" ref="X79:X97" si="45">+(U79+V79)*W79</f>
        <v>3.1636499999999996</v>
      </c>
      <c r="Y79" s="217">
        <f t="shared" ref="Y79:Y97" si="46">+(U79+V79)-X79</f>
        <v>207.74635000000001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5.75" x14ac:dyDescent="0.25">
      <c r="E80" s="231"/>
      <c r="F80" s="87"/>
      <c r="G80" s="137"/>
      <c r="H80" s="233"/>
      <c r="I80" s="87"/>
      <c r="J80" s="87"/>
      <c r="N80" s="87">
        <v>3</v>
      </c>
      <c r="O80" s="87" t="s">
        <v>112</v>
      </c>
      <c r="P80" s="137">
        <v>48.85</v>
      </c>
      <c r="Q80" s="137">
        <v>114.77</v>
      </c>
      <c r="R80" s="82">
        <v>7.4999999999999997E-3</v>
      </c>
      <c r="S80" s="194">
        <f t="shared" si="43"/>
        <v>1.22715</v>
      </c>
      <c r="T80" s="257">
        <f t="shared" si="44"/>
        <v>162.39285000000001</v>
      </c>
      <c r="U80" s="211">
        <v>37.67</v>
      </c>
      <c r="V80" s="112"/>
      <c r="W80" s="113">
        <v>1.4999999999999999E-2</v>
      </c>
      <c r="X80" s="196">
        <f t="shared" si="45"/>
        <v>0.56505000000000005</v>
      </c>
      <c r="Y80" s="217">
        <f t="shared" si="46"/>
        <v>37.104950000000002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5:30" ht="15.75" x14ac:dyDescent="0.25">
      <c r="E81" s="231"/>
      <c r="F81" s="87"/>
      <c r="G81" s="137"/>
      <c r="H81" s="226"/>
      <c r="I81" s="87"/>
      <c r="J81" s="87"/>
      <c r="N81" s="87">
        <v>4</v>
      </c>
      <c r="O81" s="87" t="s">
        <v>112</v>
      </c>
      <c r="P81" s="137">
        <v>251.22</v>
      </c>
      <c r="Q81" s="137">
        <v>165.28</v>
      </c>
      <c r="R81" s="82">
        <v>7.4999999999999997E-3</v>
      </c>
      <c r="S81" s="194">
        <f t="shared" si="43"/>
        <v>3.1237499999999998</v>
      </c>
      <c r="T81" s="257">
        <f t="shared" si="44"/>
        <v>413.37625000000003</v>
      </c>
      <c r="U81" s="211">
        <v>77.84</v>
      </c>
      <c r="V81" s="112"/>
      <c r="W81" s="113">
        <v>1.4999999999999999E-2</v>
      </c>
      <c r="X81" s="196">
        <f t="shared" si="45"/>
        <v>1.1676</v>
      </c>
      <c r="Y81" s="217">
        <f t="shared" si="46"/>
        <v>76.67240000000001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5:30" ht="15.75" x14ac:dyDescent="0.25">
      <c r="E82" s="231"/>
      <c r="F82" s="87"/>
      <c r="G82" s="137"/>
      <c r="H82" s="87"/>
      <c r="I82" s="87"/>
      <c r="J82" s="87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57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5:30" ht="15.75" x14ac:dyDescent="0.25">
      <c r="E83" s="232"/>
      <c r="F83" s="87"/>
      <c r="G83" s="137"/>
      <c r="H83" s="87"/>
      <c r="I83" s="87"/>
      <c r="J83" s="87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57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5:30" ht="15.75" x14ac:dyDescent="0.25">
      <c r="E84" s="231"/>
      <c r="F84" s="87"/>
      <c r="G84" s="87"/>
      <c r="H84" s="89"/>
      <c r="I84" s="87"/>
      <c r="J84" s="87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58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5:30" ht="15.75" x14ac:dyDescent="0.25">
      <c r="E85" s="231"/>
      <c r="F85" s="87"/>
      <c r="G85" s="87"/>
      <c r="H85" s="87"/>
      <c r="I85" s="87"/>
      <c r="J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58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5:30" ht="15.75" x14ac:dyDescent="0.25">
      <c r="E86" s="231"/>
      <c r="F86" s="87"/>
      <c r="G86" s="81"/>
      <c r="H86" s="87"/>
      <c r="I86" s="87"/>
      <c r="J86" s="87"/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5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5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5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5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5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5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5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5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5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5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357.57</v>
      </c>
      <c r="Q98" s="195">
        <f>SUM(Q78:Q97)</f>
        <v>362.53</v>
      </c>
      <c r="R98" s="111"/>
      <c r="S98" s="195">
        <f>SUM(S78:S97)</f>
        <v>5.4007500000000004</v>
      </c>
      <c r="T98" s="195">
        <f>SUM(T78:T97)</f>
        <v>714.69925000000001</v>
      </c>
      <c r="U98" s="114">
        <f>SUM(U78:U97)</f>
        <v>355.86</v>
      </c>
      <c r="V98" s="114">
        <f>SUM(V78:V97)</f>
        <v>0</v>
      </c>
      <c r="W98" s="112"/>
      <c r="X98" s="197">
        <f>SUM(X78:X97)</f>
        <v>5.3379000000000003</v>
      </c>
      <c r="Y98" s="197">
        <f>SUM(Y78:Y97)</f>
        <v>350.52210000000002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  <c r="O99" s="84"/>
      <c r="P99" s="84"/>
      <c r="Q99" s="84"/>
    </row>
    <row r="100" spans="14:30" x14ac:dyDescent="0.25">
      <c r="N100" s="85"/>
      <c r="O100" s="84"/>
      <c r="P100" s="215">
        <f>P78+Q78+U78</f>
        <v>60.67</v>
      </c>
      <c r="Q100" s="84"/>
    </row>
    <row r="101" spans="14:30" x14ac:dyDescent="0.25">
      <c r="N101" s="85"/>
      <c r="O101" s="84"/>
      <c r="P101" s="215">
        <f>P79+Q79+U79</f>
        <v>319.65999999999997</v>
      </c>
      <c r="Q101" s="84"/>
    </row>
    <row r="102" spans="14:30" x14ac:dyDescent="0.25">
      <c r="N102" s="85"/>
      <c r="O102" s="84"/>
      <c r="P102" s="215">
        <f>P80+U80+Q80</f>
        <v>201.29000000000002</v>
      </c>
      <c r="Q102" s="84"/>
    </row>
    <row r="103" spans="14:30" x14ac:dyDescent="0.25">
      <c r="N103" s="85"/>
      <c r="O103" s="84"/>
      <c r="P103" s="215">
        <f>P81+Q81+U81</f>
        <v>494.34000000000003</v>
      </c>
      <c r="Q103" s="84"/>
    </row>
    <row r="104" spans="14:30" x14ac:dyDescent="0.25">
      <c r="N104" s="85"/>
      <c r="O104" s="84"/>
      <c r="P104" s="235">
        <f>P82+U82+Q82</f>
        <v>0</v>
      </c>
      <c r="Q104" s="84"/>
    </row>
    <row r="105" spans="14:30" x14ac:dyDescent="0.25">
      <c r="N105" s="85"/>
      <c r="O105" s="84"/>
      <c r="P105" s="235">
        <f>P83+Q83+U83</f>
        <v>0</v>
      </c>
      <c r="Q105" s="84"/>
    </row>
    <row r="106" spans="14:30" x14ac:dyDescent="0.25">
      <c r="N106" s="85"/>
      <c r="O106" s="84"/>
      <c r="P106" s="243">
        <f>P86+Q86+U86</f>
        <v>0</v>
      </c>
      <c r="Q106" s="84"/>
    </row>
    <row r="107" spans="14:30" x14ac:dyDescent="0.25">
      <c r="N107" s="85"/>
      <c r="O107" s="84"/>
      <c r="P107" s="84"/>
      <c r="Q107" s="84"/>
    </row>
    <row r="108" spans="14:30" x14ac:dyDescent="0.25">
      <c r="N108" s="85"/>
      <c r="O108" s="84"/>
      <c r="P108" s="84"/>
      <c r="Q108" s="84"/>
    </row>
    <row r="109" spans="14:30" x14ac:dyDescent="0.25">
      <c r="N109" s="85"/>
      <c r="O109" s="84"/>
      <c r="P109" s="84"/>
      <c r="Q109" s="84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X48" zoomScale="90" zoomScaleNormal="90" workbookViewId="0">
      <selection activeCell="Z76" sqref="Z76:Z7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187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/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44768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>
        <v>5.74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>
        <v>5.75</v>
      </c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1651</v>
      </c>
      <c r="C12" s="15"/>
      <c r="D12" s="56"/>
      <c r="E12" s="16"/>
      <c r="F12" s="56"/>
      <c r="G12" s="56"/>
      <c r="H12" s="17"/>
      <c r="I12" s="83">
        <v>1651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229</v>
      </c>
      <c r="Q12" s="158">
        <v>6</v>
      </c>
      <c r="R12" s="159">
        <v>347.45</v>
      </c>
      <c r="S12" s="160"/>
      <c r="T12" s="160"/>
      <c r="U12" s="189">
        <f>((T12/U$10)*U$9)</f>
        <v>0</v>
      </c>
      <c r="V12" s="189">
        <f>R12*V$10</f>
        <v>2.6058749999999997</v>
      </c>
      <c r="W12" s="189">
        <f>+S12*V$10</f>
        <v>0</v>
      </c>
      <c r="X12" s="189">
        <f>+T12*X$10</f>
        <v>0</v>
      </c>
      <c r="Y12" s="189">
        <f>R12-V12</f>
        <v>344.84412499999996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805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805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230</v>
      </c>
      <c r="Q13" s="158">
        <v>6</v>
      </c>
      <c r="R13" s="159">
        <v>1906.33</v>
      </c>
      <c r="S13" s="160"/>
      <c r="T13" s="161">
        <v>67.52</v>
      </c>
      <c r="U13" s="189">
        <f t="shared" ref="U13:U41" si="2">((T13/U$10)*U$9)</f>
        <v>2.9103448275862069</v>
      </c>
      <c r="V13" s="189">
        <f t="shared" ref="V13:V41" si="3">R13*V$10</f>
        <v>14.297474999999999</v>
      </c>
      <c r="W13" s="189">
        <f t="shared" ref="W13:W41" si="4">+S13*V$10</f>
        <v>0</v>
      </c>
      <c r="X13" s="189">
        <f t="shared" ref="X13:X41" si="5">+T13*X$10</f>
        <v>1.6879999999999999</v>
      </c>
      <c r="Y13" s="189">
        <f t="shared" ref="Y13:Z41" si="6">R13-V13</f>
        <v>1892.0325249999999</v>
      </c>
      <c r="Z13" s="189">
        <f t="shared" si="6"/>
        <v>0</v>
      </c>
      <c r="AA13" s="189">
        <f t="shared" ref="AA13:AA41" si="7">T13-U13-X13</f>
        <v>62.921655172413793</v>
      </c>
      <c r="AB13" s="156"/>
    </row>
    <row r="14" spans="1:28" ht="15.75" x14ac:dyDescent="0.25">
      <c r="A14" s="86" t="s">
        <v>83</v>
      </c>
      <c r="B14" s="57">
        <f>B13*B8</f>
        <v>4612.6500000000005</v>
      </c>
      <c r="C14" s="15"/>
      <c r="D14" s="56"/>
      <c r="E14" s="16"/>
      <c r="F14" s="56"/>
      <c r="G14" s="56"/>
      <c r="H14" s="17"/>
      <c r="I14" s="83"/>
      <c r="J14" s="81">
        <f t="shared" si="0"/>
        <v>4612.6500000000005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61</v>
      </c>
      <c r="C15" s="15"/>
      <c r="D15" s="56"/>
      <c r="E15" s="16"/>
      <c r="F15" s="56"/>
      <c r="G15" s="56"/>
      <c r="H15" s="17"/>
      <c r="I15" s="83"/>
      <c r="J15" s="81">
        <f t="shared" si="0"/>
        <v>61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995</v>
      </c>
      <c r="Q15" s="158">
        <v>6</v>
      </c>
      <c r="R15" s="159">
        <v>1335.07</v>
      </c>
      <c r="S15" s="160"/>
      <c r="T15" s="161"/>
      <c r="U15" s="189">
        <f t="shared" si="2"/>
        <v>0</v>
      </c>
      <c r="V15" s="189">
        <f t="shared" si="3"/>
        <v>10.013024999999999</v>
      </c>
      <c r="W15" s="189">
        <f t="shared" si="4"/>
        <v>0</v>
      </c>
      <c r="X15" s="189">
        <f t="shared" si="5"/>
        <v>0</v>
      </c>
      <c r="Y15" s="189">
        <f t="shared" si="6"/>
        <v>1325.056975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350.14</v>
      </c>
      <c r="C16" s="15"/>
      <c r="D16" s="56"/>
      <c r="E16" s="16"/>
      <c r="F16" s="56"/>
      <c r="G16" s="56"/>
      <c r="H16" s="17"/>
      <c r="I16" s="83"/>
      <c r="J16" s="81">
        <f t="shared" si="0"/>
        <v>350.14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>
        <v>120</v>
      </c>
      <c r="C17" s="15"/>
      <c r="D17" s="56"/>
      <c r="E17" s="16"/>
      <c r="F17" s="56"/>
      <c r="G17" s="56"/>
      <c r="H17" s="17"/>
      <c r="I17" s="83"/>
      <c r="J17" s="81">
        <f t="shared" si="0"/>
        <v>120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690</v>
      </c>
      <c r="C18" s="15"/>
      <c r="D18" s="56"/>
      <c r="E18" s="16"/>
      <c r="F18" s="56"/>
      <c r="G18" s="56"/>
      <c r="H18" s="17"/>
      <c r="I18" s="83"/>
      <c r="J18" s="81">
        <f t="shared" si="0"/>
        <v>690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986</v>
      </c>
      <c r="C19" s="95"/>
      <c r="D19" s="94"/>
      <c r="E19" s="96"/>
      <c r="F19" s="94"/>
      <c r="G19" s="94"/>
      <c r="H19" s="98"/>
      <c r="I19" s="99"/>
      <c r="J19" s="185">
        <f>B19-I19</f>
        <v>986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5652.7900000000009</v>
      </c>
      <c r="C20" s="95"/>
      <c r="D20" s="94"/>
      <c r="E20" s="96"/>
      <c r="F20" s="94"/>
      <c r="G20" s="94"/>
      <c r="H20" s="98"/>
      <c r="I20" s="99">
        <v>5669.5</v>
      </c>
      <c r="J20" s="185">
        <f t="shared" si="0"/>
        <v>-16.709999999999127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37.54</v>
      </c>
      <c r="C37" s="100"/>
      <c r="D37" s="66"/>
      <c r="E37" s="67"/>
      <c r="F37" s="66"/>
      <c r="G37" s="66"/>
      <c r="H37" s="102"/>
      <c r="I37" s="79">
        <v>37.54</v>
      </c>
      <c r="J37" s="81">
        <f t="shared" si="0"/>
        <v>0</v>
      </c>
      <c r="K37" s="80">
        <v>37.54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215.10420000000002</v>
      </c>
      <c r="C38" s="100"/>
      <c r="D38" s="66"/>
      <c r="E38" s="67"/>
      <c r="F38" s="66"/>
      <c r="G38" s="66"/>
      <c r="H38" s="102"/>
      <c r="I38" s="79">
        <v>215.1</v>
      </c>
      <c r="J38" s="81">
        <f t="shared" si="0"/>
        <v>4.2000000000257387E-3</v>
      </c>
      <c r="K38" s="80">
        <v>215.1</v>
      </c>
      <c r="L38" s="186">
        <f>K38-B38</f>
        <v>-4.2000000000257387E-3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3588.8499999999995</v>
      </c>
      <c r="S42" s="190">
        <f t="shared" si="8"/>
        <v>0</v>
      </c>
      <c r="T42" s="190">
        <f t="shared" si="8"/>
        <v>67.52</v>
      </c>
      <c r="U42" s="190">
        <f t="shared" si="8"/>
        <v>2.9103448275862069</v>
      </c>
      <c r="V42" s="190">
        <f t="shared" si="8"/>
        <v>26.916374999999999</v>
      </c>
      <c r="W42" s="190">
        <f t="shared" si="8"/>
        <v>0</v>
      </c>
      <c r="X42" s="190">
        <f t="shared" si="8"/>
        <v>1.6879999999999999</v>
      </c>
      <c r="Y42" s="190">
        <f t="shared" si="8"/>
        <v>3561.9336249999997</v>
      </c>
      <c r="Z42" s="190">
        <f t="shared" si="8"/>
        <v>0</v>
      </c>
      <c r="AA42" s="190">
        <f t="shared" si="8"/>
        <v>62.921655172413793</v>
      </c>
      <c r="AB42" s="166"/>
    </row>
    <row r="43" spans="1:28" ht="15.75" x14ac:dyDescent="0.25">
      <c r="A43" s="93" t="s">
        <v>103</v>
      </c>
      <c r="B43" s="97">
        <f>+B37+B39+B41</f>
        <v>37.54</v>
      </c>
      <c r="C43" s="95"/>
      <c r="D43" s="94"/>
      <c r="E43" s="96"/>
      <c r="F43" s="94"/>
      <c r="G43" s="94"/>
      <c r="H43" s="98"/>
      <c r="I43" s="99">
        <v>37.54</v>
      </c>
      <c r="J43" s="185">
        <f t="shared" si="0"/>
        <v>0</v>
      </c>
      <c r="K43" s="99">
        <v>37.54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215.10420000000002</v>
      </c>
      <c r="C44" s="95"/>
      <c r="D44" s="94"/>
      <c r="E44" s="96"/>
      <c r="F44" s="94"/>
      <c r="G44" s="94"/>
      <c r="H44" s="98"/>
      <c r="I44" s="99">
        <v>215.1</v>
      </c>
      <c r="J44" s="185">
        <f t="shared" si="0"/>
        <v>4.2000000000257387E-3</v>
      </c>
      <c r="K44" s="99">
        <v>215.1</v>
      </c>
      <c r="L44" s="187">
        <f>K44-B44</f>
        <v>-4.2000000000257387E-3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3588.8499999999995</v>
      </c>
      <c r="C46" s="116">
        <v>7.4999999999999997E-3</v>
      </c>
      <c r="D46" s="117">
        <f>B46*C46</f>
        <v>26.916374999999995</v>
      </c>
      <c r="E46" s="172">
        <v>0</v>
      </c>
      <c r="F46" s="117">
        <f t="shared" ref="F46:F50" si="15">D46*E46</f>
        <v>0</v>
      </c>
      <c r="G46" s="117">
        <f t="shared" ref="G46:G51" si="16">B46-D46-F46</f>
        <v>3561.9336249999997</v>
      </c>
      <c r="H46" s="173">
        <f>B$6+1</f>
        <v>44769</v>
      </c>
      <c r="I46" s="174"/>
      <c r="J46" s="81">
        <f t="shared" si="0"/>
        <v>3588.8499999999995</v>
      </c>
      <c r="K46" s="80"/>
      <c r="L46" s="186">
        <f t="shared" ref="L46:L64" si="17">+G46-K46</f>
        <v>3561.9336249999997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44769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2793.69</v>
      </c>
      <c r="C49" s="116">
        <v>7.4999999999999997E-3</v>
      </c>
      <c r="D49" s="117">
        <f t="shared" si="18"/>
        <v>20.952674999999999</v>
      </c>
      <c r="E49" s="172">
        <v>0</v>
      </c>
      <c r="F49" s="117">
        <f t="shared" si="15"/>
        <v>0</v>
      </c>
      <c r="G49" s="117">
        <f t="shared" si="16"/>
        <v>2772.7373250000001</v>
      </c>
      <c r="H49" s="173">
        <f t="shared" si="19"/>
        <v>44769</v>
      </c>
      <c r="I49" s="176"/>
      <c r="J49" s="81">
        <f t="shared" si="0"/>
        <v>2793.69</v>
      </c>
      <c r="K49" s="80"/>
      <c r="L49" s="186">
        <f t="shared" si="17"/>
        <v>2772.7373250000001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421.99</v>
      </c>
      <c r="C50" s="116">
        <v>7.4999999999999997E-3</v>
      </c>
      <c r="D50" s="117">
        <f t="shared" si="18"/>
        <v>3.1649249999999998</v>
      </c>
      <c r="E50" s="172">
        <v>0</v>
      </c>
      <c r="F50" s="117">
        <f t="shared" si="15"/>
        <v>0</v>
      </c>
      <c r="G50" s="117">
        <f t="shared" si="16"/>
        <v>418.82507500000003</v>
      </c>
      <c r="H50" s="173">
        <f t="shared" si="19"/>
        <v>44769</v>
      </c>
      <c r="I50" s="175"/>
      <c r="J50" s="81">
        <f t="shared" si="0"/>
        <v>421.99</v>
      </c>
      <c r="K50" s="80"/>
      <c r="L50" s="186">
        <f t="shared" si="17"/>
        <v>418.82507500000003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529.56000000000006</v>
      </c>
      <c r="C51" s="116">
        <v>1.4999999999999999E-2</v>
      </c>
      <c r="D51" s="117">
        <f>+B51*C51</f>
        <v>7.9434000000000005</v>
      </c>
      <c r="E51" s="172">
        <v>0</v>
      </c>
      <c r="F51" s="117">
        <f>D51*E51</f>
        <v>0</v>
      </c>
      <c r="G51" s="117">
        <f t="shared" si="16"/>
        <v>521.61660000000006</v>
      </c>
      <c r="H51" s="173">
        <f t="shared" si="19"/>
        <v>44769</v>
      </c>
      <c r="I51" s="175"/>
      <c r="J51" s="81">
        <f t="shared" si="0"/>
        <v>529.56000000000006</v>
      </c>
      <c r="K51" s="80"/>
      <c r="L51" s="186">
        <f t="shared" si="17"/>
        <v>521.61660000000006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67.52</v>
      </c>
      <c r="C52" s="116">
        <v>2.5000000000000001E-2</v>
      </c>
      <c r="D52" s="117">
        <f>B52*C52</f>
        <v>1.6879999999999999</v>
      </c>
      <c r="E52" s="172">
        <v>0.05</v>
      </c>
      <c r="F52" s="117">
        <f>(B52/E$10)*E52</f>
        <v>2.9103448275862069</v>
      </c>
      <c r="G52" s="117">
        <f>B52-D52-F52</f>
        <v>62.921655172413786</v>
      </c>
      <c r="H52" s="188">
        <f t="shared" si="19"/>
        <v>44769</v>
      </c>
      <c r="I52" s="176"/>
      <c r="J52" s="81">
        <f t="shared" si="0"/>
        <v>67.52</v>
      </c>
      <c r="K52" s="80"/>
      <c r="L52" s="186">
        <f t="shared" si="17"/>
        <v>62.921655172413786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31.9</v>
      </c>
      <c r="C56" s="116">
        <v>2.5000000000000001E-2</v>
      </c>
      <c r="D56" s="117">
        <f t="shared" si="20"/>
        <v>0.79749999999999999</v>
      </c>
      <c r="E56" s="172">
        <v>0.05</v>
      </c>
      <c r="F56" s="117">
        <f t="shared" si="21"/>
        <v>1.375</v>
      </c>
      <c r="G56" s="117">
        <f t="shared" si="22"/>
        <v>29.727499999999999</v>
      </c>
      <c r="H56" s="173">
        <f t="shared" si="19"/>
        <v>44769</v>
      </c>
      <c r="I56" s="176">
        <v>99.42</v>
      </c>
      <c r="J56" s="81">
        <f t="shared" si="0"/>
        <v>-67.52000000000001</v>
      </c>
      <c r="K56" s="80"/>
      <c r="L56" s="186">
        <f t="shared" si="17"/>
        <v>29.727499999999999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61.462874999999997</v>
      </c>
      <c r="E61" s="177"/>
      <c r="F61" s="57">
        <f>SUM(F46:F58)</f>
        <v>4.2853448275862069</v>
      </c>
      <c r="G61" s="57">
        <f>SUM(G46:G58)</f>
        <v>7367.7617801724136</v>
      </c>
      <c r="H61" s="173">
        <f t="shared" si="19"/>
        <v>44769</v>
      </c>
      <c r="I61" s="175"/>
      <c r="J61" s="81">
        <f t="shared" si="0"/>
        <v>0</v>
      </c>
      <c r="K61" s="80"/>
      <c r="L61" s="186">
        <f t="shared" si="17"/>
        <v>7367.7617801724136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44769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14735.523560344827</v>
      </c>
      <c r="H64" s="184"/>
      <c r="I64" s="175"/>
      <c r="J64" s="81">
        <f t="shared" si="0"/>
        <v>0</v>
      </c>
      <c r="K64" s="80"/>
      <c r="L64" s="186">
        <f t="shared" si="17"/>
        <v>14735.523560344827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14952.404200000001</v>
      </c>
      <c r="G65" s="22"/>
      <c r="L65" s="132"/>
      <c r="M65" s="131"/>
      <c r="N65" s="87">
        <v>2</v>
      </c>
      <c r="O65" s="122" t="s">
        <v>176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176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/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176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14930.83</v>
      </c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-14930.83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199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21.574200000000928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199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199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200</v>
      </c>
      <c r="P73" s="228">
        <v>831</v>
      </c>
      <c r="Q73" s="228">
        <v>2002</v>
      </c>
      <c r="R73" s="222">
        <v>1613.21</v>
      </c>
      <c r="S73" s="228"/>
      <c r="T73" s="222"/>
      <c r="U73" s="189">
        <f t="shared" si="34"/>
        <v>0</v>
      </c>
      <c r="V73" s="189">
        <f t="shared" si="35"/>
        <v>12.099074999999999</v>
      </c>
      <c r="W73" s="189">
        <f t="shared" si="36"/>
        <v>0</v>
      </c>
      <c r="X73" s="189">
        <f t="shared" si="37"/>
        <v>0</v>
      </c>
      <c r="Y73" s="189">
        <f t="shared" si="38"/>
        <v>1601.110925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200</v>
      </c>
      <c r="P74" s="228">
        <v>832</v>
      </c>
      <c r="Q74" s="228">
        <v>2002</v>
      </c>
      <c r="R74" s="222">
        <v>1180.48</v>
      </c>
      <c r="S74" s="228"/>
      <c r="T74" s="228">
        <v>31.9</v>
      </c>
      <c r="U74" s="189">
        <f t="shared" si="34"/>
        <v>1.375</v>
      </c>
      <c r="V74" s="189">
        <f t="shared" si="35"/>
        <v>8.8536000000000001</v>
      </c>
      <c r="W74" s="189">
        <f t="shared" si="36"/>
        <v>0</v>
      </c>
      <c r="X74" s="189">
        <f t="shared" si="37"/>
        <v>0.79749999999999999</v>
      </c>
      <c r="Y74" s="189">
        <f t="shared" si="38"/>
        <v>1171.6264000000001</v>
      </c>
      <c r="Z74" s="189">
        <f t="shared" si="38"/>
        <v>0</v>
      </c>
      <c r="AA74" s="189">
        <f t="shared" si="39"/>
        <v>29.727499999999999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2793.69</v>
      </c>
      <c r="S75" s="192"/>
      <c r="T75" s="192">
        <f>SUM(T70:T74)</f>
        <v>31.9</v>
      </c>
      <c r="U75" s="192">
        <f>SUM(U70:U74)</f>
        <v>1.375</v>
      </c>
      <c r="V75" s="192">
        <f t="shared" ref="V75:AA75" si="41">SUM(V70:V74)</f>
        <v>20.952674999999999</v>
      </c>
      <c r="W75" s="192">
        <f t="shared" si="41"/>
        <v>0</v>
      </c>
      <c r="X75" s="192">
        <f t="shared" si="41"/>
        <v>0.79749999999999999</v>
      </c>
      <c r="Y75" s="192">
        <f t="shared" si="41"/>
        <v>2772.7373250000001</v>
      </c>
      <c r="Z75" s="192">
        <f t="shared" si="41"/>
        <v>0</v>
      </c>
      <c r="AA75" s="193">
        <f t="shared" si="41"/>
        <v>29.727499999999999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>
        <v>25.49</v>
      </c>
      <c r="V78" s="112"/>
      <c r="W78" s="113">
        <v>1.4999999999999999E-2</v>
      </c>
      <c r="X78" s="196">
        <f>+(U78+V78)*W78</f>
        <v>0.38234999999999997</v>
      </c>
      <c r="Y78" s="217">
        <f>+(U78+V78)-X78</f>
        <v>25.10765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50.54</v>
      </c>
      <c r="Q79" s="137">
        <v>55.8</v>
      </c>
      <c r="R79" s="82">
        <v>7.4999999999999997E-3</v>
      </c>
      <c r="S79" s="194">
        <f t="shared" ref="S79:S97" si="43">+(P79+Q79)*R79</f>
        <v>0.79754999999999998</v>
      </c>
      <c r="T79" s="219">
        <f t="shared" ref="T79:T97" si="44">+(P79+Q79)-S79</f>
        <v>105.54245</v>
      </c>
      <c r="U79" s="211">
        <v>266.93</v>
      </c>
      <c r="V79" s="112"/>
      <c r="W79" s="113">
        <v>1.4999999999999999E-2</v>
      </c>
      <c r="X79" s="196">
        <f t="shared" ref="X79:X97" si="45">+(U79+V79)*W79</f>
        <v>4.0039499999999997</v>
      </c>
      <c r="Y79" s="217">
        <f t="shared" ref="Y79:Y97" si="46">+(U79+V79)-X79</f>
        <v>262.92605000000003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37.380000000000003</v>
      </c>
      <c r="Q80" s="137">
        <v>11.78</v>
      </c>
      <c r="R80" s="82">
        <v>7.4999999999999997E-3</v>
      </c>
      <c r="S80" s="194">
        <f t="shared" si="43"/>
        <v>0.36870000000000003</v>
      </c>
      <c r="T80" s="219">
        <f t="shared" si="44"/>
        <v>48.791300000000007</v>
      </c>
      <c r="U80" s="211">
        <v>188.44</v>
      </c>
      <c r="V80" s="112"/>
      <c r="W80" s="113">
        <v>1.4999999999999999E-2</v>
      </c>
      <c r="X80" s="196">
        <f t="shared" si="45"/>
        <v>2.8266</v>
      </c>
      <c r="Y80" s="217">
        <f t="shared" si="46"/>
        <v>185.61339999999998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166.82</v>
      </c>
      <c r="Q81" s="137">
        <v>11.63</v>
      </c>
      <c r="R81" s="82">
        <v>7.4999999999999997E-3</v>
      </c>
      <c r="S81" s="194">
        <f t="shared" si="43"/>
        <v>1.3383749999999999</v>
      </c>
      <c r="T81" s="219">
        <f t="shared" si="44"/>
        <v>177.11162499999998</v>
      </c>
      <c r="U81" s="211">
        <v>35.380000000000003</v>
      </c>
      <c r="V81" s="112"/>
      <c r="W81" s="113">
        <v>1.4999999999999999E-2</v>
      </c>
      <c r="X81" s="196">
        <f t="shared" si="45"/>
        <v>0.53070000000000006</v>
      </c>
      <c r="Y81" s="217">
        <f t="shared" si="46"/>
        <v>34.849299999999999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51.03</v>
      </c>
      <c r="Q82" s="137">
        <v>37.01</v>
      </c>
      <c r="R82" s="82">
        <v>7.4999999999999997E-3</v>
      </c>
      <c r="S82" s="194">
        <f t="shared" si="43"/>
        <v>0.66029999999999989</v>
      </c>
      <c r="T82" s="219">
        <f t="shared" si="44"/>
        <v>87.379699999999985</v>
      </c>
      <c r="U82" s="211">
        <v>13.32</v>
      </c>
      <c r="V82" s="112"/>
      <c r="W82" s="113">
        <v>1.4999999999999999E-2</v>
      </c>
      <c r="X82" s="196">
        <f t="shared" si="45"/>
        <v>0.19980000000000001</v>
      </c>
      <c r="Y82" s="217">
        <f t="shared" si="46"/>
        <v>13.120200000000001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305.77</v>
      </c>
      <c r="Q98" s="195">
        <f>SUM(Q78:Q97)</f>
        <v>116.22</v>
      </c>
      <c r="R98" s="111"/>
      <c r="S98" s="195">
        <f>SUM(S78:S97)</f>
        <v>3.1649249999999998</v>
      </c>
      <c r="T98" s="195">
        <f>SUM(T78:T97)</f>
        <v>418.82507499999997</v>
      </c>
      <c r="U98" s="114">
        <f>SUM(U78:U97)</f>
        <v>529.56000000000006</v>
      </c>
      <c r="V98" s="114">
        <f>SUM(V78:V97)</f>
        <v>0</v>
      </c>
      <c r="W98" s="112"/>
      <c r="X98" s="197">
        <f>SUM(X78:X97)</f>
        <v>7.9433999999999996</v>
      </c>
      <c r="Y98" s="197">
        <f>SUM(Y78:Y97)</f>
        <v>521.61659999999995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 t="shared" ref="Q100:Q105" si="50">P78+Q78+U78</f>
        <v>25.49</v>
      </c>
    </row>
    <row r="101" spans="14:30" x14ac:dyDescent="0.25">
      <c r="N101" s="85"/>
      <c r="Q101" s="215">
        <f>P79+Q79+U79</f>
        <v>373.27</v>
      </c>
    </row>
    <row r="102" spans="14:30" x14ac:dyDescent="0.25">
      <c r="N102" s="85"/>
      <c r="Q102" s="215">
        <f t="shared" si="50"/>
        <v>237.6</v>
      </c>
    </row>
    <row r="103" spans="14:30" x14ac:dyDescent="0.25">
      <c r="N103" s="85"/>
      <c r="Q103" s="215">
        <f>P81+Q81+U81+Z81</f>
        <v>213.82999999999998</v>
      </c>
    </row>
    <row r="104" spans="14:30" x14ac:dyDescent="0.25">
      <c r="N104" s="85"/>
      <c r="Q104" s="215">
        <f t="shared" si="50"/>
        <v>101.35999999999999</v>
      </c>
    </row>
    <row r="105" spans="14:30" x14ac:dyDescent="0.25">
      <c r="N105" s="85"/>
      <c r="Q105" s="218">
        <f t="shared" si="50"/>
        <v>0</v>
      </c>
    </row>
    <row r="106" spans="14:30" x14ac:dyDescent="0.25">
      <c r="N106" s="85"/>
      <c r="Q106" s="224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Q3" zoomScale="90" zoomScaleNormal="90" workbookViewId="0">
      <selection activeCell="S35" sqref="S3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195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/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44769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5.75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1671</v>
      </c>
      <c r="C12" s="15"/>
      <c r="D12" s="56"/>
      <c r="E12" s="16"/>
      <c r="F12" s="56"/>
      <c r="G12" s="56"/>
      <c r="H12" s="17"/>
      <c r="I12" s="83">
        <v>1671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231</v>
      </c>
      <c r="Q12" s="158">
        <v>6</v>
      </c>
      <c r="R12" s="159">
        <v>746.4</v>
      </c>
      <c r="S12" s="160"/>
      <c r="T12" s="160">
        <v>15.01</v>
      </c>
      <c r="U12" s="189">
        <f>((T12/U$10)*U$9)</f>
        <v>0.64698275862068977</v>
      </c>
      <c r="V12" s="189">
        <f>R12*V$10</f>
        <v>5.5979999999999999</v>
      </c>
      <c r="W12" s="189">
        <f>+S12*V$10</f>
        <v>0</v>
      </c>
      <c r="X12" s="189">
        <f>+T12*X$10</f>
        <v>0.37525000000000003</v>
      </c>
      <c r="Y12" s="189">
        <f>R12-V12</f>
        <v>740.80200000000002</v>
      </c>
      <c r="Z12" s="189">
        <f>S12-W12</f>
        <v>0</v>
      </c>
      <c r="AA12" s="189">
        <f>T12-U12-X12</f>
        <v>13.987767241379311</v>
      </c>
      <c r="AB12" s="156"/>
    </row>
    <row r="13" spans="1:28" ht="15.75" x14ac:dyDescent="0.25">
      <c r="A13" s="86" t="s">
        <v>76</v>
      </c>
      <c r="B13" s="89">
        <v>742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742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4266.5</v>
      </c>
      <c r="C14" s="15"/>
      <c r="D14" s="56"/>
      <c r="E14" s="16"/>
      <c r="F14" s="56"/>
      <c r="G14" s="56"/>
      <c r="H14" s="17"/>
      <c r="I14" s="83"/>
      <c r="J14" s="81">
        <f t="shared" si="0"/>
        <v>4266.5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996</v>
      </c>
      <c r="Q15" s="158">
        <v>6</v>
      </c>
      <c r="R15" s="159">
        <v>1246.26</v>
      </c>
      <c r="S15" s="160"/>
      <c r="T15" s="161"/>
      <c r="U15" s="189">
        <f t="shared" si="2"/>
        <v>0</v>
      </c>
      <c r="V15" s="189">
        <f t="shared" si="3"/>
        <v>9.3469499999999996</v>
      </c>
      <c r="W15" s="189">
        <f t="shared" si="4"/>
        <v>0</v>
      </c>
      <c r="X15" s="189">
        <f t="shared" si="5"/>
        <v>0</v>
      </c>
      <c r="Y15" s="189">
        <f t="shared" si="6"/>
        <v>1236.9130499999999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>
        <v>997</v>
      </c>
      <c r="Q16" s="158">
        <v>6</v>
      </c>
      <c r="R16" s="159">
        <v>2057.41</v>
      </c>
      <c r="S16" s="160"/>
      <c r="T16" s="161">
        <v>12.3</v>
      </c>
      <c r="U16" s="189">
        <f t="shared" si="2"/>
        <v>0.53017241379310354</v>
      </c>
      <c r="V16" s="189">
        <f t="shared" si="3"/>
        <v>15.430574999999997</v>
      </c>
      <c r="W16" s="189">
        <f t="shared" si="4"/>
        <v>0</v>
      </c>
      <c r="X16" s="189">
        <f t="shared" si="5"/>
        <v>0.30750000000000005</v>
      </c>
      <c r="Y16" s="189">
        <f t="shared" si="6"/>
        <v>2041.9794249999998</v>
      </c>
      <c r="Z16" s="189">
        <f t="shared" si="6"/>
        <v>0</v>
      </c>
      <c r="AA16" s="189">
        <f t="shared" si="7"/>
        <v>11.462327586206898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742</v>
      </c>
      <c r="C19" s="95"/>
      <c r="D19" s="94"/>
      <c r="E19" s="96"/>
      <c r="F19" s="94"/>
      <c r="G19" s="94"/>
      <c r="H19" s="98"/>
      <c r="I19" s="99">
        <v>742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4266.5</v>
      </c>
      <c r="C20" s="95"/>
      <c r="D20" s="94"/>
      <c r="E20" s="96"/>
      <c r="F20" s="94"/>
      <c r="G20" s="94"/>
      <c r="H20" s="98"/>
      <c r="I20" s="99">
        <v>4281.3999999999996</v>
      </c>
      <c r="J20" s="185">
        <f t="shared" si="0"/>
        <v>-14.899999999999636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213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4050.0699999999997</v>
      </c>
      <c r="S42" s="190">
        <f t="shared" si="8"/>
        <v>0</v>
      </c>
      <c r="T42" s="190">
        <f t="shared" si="8"/>
        <v>27.310000000000002</v>
      </c>
      <c r="U42" s="190">
        <f t="shared" si="8"/>
        <v>1.1771551724137934</v>
      </c>
      <c r="V42" s="190">
        <f t="shared" si="8"/>
        <v>30.375524999999996</v>
      </c>
      <c r="W42" s="190">
        <f t="shared" si="8"/>
        <v>0</v>
      </c>
      <c r="X42" s="190">
        <f t="shared" si="8"/>
        <v>0.68275000000000008</v>
      </c>
      <c r="Y42" s="190">
        <f t="shared" si="8"/>
        <v>4019.6944749999993</v>
      </c>
      <c r="Z42" s="190">
        <f t="shared" si="8"/>
        <v>0</v>
      </c>
      <c r="AA42" s="190">
        <f t="shared" si="8"/>
        <v>25.450094827586209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4050.0699999999997</v>
      </c>
      <c r="C46" s="116">
        <v>7.4999999999999997E-3</v>
      </c>
      <c r="D46" s="117">
        <f>B46*C46</f>
        <v>30.375524999999996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4019.6944749999998</v>
      </c>
      <c r="H46" s="173">
        <f>B$6+1</f>
        <v>44770</v>
      </c>
      <c r="I46" s="174"/>
      <c r="J46" s="81">
        <f t="shared" si="0"/>
        <v>4050.0699999999997</v>
      </c>
      <c r="K46" s="80"/>
      <c r="L46" s="186">
        <f t="shared" ref="L46:L64" si="17">+G46-K46</f>
        <v>4019.6944749999998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44770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1782.79</v>
      </c>
      <c r="C49" s="116">
        <v>7.4999999999999997E-3</v>
      </c>
      <c r="D49" s="117">
        <f t="shared" si="18"/>
        <v>13.370925</v>
      </c>
      <c r="E49" s="172">
        <v>0</v>
      </c>
      <c r="F49" s="117">
        <f t="shared" si="15"/>
        <v>0</v>
      </c>
      <c r="G49" s="117">
        <f t="shared" si="16"/>
        <v>1769.419075</v>
      </c>
      <c r="H49" s="173">
        <f t="shared" si="19"/>
        <v>44770</v>
      </c>
      <c r="I49" s="176"/>
      <c r="J49" s="81">
        <f t="shared" si="0"/>
        <v>1782.79</v>
      </c>
      <c r="K49" s="80"/>
      <c r="L49" s="186">
        <f t="shared" si="17"/>
        <v>1769.419075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790.89999999999986</v>
      </c>
      <c r="C50" s="116">
        <v>7.4999999999999997E-3</v>
      </c>
      <c r="D50" s="117">
        <f t="shared" si="18"/>
        <v>5.9317499999999992</v>
      </c>
      <c r="E50" s="172">
        <v>0</v>
      </c>
      <c r="F50" s="117">
        <f t="shared" si="15"/>
        <v>0</v>
      </c>
      <c r="G50" s="117">
        <f t="shared" si="16"/>
        <v>784.9682499999999</v>
      </c>
      <c r="H50" s="173">
        <f t="shared" si="19"/>
        <v>44770</v>
      </c>
      <c r="I50" s="175"/>
      <c r="J50" s="81">
        <f t="shared" si="0"/>
        <v>790.89999999999986</v>
      </c>
      <c r="K50" s="80"/>
      <c r="L50" s="186">
        <f t="shared" si="17"/>
        <v>784.9682499999999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806.71</v>
      </c>
      <c r="C51" s="116">
        <v>1.4999999999999999E-2</v>
      </c>
      <c r="D51" s="117">
        <f>+B51*C51</f>
        <v>12.10065</v>
      </c>
      <c r="E51" s="172">
        <v>0</v>
      </c>
      <c r="F51" s="117">
        <f>D51*E51</f>
        <v>0</v>
      </c>
      <c r="G51" s="117">
        <f t="shared" si="16"/>
        <v>794.60935000000006</v>
      </c>
      <c r="H51" s="173">
        <f t="shared" si="19"/>
        <v>44770</v>
      </c>
      <c r="I51" s="175"/>
      <c r="J51" s="81">
        <f t="shared" si="0"/>
        <v>806.71</v>
      </c>
      <c r="K51" s="80"/>
      <c r="L51" s="186">
        <f t="shared" si="17"/>
        <v>794.60935000000006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27.310000000000002</v>
      </c>
      <c r="C52" s="116">
        <v>2.5000000000000001E-2</v>
      </c>
      <c r="D52" s="117">
        <f>B52*C52</f>
        <v>0.68275000000000008</v>
      </c>
      <c r="E52" s="172">
        <v>0.05</v>
      </c>
      <c r="F52" s="117">
        <f>(B52/E$10)*E52</f>
        <v>1.1771551724137932</v>
      </c>
      <c r="G52" s="117">
        <f>B52-D52-F52</f>
        <v>25.450094827586209</v>
      </c>
      <c r="H52" s="188">
        <f t="shared" si="19"/>
        <v>44770</v>
      </c>
      <c r="I52" s="176">
        <v>27.31</v>
      </c>
      <c r="J52" s="81">
        <f t="shared" si="0"/>
        <v>0</v>
      </c>
      <c r="K52" s="80"/>
      <c r="L52" s="186">
        <f t="shared" si="17"/>
        <v>25.450094827586209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44770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44770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62.461599999999997</v>
      </c>
      <c r="E61" s="177"/>
      <c r="F61" s="57">
        <f>SUM(F46:F58)</f>
        <v>1.1771551724137932</v>
      </c>
      <c r="G61" s="57">
        <f>SUM(G46:G58)</f>
        <v>7394.141244827586</v>
      </c>
      <c r="H61" s="173">
        <f t="shared" si="19"/>
        <v>44770</v>
      </c>
      <c r="I61" s="175"/>
      <c r="J61" s="81">
        <f t="shared" si="0"/>
        <v>0</v>
      </c>
      <c r="K61" s="80"/>
      <c r="L61" s="186">
        <f t="shared" si="17"/>
        <v>7394.141244827586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44770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14788.282489655172</v>
      </c>
      <c r="H64" s="184"/>
      <c r="I64" s="175"/>
      <c r="J64" s="81">
        <f t="shared" si="0"/>
        <v>0</v>
      </c>
      <c r="K64" s="80"/>
      <c r="L64" s="186">
        <f t="shared" si="17"/>
        <v>14788.282489655172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13395.28</v>
      </c>
      <c r="G65" s="22"/>
      <c r="L65" s="132"/>
      <c r="M65" s="131"/>
      <c r="N65" s="87">
        <v>2</v>
      </c>
      <c r="O65" s="122" t="s">
        <v>176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176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13365.29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176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13248.88</v>
      </c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116.41000000000167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193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29.989999999999782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193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193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202</v>
      </c>
      <c r="P73" s="228">
        <v>833</v>
      </c>
      <c r="Q73" s="228">
        <v>2022</v>
      </c>
      <c r="R73" s="222">
        <v>1782.79</v>
      </c>
      <c r="S73" s="228"/>
      <c r="T73" s="228"/>
      <c r="U73" s="189">
        <f t="shared" si="34"/>
        <v>0</v>
      </c>
      <c r="V73" s="189">
        <f t="shared" si="35"/>
        <v>13.370925</v>
      </c>
      <c r="W73" s="189">
        <f t="shared" si="36"/>
        <v>0</v>
      </c>
      <c r="X73" s="189">
        <f t="shared" si="37"/>
        <v>0</v>
      </c>
      <c r="Y73" s="189">
        <f t="shared" si="38"/>
        <v>1769.419075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202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1782.79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13.370925</v>
      </c>
      <c r="W75" s="192">
        <f t="shared" si="41"/>
        <v>0</v>
      </c>
      <c r="X75" s="192">
        <f t="shared" si="41"/>
        <v>0</v>
      </c>
      <c r="Y75" s="192">
        <f t="shared" si="41"/>
        <v>1769.419075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308.96+138.6+135.52</f>
        <v>583.07999999999993</v>
      </c>
      <c r="R78" s="82">
        <v>7.4999999999999997E-3</v>
      </c>
      <c r="S78" s="216">
        <f>+(P78+Q78)*R78</f>
        <v>4.3730999999999991</v>
      </c>
      <c r="T78" s="213">
        <f>+(P78+Q78)-S78</f>
        <v>578.70689999999991</v>
      </c>
      <c r="U78" s="211">
        <f>276.28+255.19</f>
        <v>531.47</v>
      </c>
      <c r="V78" s="112"/>
      <c r="W78" s="113">
        <v>1.4999999999999999E-2</v>
      </c>
      <c r="X78" s="217">
        <f>+(U78+V78)*W78</f>
        <v>7.9720500000000003</v>
      </c>
      <c r="Y78" s="242">
        <f>+(U78+V78)-X78</f>
        <v>523.49795000000006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f>102.56+19.94+85.32</f>
        <v>207.82</v>
      </c>
      <c r="R79" s="82">
        <v>7.4999999999999997E-3</v>
      </c>
      <c r="S79" s="216">
        <f>+(P79+Q79)*R79</f>
        <v>1.5586499999999999</v>
      </c>
      <c r="T79" s="219">
        <f>+(P79+Q79)-S79</f>
        <v>206.26134999999999</v>
      </c>
      <c r="U79" s="211">
        <f>122.96+152.28</f>
        <v>275.24</v>
      </c>
      <c r="V79" s="112"/>
      <c r="W79" s="113">
        <v>1.4999999999999999E-2</v>
      </c>
      <c r="X79" s="217">
        <f t="shared" ref="X79:X97" si="43">+(U79+V79)*W79</f>
        <v>4.1285999999999996</v>
      </c>
      <c r="Y79" s="242">
        <f t="shared" ref="Y79:Y97" si="44">+(U79+V79)-X79</f>
        <v>271.1114</v>
      </c>
      <c r="Z79" s="87"/>
      <c r="AA79" s="189">
        <f t="shared" si="42"/>
        <v>0</v>
      </c>
      <c r="AB79" s="189">
        <f t="shared" ref="AB79:AB97" si="45">+Z79*X$10</f>
        <v>0</v>
      </c>
      <c r="AC79" s="189">
        <f t="shared" ref="AC79:AC97" si="46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/>
      <c r="R80" s="82">
        <v>7.4999999999999997E-3</v>
      </c>
      <c r="S80" s="216">
        <f t="shared" ref="S80:S97" si="47">+(P80+Q80)*R80</f>
        <v>0</v>
      </c>
      <c r="T80" s="219">
        <f t="shared" ref="T80:T97" si="48">+(P80+Q80)-S80</f>
        <v>0</v>
      </c>
      <c r="U80" s="211"/>
      <c r="V80" s="112"/>
      <c r="W80" s="113">
        <v>1.4999999999999999E-2</v>
      </c>
      <c r="X80" s="217">
        <f t="shared" si="43"/>
        <v>0</v>
      </c>
      <c r="Y80" s="213">
        <f t="shared" si="44"/>
        <v>0</v>
      </c>
      <c r="Z80" s="87"/>
      <c r="AA80" s="189">
        <f t="shared" si="42"/>
        <v>0</v>
      </c>
      <c r="AB80" s="189">
        <f t="shared" si="45"/>
        <v>0</v>
      </c>
      <c r="AC80" s="189">
        <f t="shared" si="46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216">
        <f t="shared" si="47"/>
        <v>0</v>
      </c>
      <c r="T81" s="219">
        <f t="shared" si="48"/>
        <v>0</v>
      </c>
      <c r="U81" s="211"/>
      <c r="V81" s="112"/>
      <c r="W81" s="113">
        <v>1.4999999999999999E-2</v>
      </c>
      <c r="X81" s="217">
        <f t="shared" si="43"/>
        <v>0</v>
      </c>
      <c r="Y81" s="213">
        <f t="shared" si="44"/>
        <v>0</v>
      </c>
      <c r="Z81" s="87"/>
      <c r="AA81" s="189">
        <f t="shared" si="42"/>
        <v>0</v>
      </c>
      <c r="AB81" s="189">
        <f t="shared" si="45"/>
        <v>0</v>
      </c>
      <c r="AC81" s="189">
        <f t="shared" si="46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7"/>
        <v>0</v>
      </c>
      <c r="T82" s="219">
        <f t="shared" si="48"/>
        <v>0</v>
      </c>
      <c r="U82" s="211"/>
      <c r="V82" s="112"/>
      <c r="W82" s="113">
        <v>1.4999999999999999E-2</v>
      </c>
      <c r="X82" s="217">
        <f t="shared" si="43"/>
        <v>0</v>
      </c>
      <c r="Y82" s="244">
        <f t="shared" si="44"/>
        <v>0</v>
      </c>
      <c r="Z82" s="87"/>
      <c r="AA82" s="189">
        <f t="shared" si="42"/>
        <v>0</v>
      </c>
      <c r="AB82" s="189">
        <f t="shared" si="45"/>
        <v>0</v>
      </c>
      <c r="AC82" s="189">
        <f t="shared" si="46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7"/>
        <v>0</v>
      </c>
      <c r="T83" s="219">
        <f t="shared" si="48"/>
        <v>0</v>
      </c>
      <c r="U83" s="112"/>
      <c r="V83" s="112"/>
      <c r="W83" s="113">
        <v>1.4999999999999999E-2</v>
      </c>
      <c r="X83" s="196">
        <f t="shared" si="43"/>
        <v>0</v>
      </c>
      <c r="Y83" s="244">
        <f t="shared" si="44"/>
        <v>0</v>
      </c>
      <c r="Z83" s="87"/>
      <c r="AA83" s="189">
        <f t="shared" si="42"/>
        <v>0</v>
      </c>
      <c r="AB83" s="189">
        <f t="shared" si="45"/>
        <v>0</v>
      </c>
      <c r="AC83" s="189">
        <f t="shared" si="46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7"/>
        <v>0</v>
      </c>
      <c r="T84" s="220">
        <f t="shared" si="48"/>
        <v>0</v>
      </c>
      <c r="U84" s="112"/>
      <c r="V84" s="112"/>
      <c r="W84" s="113">
        <v>1.4999999999999999E-2</v>
      </c>
      <c r="X84" s="196">
        <f t="shared" si="43"/>
        <v>0</v>
      </c>
      <c r="Y84" s="196">
        <f t="shared" si="44"/>
        <v>0</v>
      </c>
      <c r="Z84" s="87"/>
      <c r="AA84" s="189">
        <f t="shared" si="42"/>
        <v>0</v>
      </c>
      <c r="AB84" s="189">
        <f t="shared" si="45"/>
        <v>0</v>
      </c>
      <c r="AC84" s="189">
        <f t="shared" si="46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7"/>
        <v>0</v>
      </c>
      <c r="T85" s="220">
        <f t="shared" si="48"/>
        <v>0</v>
      </c>
      <c r="U85" s="112"/>
      <c r="V85" s="112"/>
      <c r="W85" s="113">
        <v>1.4999999999999999E-2</v>
      </c>
      <c r="X85" s="196">
        <f t="shared" si="43"/>
        <v>0</v>
      </c>
      <c r="Y85" s="196">
        <f t="shared" si="44"/>
        <v>0</v>
      </c>
      <c r="Z85" s="87"/>
      <c r="AA85" s="189">
        <f t="shared" si="42"/>
        <v>0</v>
      </c>
      <c r="AB85" s="189">
        <f t="shared" si="45"/>
        <v>0</v>
      </c>
      <c r="AC85" s="189">
        <f t="shared" si="46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7"/>
        <v>0</v>
      </c>
      <c r="T86" s="220">
        <f t="shared" si="48"/>
        <v>0</v>
      </c>
      <c r="U86" s="112"/>
      <c r="V86" s="112"/>
      <c r="W86" s="113">
        <v>1.4999999999999999E-2</v>
      </c>
      <c r="X86" s="196">
        <f t="shared" si="43"/>
        <v>0</v>
      </c>
      <c r="Y86" s="196">
        <f t="shared" si="44"/>
        <v>0</v>
      </c>
      <c r="Z86" s="87"/>
      <c r="AA86" s="189">
        <f t="shared" si="42"/>
        <v>0</v>
      </c>
      <c r="AB86" s="189">
        <f t="shared" si="45"/>
        <v>0</v>
      </c>
      <c r="AC86" s="189">
        <f t="shared" si="46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7"/>
        <v>0</v>
      </c>
      <c r="T87" s="220">
        <f t="shared" si="48"/>
        <v>0</v>
      </c>
      <c r="U87" s="112"/>
      <c r="V87" s="112"/>
      <c r="W87" s="113">
        <v>1.4999999999999999E-2</v>
      </c>
      <c r="X87" s="196">
        <f t="shared" si="43"/>
        <v>0</v>
      </c>
      <c r="Y87" s="196">
        <f t="shared" si="44"/>
        <v>0</v>
      </c>
      <c r="Z87" s="87"/>
      <c r="AA87" s="189">
        <f t="shared" si="42"/>
        <v>0</v>
      </c>
      <c r="AB87" s="189">
        <f t="shared" si="45"/>
        <v>0</v>
      </c>
      <c r="AC87" s="189">
        <f t="shared" si="46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7"/>
        <v>0</v>
      </c>
      <c r="T88" s="194">
        <f t="shared" si="48"/>
        <v>0</v>
      </c>
      <c r="U88" s="112"/>
      <c r="V88" s="112"/>
      <c r="W88" s="113">
        <v>1.4999999999999999E-2</v>
      </c>
      <c r="X88" s="196">
        <f t="shared" si="43"/>
        <v>0</v>
      </c>
      <c r="Y88" s="196">
        <f t="shared" si="44"/>
        <v>0</v>
      </c>
      <c r="Z88" s="87"/>
      <c r="AA88" s="189">
        <f t="shared" si="42"/>
        <v>0</v>
      </c>
      <c r="AB88" s="189">
        <f t="shared" si="45"/>
        <v>0</v>
      </c>
      <c r="AC88" s="189">
        <f t="shared" si="46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7"/>
        <v>0</v>
      </c>
      <c r="T89" s="194">
        <f t="shared" si="48"/>
        <v>0</v>
      </c>
      <c r="U89" s="112"/>
      <c r="V89" s="112"/>
      <c r="W89" s="113">
        <v>1.4999999999999999E-2</v>
      </c>
      <c r="X89" s="196">
        <f t="shared" si="43"/>
        <v>0</v>
      </c>
      <c r="Y89" s="196">
        <f t="shared" si="44"/>
        <v>0</v>
      </c>
      <c r="Z89" s="87"/>
      <c r="AA89" s="189">
        <f t="shared" si="42"/>
        <v>0</v>
      </c>
      <c r="AB89" s="189">
        <f t="shared" si="45"/>
        <v>0</v>
      </c>
      <c r="AC89" s="189">
        <f t="shared" si="46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7"/>
        <v>0</v>
      </c>
      <c r="T90" s="194">
        <f t="shared" si="48"/>
        <v>0</v>
      </c>
      <c r="U90" s="112"/>
      <c r="V90" s="112"/>
      <c r="W90" s="113">
        <v>1.4999999999999999E-2</v>
      </c>
      <c r="X90" s="196">
        <f t="shared" si="43"/>
        <v>0</v>
      </c>
      <c r="Y90" s="196">
        <f t="shared" si="44"/>
        <v>0</v>
      </c>
      <c r="Z90" s="87"/>
      <c r="AA90" s="189">
        <f t="shared" si="42"/>
        <v>0</v>
      </c>
      <c r="AB90" s="189">
        <f t="shared" si="45"/>
        <v>0</v>
      </c>
      <c r="AC90" s="189">
        <f t="shared" si="46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7"/>
        <v>0</v>
      </c>
      <c r="T91" s="194">
        <f t="shared" si="48"/>
        <v>0</v>
      </c>
      <c r="U91" s="112"/>
      <c r="V91" s="112"/>
      <c r="W91" s="113">
        <v>1.4999999999999999E-2</v>
      </c>
      <c r="X91" s="196">
        <f t="shared" si="43"/>
        <v>0</v>
      </c>
      <c r="Y91" s="196">
        <f t="shared" si="44"/>
        <v>0</v>
      </c>
      <c r="Z91" s="87"/>
      <c r="AA91" s="189">
        <f t="shared" si="42"/>
        <v>0</v>
      </c>
      <c r="AB91" s="189">
        <f t="shared" si="45"/>
        <v>0</v>
      </c>
      <c r="AC91" s="189">
        <f t="shared" si="46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7"/>
        <v>0</v>
      </c>
      <c r="T92" s="194">
        <f t="shared" si="48"/>
        <v>0</v>
      </c>
      <c r="U92" s="112"/>
      <c r="V92" s="112"/>
      <c r="W92" s="113">
        <v>1.4999999999999999E-2</v>
      </c>
      <c r="X92" s="196">
        <f t="shared" si="43"/>
        <v>0</v>
      </c>
      <c r="Y92" s="196">
        <f t="shared" si="44"/>
        <v>0</v>
      </c>
      <c r="Z92" s="87"/>
      <c r="AA92" s="189">
        <f t="shared" si="42"/>
        <v>0</v>
      </c>
      <c r="AB92" s="189">
        <f t="shared" si="45"/>
        <v>0</v>
      </c>
      <c r="AC92" s="189">
        <f t="shared" si="46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7"/>
        <v>0</v>
      </c>
      <c r="T93" s="194">
        <f t="shared" si="48"/>
        <v>0</v>
      </c>
      <c r="U93" s="112"/>
      <c r="V93" s="112"/>
      <c r="W93" s="113">
        <v>1.4999999999999999E-2</v>
      </c>
      <c r="X93" s="196">
        <f t="shared" si="43"/>
        <v>0</v>
      </c>
      <c r="Y93" s="196">
        <f t="shared" si="44"/>
        <v>0</v>
      </c>
      <c r="Z93" s="87"/>
      <c r="AA93" s="189">
        <f t="shared" si="42"/>
        <v>0</v>
      </c>
      <c r="AB93" s="189">
        <f t="shared" si="45"/>
        <v>0</v>
      </c>
      <c r="AC93" s="189">
        <f t="shared" si="46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7"/>
        <v>0</v>
      </c>
      <c r="T94" s="194">
        <f t="shared" si="48"/>
        <v>0</v>
      </c>
      <c r="U94" s="112"/>
      <c r="V94" s="112"/>
      <c r="W94" s="113">
        <v>1.4999999999999999E-2</v>
      </c>
      <c r="X94" s="196">
        <f t="shared" si="43"/>
        <v>0</v>
      </c>
      <c r="Y94" s="196">
        <f t="shared" si="44"/>
        <v>0</v>
      </c>
      <c r="Z94" s="87"/>
      <c r="AA94" s="189">
        <f t="shared" si="42"/>
        <v>0</v>
      </c>
      <c r="AB94" s="189">
        <f t="shared" si="45"/>
        <v>0</v>
      </c>
      <c r="AC94" s="189">
        <f t="shared" si="46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7"/>
        <v>0</v>
      </c>
      <c r="T95" s="194">
        <f t="shared" si="48"/>
        <v>0</v>
      </c>
      <c r="U95" s="112"/>
      <c r="V95" s="112"/>
      <c r="W95" s="113">
        <v>1.4999999999999999E-2</v>
      </c>
      <c r="X95" s="196">
        <f t="shared" si="43"/>
        <v>0</v>
      </c>
      <c r="Y95" s="196">
        <f t="shared" si="44"/>
        <v>0</v>
      </c>
      <c r="Z95" s="87"/>
      <c r="AA95" s="189">
        <f t="shared" si="42"/>
        <v>0</v>
      </c>
      <c r="AB95" s="189">
        <f t="shared" si="45"/>
        <v>0</v>
      </c>
      <c r="AC95" s="189">
        <f t="shared" si="46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7"/>
        <v>0</v>
      </c>
      <c r="T96" s="194">
        <f t="shared" si="48"/>
        <v>0</v>
      </c>
      <c r="U96" s="112"/>
      <c r="V96" s="112"/>
      <c r="W96" s="113">
        <v>1.4999999999999999E-2</v>
      </c>
      <c r="X96" s="196">
        <f t="shared" si="43"/>
        <v>0</v>
      </c>
      <c r="Y96" s="196">
        <f t="shared" si="44"/>
        <v>0</v>
      </c>
      <c r="Z96" s="87"/>
      <c r="AA96" s="189">
        <f t="shared" si="42"/>
        <v>0</v>
      </c>
      <c r="AB96" s="189">
        <f t="shared" si="45"/>
        <v>0</v>
      </c>
      <c r="AC96" s="189">
        <f t="shared" si="46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7"/>
        <v>0</v>
      </c>
      <c r="T97" s="194">
        <f t="shared" si="48"/>
        <v>0</v>
      </c>
      <c r="U97" s="112"/>
      <c r="V97" s="112"/>
      <c r="W97" s="113">
        <v>1.4999999999999999E-2</v>
      </c>
      <c r="X97" s="196">
        <f t="shared" si="43"/>
        <v>0</v>
      </c>
      <c r="Y97" s="196">
        <f t="shared" si="44"/>
        <v>0</v>
      </c>
      <c r="Z97" s="87"/>
      <c r="AA97" s="189">
        <f t="shared" si="42"/>
        <v>0</v>
      </c>
      <c r="AB97" s="189">
        <f t="shared" si="45"/>
        <v>0</v>
      </c>
      <c r="AC97" s="189">
        <f t="shared" si="46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790.89999999999986</v>
      </c>
      <c r="R98" s="111"/>
      <c r="S98" s="195">
        <f>SUM(S78:S97)</f>
        <v>5.9317499999999992</v>
      </c>
      <c r="T98" s="195">
        <f>SUM(T78:T97)</f>
        <v>784.9682499999999</v>
      </c>
      <c r="U98" s="114">
        <f>SUM(U78:U97)</f>
        <v>806.71</v>
      </c>
      <c r="V98" s="114">
        <f>SUM(V78:V97)</f>
        <v>0</v>
      </c>
      <c r="W98" s="112"/>
      <c r="X98" s="197">
        <f>SUM(X78:X97)</f>
        <v>12.10065</v>
      </c>
      <c r="Y98" s="197">
        <f>SUM(Y78:Y97)</f>
        <v>794.60935000000006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8">
        <f>P78+U78+Q78</f>
        <v>1114.55</v>
      </c>
    </row>
    <row r="102" spans="14:30" x14ac:dyDescent="0.25">
      <c r="N102" s="85"/>
      <c r="P102" s="218">
        <f>P79+U79+Q79</f>
        <v>483.06</v>
      </c>
    </row>
    <row r="103" spans="14:30" x14ac:dyDescent="0.25">
      <c r="N103" s="85"/>
      <c r="P103" s="218">
        <f>P80+Q80+U80</f>
        <v>0</v>
      </c>
    </row>
    <row r="104" spans="14:30" x14ac:dyDescent="0.25">
      <c r="N104" s="85"/>
      <c r="P104" s="218">
        <f>P81+U81+Q81</f>
        <v>0</v>
      </c>
    </row>
    <row r="105" spans="14:30" x14ac:dyDescent="0.25">
      <c r="N105" s="85"/>
      <c r="P105" s="218">
        <f>P82+Q82+U82</f>
        <v>0</v>
      </c>
    </row>
    <row r="106" spans="14:30" x14ac:dyDescent="0.25">
      <c r="N106" s="85"/>
      <c r="P106" s="238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55" zoomScale="90" zoomScaleNormal="90" workbookViewId="0">
      <selection activeCell="K83" sqref="K8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190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/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44770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5.78</v>
      </c>
      <c r="C8" s="85" t="s">
        <v>94</v>
      </c>
      <c r="D8" s="108"/>
    </row>
    <row r="9" spans="1:28" x14ac:dyDescent="0.25">
      <c r="A9" s="7" t="s">
        <v>78</v>
      </c>
      <c r="B9" s="108">
        <v>5.77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1352</v>
      </c>
      <c r="C12" s="15"/>
      <c r="D12" s="56"/>
      <c r="E12" s="16"/>
      <c r="F12" s="56"/>
      <c r="G12" s="56"/>
      <c r="H12" s="17"/>
      <c r="I12" s="83">
        <v>1352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232</v>
      </c>
      <c r="Q12" s="158">
        <v>6</v>
      </c>
      <c r="R12" s="240">
        <v>1124.1099999999999</v>
      </c>
      <c r="S12" s="160"/>
      <c r="T12" s="160"/>
      <c r="U12" s="189">
        <f>((T12/U$10)*U$9)</f>
        <v>0</v>
      </c>
      <c r="V12" s="189">
        <f>R12*V$10</f>
        <v>8.4308249999999987</v>
      </c>
      <c r="W12" s="189">
        <f>+S12*V$10</f>
        <v>0</v>
      </c>
      <c r="X12" s="189">
        <f>+T12*X$10</f>
        <v>0</v>
      </c>
      <c r="Y12" s="189">
        <f>R12-V12</f>
        <v>1115.679175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459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459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>
        <v>233</v>
      </c>
      <c r="Q13" s="158">
        <v>6</v>
      </c>
      <c r="R13" s="240">
        <v>1328.67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9.9650250000000007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1318.7049750000001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2653.02</v>
      </c>
      <c r="C14" s="15"/>
      <c r="D14" s="56"/>
      <c r="E14" s="16"/>
      <c r="F14" s="56"/>
      <c r="G14" s="56"/>
      <c r="H14" s="17"/>
      <c r="I14" s="83"/>
      <c r="J14" s="81">
        <f t="shared" si="0"/>
        <v>2653.02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563</v>
      </c>
      <c r="C15" s="15"/>
      <c r="D15" s="56"/>
      <c r="E15" s="16"/>
      <c r="F15" s="56"/>
      <c r="G15" s="56"/>
      <c r="H15" s="17"/>
      <c r="I15" s="83"/>
      <c r="J15" s="81">
        <f t="shared" si="0"/>
        <v>563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998</v>
      </c>
      <c r="Q15" s="158">
        <v>6</v>
      </c>
      <c r="R15" s="159">
        <v>2065.65</v>
      </c>
      <c r="S15" s="160"/>
      <c r="T15" s="161"/>
      <c r="U15" s="189">
        <f t="shared" si="2"/>
        <v>0</v>
      </c>
      <c r="V15" s="189">
        <f t="shared" si="3"/>
        <v>15.492375000000001</v>
      </c>
      <c r="W15" s="189">
        <f t="shared" si="4"/>
        <v>0</v>
      </c>
      <c r="X15" s="189">
        <f t="shared" si="5"/>
        <v>0</v>
      </c>
      <c r="Y15" s="189">
        <f t="shared" si="6"/>
        <v>2050.1576250000003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3248.5099999999998</v>
      </c>
      <c r="C16" s="15"/>
      <c r="D16" s="56"/>
      <c r="E16" s="16"/>
      <c r="F16" s="56"/>
      <c r="G16" s="56"/>
      <c r="H16" s="17"/>
      <c r="I16" s="83"/>
      <c r="J16" s="81">
        <f t="shared" si="0"/>
        <v>3248.5099999999998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1022</v>
      </c>
      <c r="C19" s="95"/>
      <c r="D19" s="94"/>
      <c r="E19" s="96"/>
      <c r="F19" s="94"/>
      <c r="G19" s="94"/>
      <c r="H19" s="98"/>
      <c r="I19" s="99">
        <v>1022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5901.53</v>
      </c>
      <c r="C20" s="95"/>
      <c r="D20" s="94"/>
      <c r="E20" s="96"/>
      <c r="F20" s="94"/>
      <c r="G20" s="94"/>
      <c r="H20" s="98"/>
      <c r="I20" s="99">
        <v>5907.16</v>
      </c>
      <c r="J20" s="185">
        <f t="shared" si="0"/>
        <v>-5.6300000000001091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>
        <v>11.05</v>
      </c>
      <c r="C39" s="100"/>
      <c r="D39" s="66"/>
      <c r="E39" s="67"/>
      <c r="F39" s="66"/>
      <c r="G39" s="66"/>
      <c r="H39" s="102"/>
      <c r="I39" s="79"/>
      <c r="J39" s="81">
        <f t="shared" si="0"/>
        <v>11.05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63.758499999999998</v>
      </c>
      <c r="C40" s="100"/>
      <c r="D40" s="66"/>
      <c r="E40" s="67"/>
      <c r="F40" s="66"/>
      <c r="G40" s="66"/>
      <c r="H40" s="102"/>
      <c r="I40" s="79"/>
      <c r="J40" s="81">
        <f t="shared" si="0"/>
        <v>63.758499999999998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4518.43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33.888224999999998</v>
      </c>
      <c r="W42" s="190">
        <f t="shared" si="8"/>
        <v>0</v>
      </c>
      <c r="X42" s="190">
        <f t="shared" si="8"/>
        <v>0</v>
      </c>
      <c r="Y42" s="190">
        <f t="shared" si="8"/>
        <v>4484.5417749999997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11.05</v>
      </c>
      <c r="C43" s="95"/>
      <c r="D43" s="94"/>
      <c r="E43" s="96"/>
      <c r="F43" s="94"/>
      <c r="G43" s="94"/>
      <c r="H43" s="98"/>
      <c r="I43" s="99">
        <v>11.05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63.758499999999998</v>
      </c>
      <c r="C44" s="95"/>
      <c r="D44" s="94"/>
      <c r="E44" s="96"/>
      <c r="F44" s="94"/>
      <c r="G44" s="94"/>
      <c r="H44" s="98"/>
      <c r="I44" s="99"/>
      <c r="J44" s="185">
        <f t="shared" si="0"/>
        <v>63.758499999999998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4518.43</v>
      </c>
      <c r="C46" s="116">
        <v>7.4999999999999997E-3</v>
      </c>
      <c r="D46" s="117">
        <f>B46*C46</f>
        <v>33.888224999999998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4484.5417750000006</v>
      </c>
      <c r="H46" s="173">
        <f>B$6+1</f>
        <v>44771</v>
      </c>
      <c r="I46" s="174"/>
      <c r="J46" s="81">
        <f t="shared" si="0"/>
        <v>4518.43</v>
      </c>
      <c r="K46" s="80"/>
      <c r="L46" s="186">
        <f t="shared" ref="L46:L64" si="17">+G46-K46</f>
        <v>4484.5417750000006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2285.42</v>
      </c>
      <c r="C49" s="116">
        <v>7.4999999999999997E-3</v>
      </c>
      <c r="D49" s="117">
        <f t="shared" si="18"/>
        <v>17.140650000000001</v>
      </c>
      <c r="E49" s="172">
        <v>0</v>
      </c>
      <c r="F49" s="117">
        <f t="shared" si="15"/>
        <v>0</v>
      </c>
      <c r="G49" s="117">
        <f t="shared" si="16"/>
        <v>2268.2793500000002</v>
      </c>
      <c r="H49" s="173">
        <f t="shared" si="19"/>
        <v>44771</v>
      </c>
      <c r="I49" s="176"/>
      <c r="J49" s="81">
        <f t="shared" si="0"/>
        <v>2285.42</v>
      </c>
      <c r="K49" s="80"/>
      <c r="L49" s="186">
        <f t="shared" si="17"/>
        <v>2268.2793500000002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1099.44</v>
      </c>
      <c r="C50" s="116">
        <v>7.4999999999999997E-3</v>
      </c>
      <c r="D50" s="117">
        <f t="shared" si="18"/>
        <v>8.2458000000000009</v>
      </c>
      <c r="E50" s="172">
        <v>0</v>
      </c>
      <c r="F50" s="117">
        <f t="shared" si="15"/>
        <v>0</v>
      </c>
      <c r="G50" s="117">
        <f t="shared" si="16"/>
        <v>1091.1942000000001</v>
      </c>
      <c r="H50" s="173">
        <f t="shared" si="19"/>
        <v>44771</v>
      </c>
      <c r="I50" s="175"/>
      <c r="J50" s="81">
        <f t="shared" si="0"/>
        <v>1099.44</v>
      </c>
      <c r="K50" s="80"/>
      <c r="L50" s="186">
        <f t="shared" si="17"/>
        <v>1091.1942000000001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480.24</v>
      </c>
      <c r="C51" s="116">
        <v>1.4999999999999999E-2</v>
      </c>
      <c r="D51" s="117">
        <f>+B51*C51</f>
        <v>7.2035999999999998</v>
      </c>
      <c r="E51" s="172">
        <v>0</v>
      </c>
      <c r="F51" s="117">
        <f>D51*E51</f>
        <v>0</v>
      </c>
      <c r="G51" s="117">
        <f t="shared" si="16"/>
        <v>473.03640000000001</v>
      </c>
      <c r="H51" s="173">
        <f t="shared" si="19"/>
        <v>44771</v>
      </c>
      <c r="I51" s="175"/>
      <c r="J51" s="81">
        <f t="shared" si="0"/>
        <v>480.24</v>
      </c>
      <c r="K51" s="80"/>
      <c r="L51" s="186">
        <f t="shared" si="17"/>
        <v>473.03640000000001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44771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44771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66.478274999999996</v>
      </c>
      <c r="E61" s="177"/>
      <c r="F61" s="57">
        <f>SUM(F46:F58)</f>
        <v>0</v>
      </c>
      <c r="G61" s="57">
        <f>SUM(G46:G58)</f>
        <v>8317.0517250000012</v>
      </c>
      <c r="H61" s="173">
        <f t="shared" si="19"/>
        <v>44771</v>
      </c>
      <c r="I61" s="175"/>
      <c r="J61" s="81">
        <f t="shared" si="0"/>
        <v>0</v>
      </c>
      <c r="K61" s="80"/>
      <c r="L61" s="186">
        <f t="shared" si="17"/>
        <v>8317.0517250000012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16634.103450000002</v>
      </c>
      <c r="H64" s="184"/>
      <c r="I64" s="175"/>
      <c r="J64" s="81">
        <f t="shared" si="0"/>
        <v>0</v>
      </c>
      <c r="K64" s="80"/>
      <c r="L64" s="186">
        <f t="shared" si="17"/>
        <v>16634.103450000002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15700.818499999999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198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15701.36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198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77">
        <v>15536.82</v>
      </c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164.54000000000087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196</v>
      </c>
      <c r="P70" s="87"/>
      <c r="Q70" s="87"/>
      <c r="R70" s="236"/>
      <c r="S70" s="87"/>
      <c r="T70" s="250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-0.54150000000117871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196</v>
      </c>
      <c r="P71" s="87"/>
      <c r="Q71" s="87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196</v>
      </c>
      <c r="P72" s="87"/>
      <c r="Q72" s="87"/>
      <c r="R72" s="222"/>
      <c r="S72" s="87"/>
      <c r="T72" s="13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197</v>
      </c>
      <c r="P73" s="87">
        <v>834</v>
      </c>
      <c r="Q73" s="87"/>
      <c r="R73" s="250">
        <v>786.97</v>
      </c>
      <c r="S73" s="87"/>
      <c r="T73" s="87"/>
      <c r="U73" s="189">
        <f t="shared" si="34"/>
        <v>0</v>
      </c>
      <c r="V73" s="189">
        <f t="shared" si="35"/>
        <v>5.9022750000000004</v>
      </c>
      <c r="W73" s="189">
        <f t="shared" si="36"/>
        <v>0</v>
      </c>
      <c r="X73" s="189">
        <f t="shared" si="37"/>
        <v>0</v>
      </c>
      <c r="Y73" s="189">
        <f t="shared" si="38"/>
        <v>781.067725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197</v>
      </c>
      <c r="P74" s="87">
        <v>835</v>
      </c>
      <c r="Q74" s="87"/>
      <c r="R74" s="87">
        <v>1498.45</v>
      </c>
      <c r="S74" s="87"/>
      <c r="T74" s="137"/>
      <c r="U74" s="189">
        <f t="shared" si="34"/>
        <v>0</v>
      </c>
      <c r="V74" s="189">
        <f t="shared" si="35"/>
        <v>11.238375</v>
      </c>
      <c r="W74" s="189">
        <f t="shared" si="36"/>
        <v>0</v>
      </c>
      <c r="X74" s="189">
        <f t="shared" si="37"/>
        <v>0</v>
      </c>
      <c r="Y74" s="189">
        <f t="shared" si="38"/>
        <v>1487.2116250000001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2285.42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17.140650000000001</v>
      </c>
      <c r="W75" s="192">
        <f t="shared" si="41"/>
        <v>0</v>
      </c>
      <c r="X75" s="192">
        <f t="shared" si="41"/>
        <v>0</v>
      </c>
      <c r="Y75" s="192">
        <f t="shared" si="41"/>
        <v>2268.2793500000002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114.82+33.61+110.03+11.24</f>
        <v>269.70000000000005</v>
      </c>
      <c r="R78" s="82">
        <v>7.4999999999999997E-3</v>
      </c>
      <c r="S78" s="194">
        <f>+(P78+Q78)*R78</f>
        <v>2.0227500000000003</v>
      </c>
      <c r="T78" s="219">
        <f>+(P78+Q78)-S78</f>
        <v>267.67725000000007</v>
      </c>
      <c r="U78" s="112">
        <f>167.83+63.95</f>
        <v>231.78000000000003</v>
      </c>
      <c r="V78" s="112"/>
      <c r="W78" s="113">
        <v>1.4999999999999999E-2</v>
      </c>
      <c r="X78" s="196">
        <f>+(U78+V78)*W78</f>
        <v>3.4767000000000001</v>
      </c>
      <c r="Y78" s="242">
        <f>+(U78+V78)-X78</f>
        <v>228.30330000000004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14.58+63.29+466.69+87.33</f>
        <v>631.89</v>
      </c>
      <c r="R79" s="82">
        <v>7.4999999999999997E-3</v>
      </c>
      <c r="S79" s="194">
        <f t="shared" ref="S79:S97" si="43">+(P79+Q79)*R79</f>
        <v>4.7391749999999995</v>
      </c>
      <c r="T79" s="219">
        <f t="shared" ref="T79:T97" si="44">+(P79+Q79)-S79</f>
        <v>627.15082499999994</v>
      </c>
      <c r="U79" s="211">
        <f>54.48+112</f>
        <v>166.48</v>
      </c>
      <c r="V79" s="112"/>
      <c r="W79" s="113">
        <v>1.4999999999999999E-2</v>
      </c>
      <c r="X79" s="196">
        <f t="shared" ref="X79:X97" si="45">+(U79+V79)*W79</f>
        <v>2.4971999999999999</v>
      </c>
      <c r="Y79" s="242">
        <f t="shared" ref="Y79:Y97" si="46">+(U79+V79)-X79</f>
        <v>163.9828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87">
        <f>127.37+70.48</f>
        <v>197.85000000000002</v>
      </c>
      <c r="R80" s="82">
        <v>7.4999999999999997E-3</v>
      </c>
      <c r="S80" s="194">
        <f t="shared" si="43"/>
        <v>1.4838750000000001</v>
      </c>
      <c r="T80" s="219">
        <f t="shared" si="44"/>
        <v>196.36612500000001</v>
      </c>
      <c r="U80" s="211">
        <v>81.98</v>
      </c>
      <c r="V80" s="112"/>
      <c r="W80" s="113">
        <v>1.4999999999999999E-2</v>
      </c>
      <c r="X80" s="196">
        <f t="shared" si="45"/>
        <v>1.2297</v>
      </c>
      <c r="Y80" s="217">
        <f t="shared" si="46"/>
        <v>80.75030000000001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3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1099.44</v>
      </c>
      <c r="R98" s="111"/>
      <c r="S98" s="195">
        <f>SUM(S78:S97)</f>
        <v>8.2457999999999991</v>
      </c>
      <c r="T98" s="195">
        <f>SUM(T78:T97)</f>
        <v>1091.1941999999999</v>
      </c>
      <c r="U98" s="114">
        <f>SUM(U78:U97)</f>
        <v>480.24</v>
      </c>
      <c r="V98" s="114">
        <f>SUM(V78:V97)</f>
        <v>0</v>
      </c>
      <c r="W98" s="112"/>
      <c r="X98" s="197">
        <f>SUM(X78:X97)</f>
        <v>7.2036000000000007</v>
      </c>
      <c r="Y98" s="197">
        <f>SUM(Y78:Y97)</f>
        <v>473.03640000000007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</row>
    <row r="101" spans="14:30" x14ac:dyDescent="0.25">
      <c r="N101" s="85"/>
      <c r="O101" s="84"/>
      <c r="P101" s="215">
        <f t="shared" ref="P101:P106" si="50">P78+Q78+U78</f>
        <v>501.48000000000008</v>
      </c>
    </row>
    <row r="102" spans="14:30" x14ac:dyDescent="0.25">
      <c r="N102" s="85"/>
      <c r="O102" s="84"/>
      <c r="P102" s="215">
        <f t="shared" si="50"/>
        <v>798.37</v>
      </c>
    </row>
    <row r="103" spans="14:30" x14ac:dyDescent="0.25">
      <c r="N103" s="85"/>
      <c r="O103" s="84"/>
      <c r="P103" s="215">
        <f t="shared" si="50"/>
        <v>279.83000000000004</v>
      </c>
    </row>
    <row r="104" spans="14:30" x14ac:dyDescent="0.25">
      <c r="N104" s="85"/>
      <c r="O104" s="84"/>
      <c r="P104" s="215">
        <f>P81+Q81+U81</f>
        <v>0</v>
      </c>
    </row>
    <row r="105" spans="14:30" x14ac:dyDescent="0.25">
      <c r="N105" s="85"/>
      <c r="O105" s="84"/>
      <c r="P105" s="84">
        <f t="shared" si="50"/>
        <v>0</v>
      </c>
    </row>
    <row r="106" spans="14:30" x14ac:dyDescent="0.25">
      <c r="N106" s="85"/>
      <c r="O106" s="84"/>
      <c r="P106" s="84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V44" zoomScale="90" zoomScaleNormal="90" workbookViewId="0">
      <selection activeCell="Y54" sqref="Y5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190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/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44771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/>
    </row>
    <row r="9" spans="1:28" x14ac:dyDescent="0.25">
      <c r="A9" s="7" t="s">
        <v>78</v>
      </c>
      <c r="B9" s="108">
        <v>5.78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1617.5</v>
      </c>
      <c r="C12" s="15"/>
      <c r="D12" s="56"/>
      <c r="E12" s="16"/>
      <c r="F12" s="56"/>
      <c r="G12" s="56"/>
      <c r="H12" s="17"/>
      <c r="I12" s="83">
        <v>1617.5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260" t="s">
        <v>217</v>
      </c>
      <c r="P12" s="261">
        <v>234</v>
      </c>
      <c r="Q12" s="261">
        <v>6</v>
      </c>
      <c r="R12" s="262">
        <v>1919.51</v>
      </c>
      <c r="S12" s="263"/>
      <c r="T12" s="263">
        <v>52.32</v>
      </c>
      <c r="U12" s="189">
        <f>((T12/U$10)*U$9)</f>
        <v>2.2551724137931037</v>
      </c>
      <c r="V12" s="189">
        <f>R12*V$10</f>
        <v>14.396324999999999</v>
      </c>
      <c r="W12" s="189">
        <f>+S12*V$10</f>
        <v>0</v>
      </c>
      <c r="X12" s="189">
        <f>+T12*X$10</f>
        <v>1.3080000000000001</v>
      </c>
      <c r="Y12" s="189">
        <f>R12-V12</f>
        <v>1905.1136750000001</v>
      </c>
      <c r="Z12" s="189">
        <f>S12-W12</f>
        <v>0</v>
      </c>
      <c r="AA12" s="189">
        <f>T12-U12-X12</f>
        <v>48.756827586206896</v>
      </c>
      <c r="AB12" s="156"/>
    </row>
    <row r="13" spans="1:28" ht="15.75" x14ac:dyDescent="0.25">
      <c r="A13" s="86" t="s">
        <v>76</v>
      </c>
      <c r="B13" s="89">
        <v>510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510</v>
      </c>
      <c r="K13" s="75"/>
      <c r="L13" s="186">
        <f t="shared" ref="L13:L44" si="1">+G13-K13</f>
        <v>0</v>
      </c>
      <c r="M13" s="106"/>
      <c r="N13" s="104">
        <v>2</v>
      </c>
      <c r="O13" s="260" t="s">
        <v>217</v>
      </c>
      <c r="P13" s="261">
        <v>235</v>
      </c>
      <c r="Q13" s="261">
        <v>6</v>
      </c>
      <c r="R13" s="262">
        <v>2004.08</v>
      </c>
      <c r="S13" s="263"/>
      <c r="T13" s="264"/>
      <c r="U13" s="189">
        <f t="shared" ref="U13:U41" si="2">((T13/U$10)*U$9)</f>
        <v>0</v>
      </c>
      <c r="V13" s="189">
        <f t="shared" ref="V13:V41" si="3">R13*V$10</f>
        <v>15.0306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1989.0493999999999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2952.9</v>
      </c>
      <c r="C14" s="15"/>
      <c r="D14" s="56"/>
      <c r="E14" s="16"/>
      <c r="F14" s="56"/>
      <c r="G14" s="56"/>
      <c r="H14" s="17"/>
      <c r="I14" s="83"/>
      <c r="J14" s="81">
        <f t="shared" si="0"/>
        <v>2952.9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555</v>
      </c>
      <c r="C15" s="15"/>
      <c r="D15" s="56"/>
      <c r="E15" s="16"/>
      <c r="F15" s="56"/>
      <c r="G15" s="56"/>
      <c r="H15" s="17"/>
      <c r="I15" s="83"/>
      <c r="J15" s="81">
        <f t="shared" si="0"/>
        <v>555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999</v>
      </c>
      <c r="Q15" s="153">
        <v>6</v>
      </c>
      <c r="R15" s="154">
        <v>387.43</v>
      </c>
      <c r="S15" s="155"/>
      <c r="T15" s="157"/>
      <c r="U15" s="189">
        <f t="shared" si="2"/>
        <v>0</v>
      </c>
      <c r="V15" s="189">
        <f t="shared" si="3"/>
        <v>2.9057249999999999</v>
      </c>
      <c r="W15" s="189">
        <f t="shared" si="4"/>
        <v>0</v>
      </c>
      <c r="X15" s="189">
        <f t="shared" si="5"/>
        <v>0</v>
      </c>
      <c r="Y15" s="189">
        <f t="shared" si="6"/>
        <v>384.52427499999999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3207.9</v>
      </c>
      <c r="C16" s="15"/>
      <c r="D16" s="56"/>
      <c r="E16" s="16"/>
      <c r="F16" s="56"/>
      <c r="G16" s="56"/>
      <c r="H16" s="17"/>
      <c r="I16" s="83"/>
      <c r="J16" s="81">
        <f t="shared" si="0"/>
        <v>3207.9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>
        <v>1</v>
      </c>
      <c r="Q16" s="153">
        <v>6</v>
      </c>
      <c r="R16" s="154">
        <v>2437.13</v>
      </c>
      <c r="S16" s="155"/>
      <c r="T16" s="157">
        <v>170.08</v>
      </c>
      <c r="U16" s="189">
        <f t="shared" si="2"/>
        <v>7.3310344827586222</v>
      </c>
      <c r="V16" s="189">
        <f t="shared" si="3"/>
        <v>18.278475</v>
      </c>
      <c r="W16" s="189">
        <f t="shared" si="4"/>
        <v>0</v>
      </c>
      <c r="X16" s="189">
        <f t="shared" si="5"/>
        <v>4.2520000000000007</v>
      </c>
      <c r="Y16" s="189">
        <f t="shared" si="6"/>
        <v>2418.851525</v>
      </c>
      <c r="Z16" s="189">
        <f t="shared" si="6"/>
        <v>0</v>
      </c>
      <c r="AA16" s="189">
        <f t="shared" si="7"/>
        <v>158.49696551724139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1065</v>
      </c>
      <c r="C19" s="95"/>
      <c r="D19" s="94"/>
      <c r="E19" s="96"/>
      <c r="F19" s="94"/>
      <c r="G19" s="94"/>
      <c r="H19" s="98"/>
      <c r="I19" s="99">
        <v>1065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6160.8</v>
      </c>
      <c r="C20" s="95"/>
      <c r="D20" s="94"/>
      <c r="E20" s="96"/>
      <c r="F20" s="94"/>
      <c r="G20" s="94"/>
      <c r="H20" s="98"/>
      <c r="I20" s="99">
        <v>6166.35</v>
      </c>
      <c r="J20" s="185">
        <f t="shared" si="0"/>
        <v>-5.5500000000001819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6748.1500000000005</v>
      </c>
      <c r="S42" s="190">
        <f t="shared" si="8"/>
        <v>0</v>
      </c>
      <c r="T42" s="190">
        <f t="shared" si="8"/>
        <v>222.4</v>
      </c>
      <c r="U42" s="190">
        <f t="shared" si="8"/>
        <v>9.586206896551726</v>
      </c>
      <c r="V42" s="190">
        <f t="shared" si="8"/>
        <v>50.611124999999994</v>
      </c>
      <c r="W42" s="190">
        <f t="shared" si="8"/>
        <v>0</v>
      </c>
      <c r="X42" s="190">
        <f t="shared" si="8"/>
        <v>5.5600000000000005</v>
      </c>
      <c r="Y42" s="190">
        <f t="shared" si="8"/>
        <v>6697.5388750000002</v>
      </c>
      <c r="Z42" s="190">
        <f t="shared" si="8"/>
        <v>0</v>
      </c>
      <c r="AA42" s="190">
        <f t="shared" si="8"/>
        <v>207.25379310344829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6748.1500000000005</v>
      </c>
      <c r="C46" s="116">
        <v>7.4999999999999997E-3</v>
      </c>
      <c r="D46" s="117">
        <f>B46*C46</f>
        <v>50.611125000000001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6697.5388750000002</v>
      </c>
      <c r="H46" s="173">
        <f>B$6+1</f>
        <v>44772</v>
      </c>
      <c r="I46" s="174"/>
      <c r="J46" s="81">
        <f t="shared" si="0"/>
        <v>6748.1500000000005</v>
      </c>
      <c r="K46" s="80"/>
      <c r="L46" s="186">
        <f t="shared" ref="L46:L64" si="17">+G46-K46</f>
        <v>6697.5388750000002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44772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3382.08</v>
      </c>
      <c r="C49" s="116">
        <v>7.4999999999999997E-3</v>
      </c>
      <c r="D49" s="117">
        <f t="shared" si="18"/>
        <v>25.365599999999997</v>
      </c>
      <c r="E49" s="172">
        <v>0</v>
      </c>
      <c r="F49" s="117">
        <f t="shared" si="15"/>
        <v>0</v>
      </c>
      <c r="G49" s="117">
        <f t="shared" si="16"/>
        <v>3356.7143999999998</v>
      </c>
      <c r="H49" s="173">
        <f t="shared" si="19"/>
        <v>44772</v>
      </c>
      <c r="I49" s="176"/>
      <c r="J49" s="81">
        <f t="shared" si="0"/>
        <v>3382.08</v>
      </c>
      <c r="K49" s="80"/>
      <c r="L49" s="186">
        <f t="shared" si="17"/>
        <v>3356.7143999999998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1359.38</v>
      </c>
      <c r="C50" s="116">
        <v>7.4999999999999997E-3</v>
      </c>
      <c r="D50" s="117">
        <f t="shared" si="18"/>
        <v>10.195350000000001</v>
      </c>
      <c r="E50" s="172">
        <v>0</v>
      </c>
      <c r="F50" s="117">
        <f t="shared" si="15"/>
        <v>0</v>
      </c>
      <c r="G50" s="117">
        <f t="shared" si="16"/>
        <v>1349.1846500000001</v>
      </c>
      <c r="H50" s="173">
        <f t="shared" si="19"/>
        <v>44772</v>
      </c>
      <c r="I50" s="175"/>
      <c r="J50" s="81">
        <f t="shared" si="0"/>
        <v>1359.38</v>
      </c>
      <c r="K50" s="80"/>
      <c r="L50" s="186">
        <f t="shared" si="17"/>
        <v>1349.1846500000001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767.06</v>
      </c>
      <c r="C51" s="116">
        <v>1.4999999999999999E-2</v>
      </c>
      <c r="D51" s="117">
        <f>+B51*C51</f>
        <v>11.505899999999999</v>
      </c>
      <c r="E51" s="172">
        <v>0</v>
      </c>
      <c r="F51" s="117">
        <f>D51*E51</f>
        <v>0</v>
      </c>
      <c r="G51" s="117">
        <f t="shared" si="16"/>
        <v>755.55409999999995</v>
      </c>
      <c r="H51" s="173">
        <f t="shared" si="19"/>
        <v>44772</v>
      </c>
      <c r="I51" s="175"/>
      <c r="J51" s="81">
        <f t="shared" si="0"/>
        <v>767.06</v>
      </c>
      <c r="K51" s="80"/>
      <c r="L51" s="186">
        <f t="shared" si="17"/>
        <v>755.55409999999995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222.4</v>
      </c>
      <c r="C52" s="116">
        <v>2.5000000000000001E-2</v>
      </c>
      <c r="D52" s="117">
        <f>B52*C52</f>
        <v>5.5600000000000005</v>
      </c>
      <c r="E52" s="172">
        <v>0.05</v>
      </c>
      <c r="F52" s="117">
        <f>(B52/E$10)*E52</f>
        <v>9.586206896551726</v>
      </c>
      <c r="G52" s="117">
        <f>B52-D52-F52</f>
        <v>207.25379310344829</v>
      </c>
      <c r="H52" s="188">
        <f t="shared" si="19"/>
        <v>44772</v>
      </c>
      <c r="I52" s="176">
        <v>22.4</v>
      </c>
      <c r="J52" s="81">
        <f t="shared" si="0"/>
        <v>200</v>
      </c>
      <c r="K52" s="80"/>
      <c r="L52" s="186">
        <f t="shared" si="17"/>
        <v>207.25379310344829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44772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103.23797500000001</v>
      </c>
      <c r="E61" s="177"/>
      <c r="F61" s="57">
        <f>SUM(F46:F58)</f>
        <v>9.586206896551726</v>
      </c>
      <c r="G61" s="57">
        <f>SUM(G46:G58)</f>
        <v>12366.245818103445</v>
      </c>
      <c r="H61" s="173">
        <f t="shared" si="19"/>
        <v>44772</v>
      </c>
      <c r="I61" s="175"/>
      <c r="J61" s="81">
        <f t="shared" si="0"/>
        <v>0</v>
      </c>
      <c r="K61" s="80"/>
      <c r="L61" s="186">
        <f t="shared" si="17"/>
        <v>12366.245818103445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44772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24732.491636206891</v>
      </c>
      <c r="H64" s="184"/>
      <c r="I64" s="175"/>
      <c r="J64" s="81">
        <f t="shared" si="0"/>
        <v>0</v>
      </c>
      <c r="K64" s="80"/>
      <c r="L64" s="186">
        <f t="shared" si="17"/>
        <v>24732.491636206891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20257.370000000003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20226.099999999999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20061.060000000001</v>
      </c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165.03999999999724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31.270000000004075</v>
      </c>
      <c r="C71" s="64"/>
      <c r="F71" s="87" t="s">
        <v>131</v>
      </c>
      <c r="G71" s="137"/>
      <c r="H71" s="87"/>
      <c r="I71" s="81">
        <f>+I69-G69-G70-G71-G72-G73</f>
        <v>0</v>
      </c>
      <c r="J71" s="81"/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259" t="s">
        <v>185</v>
      </c>
      <c r="P73" s="250">
        <v>836</v>
      </c>
      <c r="Q73" s="250">
        <v>2002</v>
      </c>
      <c r="R73" s="236">
        <v>1249.4100000000001</v>
      </c>
      <c r="S73" s="250"/>
      <c r="T73" s="250"/>
      <c r="U73" s="189">
        <f t="shared" si="34"/>
        <v>0</v>
      </c>
      <c r="V73" s="189">
        <f t="shared" si="35"/>
        <v>9.3705750000000005</v>
      </c>
      <c r="W73" s="189">
        <f t="shared" si="36"/>
        <v>0</v>
      </c>
      <c r="X73" s="189">
        <f t="shared" si="37"/>
        <v>0</v>
      </c>
      <c r="Y73" s="189">
        <f t="shared" si="38"/>
        <v>1240.0394250000002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259" t="s">
        <v>185</v>
      </c>
      <c r="P74" s="250">
        <v>837</v>
      </c>
      <c r="Q74" s="250">
        <v>2002</v>
      </c>
      <c r="R74" s="236">
        <v>2132.67</v>
      </c>
      <c r="S74" s="250"/>
      <c r="T74" s="236"/>
      <c r="U74" s="189">
        <f t="shared" si="34"/>
        <v>0</v>
      </c>
      <c r="V74" s="189">
        <f t="shared" si="35"/>
        <v>15.995025</v>
      </c>
      <c r="W74" s="189">
        <f t="shared" si="36"/>
        <v>0</v>
      </c>
      <c r="X74" s="189">
        <f t="shared" si="37"/>
        <v>0</v>
      </c>
      <c r="Y74" s="189">
        <f t="shared" si="38"/>
        <v>2116.6749749999999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3382.08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25.365600000000001</v>
      </c>
      <c r="W75" s="192">
        <f t="shared" si="41"/>
        <v>0</v>
      </c>
      <c r="X75" s="192">
        <f t="shared" si="41"/>
        <v>0</v>
      </c>
      <c r="Y75" s="192">
        <f t="shared" si="41"/>
        <v>3356.7143999999998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82.98+38.63+36.87+13.85</f>
        <v>172.33</v>
      </c>
      <c r="R78" s="82">
        <v>7.4999999999999997E-3</v>
      </c>
      <c r="S78" s="194">
        <f>+(P78+Q78)*R78</f>
        <v>1.292475</v>
      </c>
      <c r="T78" s="219">
        <f>+(P78+Q78)-S78</f>
        <v>171.03752500000002</v>
      </c>
      <c r="U78" s="211">
        <f>119.41+309.44</f>
        <v>428.85</v>
      </c>
      <c r="V78" s="112"/>
      <c r="W78" s="113">
        <v>1.4999999999999999E-2</v>
      </c>
      <c r="X78" s="196">
        <f>+(U78+V78)*W78</f>
        <v>6.4327500000000004</v>
      </c>
      <c r="Y78" s="242">
        <f>+(U78+V78)-X78</f>
        <v>422.41725000000002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116.04+256.56+163.4+51.58</f>
        <v>587.58000000000004</v>
      </c>
      <c r="R79" s="82">
        <v>7.4999999999999997E-3</v>
      </c>
      <c r="S79" s="194">
        <f t="shared" ref="S79:S97" si="43">+(P79+Q79)*R79</f>
        <v>4.4068500000000004</v>
      </c>
      <c r="T79" s="219">
        <f t="shared" ref="T79:T97" si="44">+(P79+Q79)-S79</f>
        <v>583.17315000000008</v>
      </c>
      <c r="U79" s="211">
        <f>168.51+113.27</f>
        <v>281.77999999999997</v>
      </c>
      <c r="V79" s="112"/>
      <c r="W79" s="113">
        <v>1.4999999999999999E-2</v>
      </c>
      <c r="X79" s="196">
        <f t="shared" ref="X79:X97" si="45">+(U79+V79)*W79</f>
        <v>4.2266999999999992</v>
      </c>
      <c r="Y79" s="242">
        <f t="shared" ref="Y79:Y97" si="46">+(U79+V79)-X79</f>
        <v>277.55329999999998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f>22.5+214.51+236.6+125.86</f>
        <v>599.47</v>
      </c>
      <c r="R80" s="82">
        <v>7.4999999999999997E-3</v>
      </c>
      <c r="S80" s="194">
        <f t="shared" si="43"/>
        <v>4.4960250000000004</v>
      </c>
      <c r="T80" s="219">
        <f t="shared" si="44"/>
        <v>594.973975</v>
      </c>
      <c r="U80" s="211">
        <f>37+19.43</f>
        <v>56.43</v>
      </c>
      <c r="V80" s="112"/>
      <c r="W80" s="113">
        <v>1.4999999999999999E-2</v>
      </c>
      <c r="X80" s="196">
        <f t="shared" si="45"/>
        <v>0.84644999999999992</v>
      </c>
      <c r="Y80" s="242">
        <f t="shared" si="46"/>
        <v>55.583550000000002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3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1359.38</v>
      </c>
      <c r="R98" s="111"/>
      <c r="S98" s="195">
        <f>SUM(S78:S97)</f>
        <v>10.195350000000001</v>
      </c>
      <c r="T98" s="195">
        <f>SUM(T78:T97)</f>
        <v>1349.1846500000001</v>
      </c>
      <c r="U98" s="114">
        <f>SUM(U78:U97)</f>
        <v>767.06</v>
      </c>
      <c r="V98" s="114">
        <f>SUM(V78:V97)</f>
        <v>0</v>
      </c>
      <c r="W98" s="112"/>
      <c r="X98" s="197">
        <f>SUM(X78:X97)</f>
        <v>11.5059</v>
      </c>
      <c r="Y98" s="197">
        <f>SUM(Y78:Y97)</f>
        <v>755.55410000000006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601.18000000000006</v>
      </c>
      <c r="R101" s="85" t="s">
        <v>204</v>
      </c>
    </row>
    <row r="102" spans="14:30" x14ac:dyDescent="0.25">
      <c r="N102" s="85"/>
      <c r="Q102" s="215">
        <f>P79+Q79+U79</f>
        <v>869.36</v>
      </c>
      <c r="R102" s="85" t="s">
        <v>205</v>
      </c>
    </row>
    <row r="103" spans="14:30" x14ac:dyDescent="0.25">
      <c r="N103" s="85"/>
      <c r="Q103" s="215">
        <f>P80+U80+Q80</f>
        <v>655.9</v>
      </c>
      <c r="R103" s="85" t="s">
        <v>205</v>
      </c>
    </row>
    <row r="104" spans="14:30" x14ac:dyDescent="0.25">
      <c r="N104" s="85"/>
      <c r="Q104" s="215">
        <f>P81+Q81+U81</f>
        <v>0</v>
      </c>
      <c r="R104" s="85" t="s">
        <v>206</v>
      </c>
    </row>
    <row r="105" spans="14:30" x14ac:dyDescent="0.25">
      <c r="N105" s="85"/>
      <c r="Q105" s="215">
        <f>P82+U82+Q82</f>
        <v>0</v>
      </c>
      <c r="R105" s="85" t="s">
        <v>204</v>
      </c>
    </row>
    <row r="106" spans="14:30" x14ac:dyDescent="0.25">
      <c r="N106" s="85"/>
      <c r="Q106" s="235">
        <f>P83+Q83+U83</f>
        <v>0</v>
      </c>
      <c r="R106" s="85" t="s">
        <v>206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E34" zoomScale="90" zoomScaleNormal="90" workbookViewId="0">
      <selection activeCell="H50" sqref="H5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187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/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44772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>
        <v>5.9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2376</v>
      </c>
      <c r="C12" s="15"/>
      <c r="D12" s="56"/>
      <c r="E12" s="16"/>
      <c r="F12" s="56"/>
      <c r="G12" s="56"/>
      <c r="H12" s="17"/>
      <c r="I12" s="83">
        <v>2397.5</v>
      </c>
      <c r="J12" s="81">
        <f>B12-I12</f>
        <v>-21.5</v>
      </c>
      <c r="K12" s="75"/>
      <c r="L12" s="186">
        <f>+G12-K12</f>
        <v>0</v>
      </c>
      <c r="M12" s="106"/>
      <c r="N12" s="104">
        <v>1</v>
      </c>
      <c r="O12" s="324" t="s">
        <v>217</v>
      </c>
      <c r="P12" s="325">
        <v>236</v>
      </c>
      <c r="Q12" s="325">
        <v>6</v>
      </c>
      <c r="R12" s="240">
        <v>2530.63</v>
      </c>
      <c r="S12" s="326"/>
      <c r="T12" s="326">
        <v>3.47</v>
      </c>
      <c r="U12" s="189">
        <f>((T12/U$10)*U$9)</f>
        <v>0.14956896551724139</v>
      </c>
      <c r="V12" s="189">
        <f>R12*V$10</f>
        <v>18.979724999999998</v>
      </c>
      <c r="W12" s="189">
        <f>+S12*V$10</f>
        <v>0</v>
      </c>
      <c r="X12" s="189">
        <f>+T12*X$10</f>
        <v>8.6750000000000008E-2</v>
      </c>
      <c r="Y12" s="189">
        <f>R12-V12</f>
        <v>2511.650275</v>
      </c>
      <c r="Z12" s="189">
        <f>S12-W12</f>
        <v>0</v>
      </c>
      <c r="AA12" s="189">
        <f>T12-U12-X12</f>
        <v>3.2336810344827591</v>
      </c>
      <c r="AB12" s="156"/>
    </row>
    <row r="13" spans="1:28" ht="15.75" x14ac:dyDescent="0.25">
      <c r="A13" s="86" t="s">
        <v>76</v>
      </c>
      <c r="B13" s="89">
        <v>1930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1930</v>
      </c>
      <c r="K13" s="75"/>
      <c r="L13" s="186">
        <f t="shared" ref="L13:L42" si="1">+G13-K13</f>
        <v>0</v>
      </c>
      <c r="M13" s="106"/>
      <c r="N13" s="104">
        <v>2</v>
      </c>
      <c r="O13" s="324" t="s">
        <v>217</v>
      </c>
      <c r="P13" s="325">
        <v>237</v>
      </c>
      <c r="Q13" s="325">
        <v>6</v>
      </c>
      <c r="R13" s="240">
        <v>1926.91</v>
      </c>
      <c r="S13" s="326"/>
      <c r="T13" s="327"/>
      <c r="U13" s="189">
        <f t="shared" ref="U13:U41" si="2">((T13/U$10)*U$9)</f>
        <v>0</v>
      </c>
      <c r="V13" s="189">
        <f t="shared" ref="V13:V41" si="3">R13*V$10</f>
        <v>14.451824999999999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1912.458175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11174.7</v>
      </c>
      <c r="C14" s="15"/>
      <c r="D14" s="56"/>
      <c r="E14" s="16"/>
      <c r="F14" s="56"/>
      <c r="G14" s="56"/>
      <c r="H14" s="17"/>
      <c r="I14" s="83"/>
      <c r="J14" s="81">
        <f t="shared" si="0"/>
        <v>11174.7</v>
      </c>
      <c r="K14" s="80"/>
      <c r="L14" s="186">
        <f t="shared" si="1"/>
        <v>0</v>
      </c>
      <c r="M14" s="107"/>
      <c r="N14" s="104">
        <v>3</v>
      </c>
      <c r="O14" s="324" t="s">
        <v>69</v>
      </c>
      <c r="P14" s="325"/>
      <c r="Q14" s="325"/>
      <c r="R14" s="240"/>
      <c r="S14" s="326"/>
      <c r="T14" s="32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2</v>
      </c>
      <c r="Q15" s="158">
        <v>6</v>
      </c>
      <c r="R15" s="159">
        <v>847.65</v>
      </c>
      <c r="S15" s="160"/>
      <c r="T15" s="161"/>
      <c r="U15" s="189">
        <f t="shared" si="2"/>
        <v>0</v>
      </c>
      <c r="V15" s="189">
        <f t="shared" si="3"/>
        <v>6.3573749999999993</v>
      </c>
      <c r="W15" s="189">
        <f t="shared" si="4"/>
        <v>0</v>
      </c>
      <c r="X15" s="189">
        <f t="shared" si="5"/>
        <v>0</v>
      </c>
      <c r="Y15" s="189">
        <f t="shared" si="6"/>
        <v>841.29262499999993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>
        <v>3</v>
      </c>
      <c r="Q16" s="158">
        <v>6</v>
      </c>
      <c r="R16" s="159">
        <v>1979.81</v>
      </c>
      <c r="S16" s="160"/>
      <c r="T16" s="161"/>
      <c r="U16" s="189">
        <f t="shared" si="2"/>
        <v>0</v>
      </c>
      <c r="V16" s="189">
        <f t="shared" si="3"/>
        <v>14.848574999999999</v>
      </c>
      <c r="W16" s="189">
        <f t="shared" si="4"/>
        <v>0</v>
      </c>
      <c r="X16" s="189">
        <f t="shared" si="5"/>
        <v>0</v>
      </c>
      <c r="Y16" s="189">
        <f t="shared" si="6"/>
        <v>1964.961425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1930</v>
      </c>
      <c r="C19" s="95"/>
      <c r="D19" s="94"/>
      <c r="E19" s="96"/>
      <c r="F19" s="94"/>
      <c r="G19" s="94"/>
      <c r="H19" s="98"/>
      <c r="I19" s="99">
        <v>1930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11174.7</v>
      </c>
      <c r="C20" s="95"/>
      <c r="D20" s="94"/>
      <c r="E20" s="96"/>
      <c r="F20" s="94"/>
      <c r="G20" s="94"/>
      <c r="H20" s="98"/>
      <c r="I20" s="99">
        <v>11155.4</v>
      </c>
      <c r="J20" s="185">
        <f t="shared" si="0"/>
        <v>19.300000000001091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10</v>
      </c>
      <c r="C21" s="100"/>
      <c r="D21" s="66"/>
      <c r="E21" s="67"/>
      <c r="F21" s="66"/>
      <c r="G21" s="66"/>
      <c r="H21" s="102"/>
      <c r="I21" s="79"/>
      <c r="J21" s="81">
        <f t="shared" si="0"/>
        <v>10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59</v>
      </c>
      <c r="C22" s="100"/>
      <c r="D22" s="66"/>
      <c r="E22" s="67"/>
      <c r="F22" s="66"/>
      <c r="G22" s="66"/>
      <c r="H22" s="102"/>
      <c r="I22" s="79"/>
      <c r="J22" s="81">
        <f t="shared" si="0"/>
        <v>59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10</v>
      </c>
      <c r="C27" s="95"/>
      <c r="D27" s="94"/>
      <c r="E27" s="96"/>
      <c r="F27" s="94"/>
      <c r="G27" s="94"/>
      <c r="H27" s="98"/>
      <c r="I27" s="99">
        <v>10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59</v>
      </c>
      <c r="C28" s="95"/>
      <c r="D28" s="94"/>
      <c r="E28" s="96"/>
      <c r="F28" s="94"/>
      <c r="G28" s="94"/>
      <c r="H28" s="98"/>
      <c r="I28" s="99">
        <v>59.3</v>
      </c>
      <c r="J28" s="185">
        <f t="shared" si="0"/>
        <v>-0.29999999999999716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45.11</v>
      </c>
      <c r="C37" s="100"/>
      <c r="D37" s="66"/>
      <c r="E37" s="67"/>
      <c r="F37" s="66"/>
      <c r="G37" s="66"/>
      <c r="H37" s="102"/>
      <c r="I37" s="79"/>
      <c r="J37" s="81">
        <f t="shared" si="0"/>
        <v>45.11</v>
      </c>
      <c r="K37" s="80"/>
      <c r="L37" s="186">
        <f>K37-B37</f>
        <v>-45.11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261.18689999999998</v>
      </c>
      <c r="C38" s="100"/>
      <c r="D38" s="66"/>
      <c r="E38" s="67"/>
      <c r="F38" s="66"/>
      <c r="G38" s="66"/>
      <c r="H38" s="102"/>
      <c r="I38" s="79"/>
      <c r="J38" s="81">
        <f t="shared" si="0"/>
        <v>261.18689999999998</v>
      </c>
      <c r="K38" s="80"/>
      <c r="L38" s="186">
        <f>K38-B38</f>
        <v>-261.18689999999998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7285</v>
      </c>
      <c r="S42" s="190">
        <f t="shared" si="8"/>
        <v>0</v>
      </c>
      <c r="T42" s="190">
        <f t="shared" si="8"/>
        <v>3.47</v>
      </c>
      <c r="U42" s="190">
        <f t="shared" si="8"/>
        <v>0.14956896551724139</v>
      </c>
      <c r="V42" s="190">
        <f t="shared" si="8"/>
        <v>54.637499999999996</v>
      </c>
      <c r="W42" s="190">
        <f t="shared" si="8"/>
        <v>0</v>
      </c>
      <c r="X42" s="190">
        <f t="shared" si="8"/>
        <v>8.6750000000000008E-2</v>
      </c>
      <c r="Y42" s="190">
        <f t="shared" si="8"/>
        <v>7230.3624999999993</v>
      </c>
      <c r="Z42" s="190">
        <f t="shared" si="8"/>
        <v>0</v>
      </c>
      <c r="AA42" s="190">
        <f t="shared" si="8"/>
        <v>3.2336810344827591</v>
      </c>
      <c r="AB42" s="166"/>
    </row>
    <row r="43" spans="1:28" ht="15.75" x14ac:dyDescent="0.25">
      <c r="A43" s="93" t="s">
        <v>103</v>
      </c>
      <c r="B43" s="97">
        <f>+B37+B39+B41</f>
        <v>45.11</v>
      </c>
      <c r="C43" s="95"/>
      <c r="D43" s="94"/>
      <c r="E43" s="96"/>
      <c r="F43" s="94"/>
      <c r="G43" s="94"/>
      <c r="H43" s="98"/>
      <c r="I43" s="99">
        <v>45.11</v>
      </c>
      <c r="J43" s="185">
        <f t="shared" si="0"/>
        <v>0</v>
      </c>
      <c r="K43" s="99"/>
      <c r="L43" s="187">
        <f>K43-B43</f>
        <v>-45.11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261.18689999999998</v>
      </c>
      <c r="C44" s="95"/>
      <c r="D44" s="94"/>
      <c r="E44" s="96"/>
      <c r="F44" s="94"/>
      <c r="G44" s="94"/>
      <c r="H44" s="98"/>
      <c r="I44" s="99"/>
      <c r="J44" s="185">
        <f t="shared" si="0"/>
        <v>261.18689999999998</v>
      </c>
      <c r="K44" s="99"/>
      <c r="L44" s="187">
        <f>K44-B44</f>
        <v>-261.18689999999998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7285</v>
      </c>
      <c r="C46" s="116">
        <v>7.4999999999999997E-3</v>
      </c>
      <c r="D46" s="117">
        <f>B46*C46</f>
        <v>54.637499999999996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7230.3625000000002</v>
      </c>
      <c r="H46" s="173">
        <f>B$6+1</f>
        <v>44773</v>
      </c>
      <c r="I46" s="174"/>
      <c r="J46" s="81">
        <f t="shared" si="0"/>
        <v>7285</v>
      </c>
      <c r="K46" s="80"/>
      <c r="L46" s="186">
        <f t="shared" ref="L46:L64" si="17">+G46-K46</f>
        <v>7230.3625000000002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4023.7699999999995</v>
      </c>
      <c r="C49" s="116">
        <v>7.4999999999999997E-3</v>
      </c>
      <c r="D49" s="117">
        <f t="shared" si="18"/>
        <v>30.178274999999996</v>
      </c>
      <c r="E49" s="172">
        <v>0</v>
      </c>
      <c r="F49" s="117">
        <f t="shared" si="15"/>
        <v>0</v>
      </c>
      <c r="G49" s="117">
        <f t="shared" si="16"/>
        <v>3993.5917249999993</v>
      </c>
      <c r="H49" s="173">
        <f t="shared" si="19"/>
        <v>44773</v>
      </c>
      <c r="I49" s="176"/>
      <c r="J49" s="81">
        <f t="shared" si="0"/>
        <v>4023.7699999999995</v>
      </c>
      <c r="K49" s="80"/>
      <c r="L49" s="186">
        <f t="shared" si="17"/>
        <v>3993.5917249999993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1082.6099999999999</v>
      </c>
      <c r="C50" s="116">
        <v>7.4999999999999997E-3</v>
      </c>
      <c r="D50" s="117">
        <f t="shared" si="18"/>
        <v>8.1195749999999993</v>
      </c>
      <c r="E50" s="172">
        <v>0</v>
      </c>
      <c r="F50" s="117">
        <f t="shared" si="15"/>
        <v>0</v>
      </c>
      <c r="G50" s="117">
        <f t="shared" si="16"/>
        <v>1074.490425</v>
      </c>
      <c r="H50" s="173">
        <f t="shared" si="19"/>
        <v>44773</v>
      </c>
      <c r="I50" s="175"/>
      <c r="J50" s="81">
        <f t="shared" si="0"/>
        <v>1082.6099999999999</v>
      </c>
      <c r="K50" s="80"/>
      <c r="L50" s="186">
        <f t="shared" si="17"/>
        <v>1074.490425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346.06</v>
      </c>
      <c r="C51" s="116">
        <v>1.4999999999999999E-2</v>
      </c>
      <c r="D51" s="117">
        <f>+B51*C51</f>
        <v>5.1909000000000001</v>
      </c>
      <c r="E51" s="172">
        <v>0</v>
      </c>
      <c r="F51" s="117">
        <f>D51*E51</f>
        <v>0</v>
      </c>
      <c r="G51" s="117">
        <f t="shared" si="16"/>
        <v>340.8691</v>
      </c>
      <c r="H51" s="173">
        <f t="shared" si="19"/>
        <v>44773</v>
      </c>
      <c r="I51" s="175"/>
      <c r="J51" s="81">
        <f t="shared" si="0"/>
        <v>346.06</v>
      </c>
      <c r="K51" s="80"/>
      <c r="L51" s="186">
        <f t="shared" si="17"/>
        <v>340.8691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3.47</v>
      </c>
      <c r="C52" s="116">
        <v>2.5000000000000001E-2</v>
      </c>
      <c r="D52" s="117">
        <f>B52*C52</f>
        <v>8.6750000000000008E-2</v>
      </c>
      <c r="E52" s="172">
        <v>0.05</v>
      </c>
      <c r="F52" s="117">
        <f>(B52/E$10)*E52</f>
        <v>0.14956896551724139</v>
      </c>
      <c r="G52" s="117">
        <f>B52-D52-F52</f>
        <v>3.2336810344827591</v>
      </c>
      <c r="H52" s="188">
        <f t="shared" si="19"/>
        <v>44773</v>
      </c>
      <c r="I52" s="176">
        <v>3.47</v>
      </c>
      <c r="J52" s="81">
        <f t="shared" si="0"/>
        <v>0</v>
      </c>
      <c r="K52" s="80"/>
      <c r="L52" s="186">
        <f t="shared" si="17"/>
        <v>3.2336810344827591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446.2</v>
      </c>
      <c r="C56" s="116">
        <v>2.5000000000000001E-2</v>
      </c>
      <c r="D56" s="117">
        <f t="shared" si="20"/>
        <v>11.155000000000001</v>
      </c>
      <c r="E56" s="172">
        <v>0.05</v>
      </c>
      <c r="F56" s="117">
        <f t="shared" si="21"/>
        <v>19.232758620689658</v>
      </c>
      <c r="G56" s="117">
        <f t="shared" si="22"/>
        <v>415.81224137931031</v>
      </c>
      <c r="H56" s="173">
        <f t="shared" si="19"/>
        <v>44773</v>
      </c>
      <c r="I56" s="176">
        <v>446.2</v>
      </c>
      <c r="J56" s="81">
        <f t="shared" si="0"/>
        <v>0</v>
      </c>
      <c r="K56" s="80"/>
      <c r="L56" s="186">
        <f t="shared" si="17"/>
        <v>415.81224137931031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109.36799999999998</v>
      </c>
      <c r="E61" s="177"/>
      <c r="F61" s="57">
        <f>SUM(F46:F58)</f>
        <v>19.382327586206898</v>
      </c>
      <c r="G61" s="57">
        <f>SUM(G46:G58)</f>
        <v>13058.359672413791</v>
      </c>
      <c r="H61" s="173">
        <f t="shared" si="19"/>
        <v>44773</v>
      </c>
      <c r="I61" s="175"/>
      <c r="J61" s="81">
        <f t="shared" si="0"/>
        <v>0</v>
      </c>
      <c r="K61" s="80"/>
      <c r="L61" s="186">
        <f t="shared" si="17"/>
        <v>13058.359672413791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26116.719344827583</v>
      </c>
      <c r="H64" s="184"/>
      <c r="I64" s="175"/>
      <c r="J64" s="81">
        <f t="shared" si="0"/>
        <v>0</v>
      </c>
      <c r="K64" s="80"/>
      <c r="L64" s="186">
        <f t="shared" si="17"/>
        <v>26116.719344827583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27057.996900000006</v>
      </c>
      <c r="G65" s="22"/>
      <c r="L65" s="132"/>
      <c r="M65" s="131"/>
      <c r="N65" s="87">
        <v>2</v>
      </c>
      <c r="O65" s="122" t="s">
        <v>176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176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228</v>
      </c>
      <c r="B68" s="77">
        <v>27016.25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176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222</v>
      </c>
      <c r="B69" s="62"/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27016.25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207</v>
      </c>
      <c r="P70" s="87"/>
      <c r="Q70" s="87"/>
      <c r="R70" s="137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41.746900000005553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207</v>
      </c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207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87"/>
      <c r="Q73" s="87">
        <v>838</v>
      </c>
      <c r="R73" s="87">
        <v>2104.4499999999998</v>
      </c>
      <c r="S73" s="87"/>
      <c r="T73" s="228">
        <v>446.2</v>
      </c>
      <c r="U73" s="189">
        <f t="shared" si="34"/>
        <v>19.232758620689658</v>
      </c>
      <c r="V73" s="189">
        <f t="shared" si="35"/>
        <v>15.783374999999998</v>
      </c>
      <c r="W73" s="189">
        <f t="shared" si="36"/>
        <v>0</v>
      </c>
      <c r="X73" s="189">
        <f t="shared" si="37"/>
        <v>11.155000000000001</v>
      </c>
      <c r="Y73" s="189">
        <f t="shared" si="38"/>
        <v>2088.6666249999998</v>
      </c>
      <c r="Z73" s="189">
        <f t="shared" si="38"/>
        <v>0</v>
      </c>
      <c r="AA73" s="189">
        <f t="shared" si="39"/>
        <v>415.81224137931031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87"/>
      <c r="Q74" s="87">
        <v>839</v>
      </c>
      <c r="R74" s="87">
        <v>1919.32</v>
      </c>
      <c r="S74" s="87"/>
      <c r="T74" s="87"/>
      <c r="U74" s="189">
        <f t="shared" si="34"/>
        <v>0</v>
      </c>
      <c r="V74" s="189">
        <f t="shared" si="35"/>
        <v>14.3949</v>
      </c>
      <c r="W74" s="189">
        <f t="shared" si="36"/>
        <v>0</v>
      </c>
      <c r="X74" s="189">
        <f t="shared" si="37"/>
        <v>0</v>
      </c>
      <c r="Y74" s="189">
        <f t="shared" si="38"/>
        <v>1904.9250999999999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4023.7699999999995</v>
      </c>
      <c r="S75" s="192"/>
      <c r="T75" s="192">
        <f>SUM(T70:T74)</f>
        <v>446.2</v>
      </c>
      <c r="U75" s="192">
        <f>SUM(U70:U74)</f>
        <v>19.232758620689658</v>
      </c>
      <c r="V75" s="192">
        <f t="shared" ref="V75:AA75" si="41">SUM(V70:V74)</f>
        <v>30.178274999999999</v>
      </c>
      <c r="W75" s="192">
        <f t="shared" si="41"/>
        <v>0</v>
      </c>
      <c r="X75" s="192">
        <f t="shared" si="41"/>
        <v>11.155000000000001</v>
      </c>
      <c r="Y75" s="192">
        <f t="shared" si="41"/>
        <v>3993.5917249999998</v>
      </c>
      <c r="Z75" s="192">
        <f t="shared" si="41"/>
        <v>0</v>
      </c>
      <c r="AA75" s="193">
        <f t="shared" si="41"/>
        <v>415.81224137931031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129.39+78.46+282.42+99.99</f>
        <v>590.26</v>
      </c>
      <c r="R78" s="82">
        <v>7.4999999999999997E-3</v>
      </c>
      <c r="S78" s="216">
        <f>+(P78+Q78)*R78</f>
        <v>4.4269499999999997</v>
      </c>
      <c r="T78" s="219">
        <f>+(P78+Q78)-S78</f>
        <v>585.83304999999996</v>
      </c>
      <c r="U78" s="211">
        <f>152.82+59.11</f>
        <v>211.93</v>
      </c>
      <c r="V78" s="112"/>
      <c r="W78" s="113">
        <v>1.4999999999999999E-2</v>
      </c>
      <c r="X78" s="217">
        <f>+(U78+V78)*W78</f>
        <v>3.1789499999999999</v>
      </c>
      <c r="Y78" s="217">
        <f>+(U78+V78)-X78</f>
        <v>208.75105000000002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87"/>
      <c r="Q79" s="137">
        <f>131.73+144.84+37.38+75.04</f>
        <v>388.99</v>
      </c>
      <c r="R79" s="82">
        <v>7.4999999999999997E-3</v>
      </c>
      <c r="S79" s="216">
        <f t="shared" ref="S79:S97" si="43">+(P79+Q79)*R79</f>
        <v>2.9174250000000002</v>
      </c>
      <c r="T79" s="219">
        <f t="shared" ref="T79:T97" si="44">+(P79+Q79)-S79</f>
        <v>386.07257500000003</v>
      </c>
      <c r="U79" s="211">
        <f>70.08+23</f>
        <v>93.08</v>
      </c>
      <c r="V79" s="112"/>
      <c r="W79" s="113">
        <v>1.4999999999999999E-2</v>
      </c>
      <c r="X79" s="217">
        <f t="shared" ref="X79:X97" si="45">+(U79+V79)*W79</f>
        <v>1.3961999999999999</v>
      </c>
      <c r="Y79" s="213">
        <f t="shared" ref="Y79:Y97" si="46">+(U79+V79)-X79</f>
        <v>91.683800000000005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137">
        <f>7.73+10.32+85.31</f>
        <v>103.36</v>
      </c>
      <c r="R80" s="82">
        <v>7.4999999999999997E-3</v>
      </c>
      <c r="S80" s="216">
        <f t="shared" si="43"/>
        <v>0.7752</v>
      </c>
      <c r="T80" s="219">
        <f t="shared" si="44"/>
        <v>102.5848</v>
      </c>
      <c r="U80" s="211">
        <f>6.49+34.56</f>
        <v>41.050000000000004</v>
      </c>
      <c r="V80" s="112"/>
      <c r="W80" s="113">
        <v>1.4999999999999999E-2</v>
      </c>
      <c r="X80" s="217">
        <f t="shared" si="45"/>
        <v>0.61575000000000002</v>
      </c>
      <c r="Y80" s="213">
        <f t="shared" si="46"/>
        <v>40.434250000000006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1082.6099999999999</v>
      </c>
      <c r="R98" s="111"/>
      <c r="S98" s="195">
        <f>SUM(S78:S97)</f>
        <v>8.1195749999999993</v>
      </c>
      <c r="T98" s="195">
        <f>SUM(T78:T97)</f>
        <v>1074.490425</v>
      </c>
      <c r="U98" s="114">
        <f>SUM(U78:U97)</f>
        <v>346.06</v>
      </c>
      <c r="V98" s="114">
        <f>SUM(V78:V97)</f>
        <v>0</v>
      </c>
      <c r="W98" s="112"/>
      <c r="X98" s="197">
        <f>SUM(X78:X97)</f>
        <v>5.1909000000000001</v>
      </c>
      <c r="Y98" s="197">
        <f>SUM(Y78:Y97)</f>
        <v>340.86910000000006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35">
        <f t="shared" ref="P101:P106" si="50">P78+Q78+U78</f>
        <v>802.19</v>
      </c>
      <c r="Q101" s="84"/>
    </row>
    <row r="102" spans="14:30" x14ac:dyDescent="0.25">
      <c r="N102" s="85"/>
      <c r="O102" s="84"/>
      <c r="P102" s="235">
        <f t="shared" si="50"/>
        <v>482.07</v>
      </c>
      <c r="Q102" s="84"/>
    </row>
    <row r="103" spans="14:30" x14ac:dyDescent="0.25">
      <c r="N103" s="85"/>
      <c r="O103" s="84"/>
      <c r="P103" s="235">
        <f t="shared" si="50"/>
        <v>144.41</v>
      </c>
      <c r="Q103" s="84"/>
    </row>
    <row r="104" spans="14:30" x14ac:dyDescent="0.25">
      <c r="N104" s="85"/>
      <c r="O104" s="84"/>
      <c r="P104" s="235">
        <f t="shared" si="50"/>
        <v>0</v>
      </c>
      <c r="Q104" s="84"/>
    </row>
    <row r="105" spans="14:30" x14ac:dyDescent="0.25">
      <c r="N105" s="85"/>
      <c r="O105" s="84"/>
      <c r="P105" s="235">
        <f t="shared" si="50"/>
        <v>0</v>
      </c>
      <c r="Q105" s="84"/>
    </row>
    <row r="106" spans="14:30" x14ac:dyDescent="0.25">
      <c r="N106" s="85"/>
      <c r="O106" s="84"/>
      <c r="P106" s="235">
        <f t="shared" si="50"/>
        <v>0</v>
      </c>
      <c r="Q106" s="84"/>
    </row>
    <row r="107" spans="14:30" x14ac:dyDescent="0.25">
      <c r="N107" s="85"/>
      <c r="O107" s="84"/>
      <c r="P107" s="84"/>
      <c r="Q107" s="84"/>
    </row>
    <row r="108" spans="14:30" x14ac:dyDescent="0.25">
      <c r="N108" s="85"/>
      <c r="O108" s="84"/>
      <c r="P108" s="84"/>
      <c r="Q108" s="84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6" zoomScale="90" zoomScaleNormal="90" workbookViewId="0">
      <selection activeCell="Y71" sqref="Y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/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213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44773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>
        <v>4.5999999999999996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278+508+253+298+338+722.5</f>
        <v>2397.5</v>
      </c>
      <c r="C12" s="15"/>
      <c r="D12" s="56"/>
      <c r="E12" s="16"/>
      <c r="F12" s="56"/>
      <c r="G12" s="56"/>
      <c r="H12" s="17"/>
      <c r="I12" s="83">
        <v>2397.5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238</v>
      </c>
      <c r="Q12" s="158">
        <v>6</v>
      </c>
      <c r="R12" s="159">
        <v>1952.53</v>
      </c>
      <c r="S12" s="160"/>
      <c r="T12" s="160"/>
      <c r="U12" s="189">
        <f>((T12/U$10)*U$9)</f>
        <v>0</v>
      </c>
      <c r="V12" s="189">
        <f>R12*V$10</f>
        <v>14.643974999999999</v>
      </c>
      <c r="W12" s="189">
        <f>+S12*V$10</f>
        <v>0</v>
      </c>
      <c r="X12" s="189">
        <f>+T12*X$10</f>
        <v>0</v>
      </c>
      <c r="Y12" s="189">
        <f>R12-V12</f>
        <v>1937.886025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185+177+254+324+312+126</f>
        <v>1378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1378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>
        <v>239</v>
      </c>
      <c r="Q13" s="158">
        <v>6</v>
      </c>
      <c r="R13" s="159">
        <v>1029.28</v>
      </c>
      <c r="S13" s="160"/>
      <c r="T13" s="161">
        <v>7.2</v>
      </c>
      <c r="U13" s="189">
        <f t="shared" ref="U13:U41" si="2">((T13/U$10)*U$9)</f>
        <v>0.31034482758620696</v>
      </c>
      <c r="V13" s="189">
        <f t="shared" ref="V13:V41" si="3">R13*V$10</f>
        <v>7.7195999999999998</v>
      </c>
      <c r="W13" s="189">
        <f t="shared" ref="W13:W41" si="4">+S13*V$10</f>
        <v>0</v>
      </c>
      <c r="X13" s="189">
        <f t="shared" ref="X13:X41" si="5">+T13*X$10</f>
        <v>0.18000000000000002</v>
      </c>
      <c r="Y13" s="189">
        <f t="shared" ref="Y13:Z41" si="6">R13-V13</f>
        <v>1021.5604</v>
      </c>
      <c r="Z13" s="189">
        <f t="shared" si="6"/>
        <v>0</v>
      </c>
      <c r="AA13" s="189">
        <f t="shared" ref="AA13:AA41" si="7">T13-U13-X13</f>
        <v>6.7096551724137932</v>
      </c>
      <c r="AB13" s="156"/>
    </row>
    <row r="14" spans="1:28" ht="15.75" x14ac:dyDescent="0.25">
      <c r="A14" s="86" t="s">
        <v>83</v>
      </c>
      <c r="B14" s="57">
        <f>B13*B8</f>
        <v>7978.62</v>
      </c>
      <c r="C14" s="15"/>
      <c r="D14" s="56"/>
      <c r="E14" s="16"/>
      <c r="F14" s="56"/>
      <c r="G14" s="56"/>
      <c r="H14" s="17"/>
      <c r="I14" s="83"/>
      <c r="J14" s="81">
        <f t="shared" si="0"/>
        <v>7978.62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>
        <v>4</v>
      </c>
      <c r="Q14" s="158">
        <v>6</v>
      </c>
      <c r="R14" s="159">
        <v>2745.26</v>
      </c>
      <c r="S14" s="160"/>
      <c r="T14" s="161"/>
      <c r="U14" s="189">
        <f t="shared" si="2"/>
        <v>0</v>
      </c>
      <c r="V14" s="189">
        <f t="shared" si="3"/>
        <v>20.589449999999999</v>
      </c>
      <c r="W14" s="189">
        <f t="shared" si="4"/>
        <v>0</v>
      </c>
      <c r="X14" s="189">
        <f t="shared" si="5"/>
        <v>0</v>
      </c>
      <c r="Y14" s="189">
        <f t="shared" si="6"/>
        <v>2724.6705500000003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5</v>
      </c>
      <c r="Q15" s="158">
        <v>6</v>
      </c>
      <c r="R15" s="159">
        <v>32.479999999999997</v>
      </c>
      <c r="S15" s="160"/>
      <c r="T15" s="161"/>
      <c r="U15" s="189">
        <f t="shared" si="2"/>
        <v>0</v>
      </c>
      <c r="V15" s="189">
        <f t="shared" si="3"/>
        <v>0.24359999999999996</v>
      </c>
      <c r="W15" s="189">
        <f t="shared" si="4"/>
        <v>0</v>
      </c>
      <c r="X15" s="189">
        <f t="shared" si="5"/>
        <v>0</v>
      </c>
      <c r="Y15" s="189">
        <f t="shared" si="6"/>
        <v>32.236399999999996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1378</v>
      </c>
      <c r="C19" s="95"/>
      <c r="D19" s="94"/>
      <c r="E19" s="96"/>
      <c r="F19" s="94"/>
      <c r="G19" s="94"/>
      <c r="H19" s="98"/>
      <c r="I19" s="99">
        <v>1378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7978.62</v>
      </c>
      <c r="C20" s="95"/>
      <c r="D20" s="94"/>
      <c r="E20" s="96"/>
      <c r="F20" s="94"/>
      <c r="G20" s="94"/>
      <c r="H20" s="98"/>
      <c r="I20" s="99">
        <v>7964.84</v>
      </c>
      <c r="J20" s="185">
        <f t="shared" si="0"/>
        <v>13.779999999999745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f>48.89</f>
        <v>48.89</v>
      </c>
      <c r="C29" s="100"/>
      <c r="D29" s="66"/>
      <c r="E29" s="67"/>
      <c r="F29" s="66"/>
      <c r="G29" s="66"/>
      <c r="H29" s="102"/>
      <c r="I29" s="79"/>
      <c r="J29" s="81">
        <f t="shared" si="0"/>
        <v>48.89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283.07310000000001</v>
      </c>
      <c r="C30" s="100"/>
      <c r="D30" s="66"/>
      <c r="E30" s="67"/>
      <c r="F30" s="66"/>
      <c r="G30" s="66"/>
      <c r="H30" s="102"/>
      <c r="I30" s="79"/>
      <c r="J30" s="81">
        <f t="shared" si="0"/>
        <v>283.07310000000001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48.89</v>
      </c>
      <c r="C35" s="95"/>
      <c r="D35" s="94"/>
      <c r="E35" s="96"/>
      <c r="F35" s="94"/>
      <c r="G35" s="94"/>
      <c r="H35" s="98"/>
      <c r="I35" s="99">
        <v>48.89</v>
      </c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283.07310000000001</v>
      </c>
      <c r="C36" s="95"/>
      <c r="D36" s="94"/>
      <c r="E36" s="96"/>
      <c r="F36" s="94"/>
      <c r="G36" s="94"/>
      <c r="H36" s="98"/>
      <c r="I36" s="99"/>
      <c r="J36" s="185">
        <f t="shared" si="0"/>
        <v>283.07310000000001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0" t="s">
        <v>107</v>
      </c>
      <c r="O42" s="301"/>
      <c r="P42" s="301"/>
      <c r="Q42" s="302"/>
      <c r="R42" s="190">
        <f t="shared" ref="R42:AA42" si="8">SUM(R12:R41)</f>
        <v>5759.5499999999993</v>
      </c>
      <c r="S42" s="190">
        <f t="shared" si="8"/>
        <v>0</v>
      </c>
      <c r="T42" s="190">
        <f t="shared" si="8"/>
        <v>7.2</v>
      </c>
      <c r="U42" s="190">
        <f t="shared" si="8"/>
        <v>0.31034482758620696</v>
      </c>
      <c r="V42" s="190">
        <f t="shared" si="8"/>
        <v>43.196624999999997</v>
      </c>
      <c r="W42" s="190">
        <f t="shared" si="8"/>
        <v>0</v>
      </c>
      <c r="X42" s="190">
        <f t="shared" si="8"/>
        <v>0.18000000000000002</v>
      </c>
      <c r="Y42" s="190">
        <f t="shared" si="8"/>
        <v>5716.3533750000006</v>
      </c>
      <c r="Z42" s="190">
        <f t="shared" si="8"/>
        <v>0</v>
      </c>
      <c r="AA42" s="190">
        <f t="shared" si="8"/>
        <v>6.7096551724137932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5759.5499999999993</v>
      </c>
      <c r="C46" s="116">
        <v>7.4999999999999997E-3</v>
      </c>
      <c r="D46" s="117">
        <f>B46*C46</f>
        <v>43.19662499999999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5716.3533749999997</v>
      </c>
      <c r="H46" s="173">
        <f>B$6+1</f>
        <v>44774</v>
      </c>
      <c r="I46" s="174"/>
      <c r="J46" s="81">
        <f t="shared" si="0"/>
        <v>5759.5499999999993</v>
      </c>
      <c r="K46" s="80"/>
      <c r="L46" s="186">
        <f t="shared" ref="L46:L64" si="17">+G46-K46</f>
        <v>5716.3533749999997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4055.3</v>
      </c>
      <c r="C49" s="116">
        <v>7.4999999999999997E-3</v>
      </c>
      <c r="D49" s="117">
        <f t="shared" si="18"/>
        <v>30.414750000000002</v>
      </c>
      <c r="E49" s="172">
        <v>0</v>
      </c>
      <c r="F49" s="117">
        <f t="shared" si="15"/>
        <v>0</v>
      </c>
      <c r="G49" s="117">
        <f t="shared" si="16"/>
        <v>4024.8852500000003</v>
      </c>
      <c r="H49" s="173">
        <f t="shared" si="19"/>
        <v>44774</v>
      </c>
      <c r="I49" s="176"/>
      <c r="J49" s="81">
        <f t="shared" si="0"/>
        <v>4055.3</v>
      </c>
      <c r="K49" s="80"/>
      <c r="L49" s="186">
        <f t="shared" si="17"/>
        <v>4024.8852500000003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1554.04</v>
      </c>
      <c r="C50" s="116">
        <v>7.4999999999999997E-3</v>
      </c>
      <c r="D50" s="117">
        <f t="shared" si="18"/>
        <v>11.655299999999999</v>
      </c>
      <c r="E50" s="172">
        <v>0</v>
      </c>
      <c r="F50" s="117">
        <f t="shared" si="15"/>
        <v>0</v>
      </c>
      <c r="G50" s="117">
        <f t="shared" si="16"/>
        <v>1542.3847000000001</v>
      </c>
      <c r="H50" s="173">
        <f t="shared" si="19"/>
        <v>44774</v>
      </c>
      <c r="I50" s="175"/>
      <c r="J50" s="81">
        <f t="shared" si="0"/>
        <v>1554.04</v>
      </c>
      <c r="K50" s="80"/>
      <c r="L50" s="186">
        <f t="shared" si="17"/>
        <v>1542.3847000000001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237.61</v>
      </c>
      <c r="C51" s="116">
        <v>1.4999999999999999E-2</v>
      </c>
      <c r="D51" s="117">
        <f>+B51*C51</f>
        <v>3.5641500000000002</v>
      </c>
      <c r="E51" s="172">
        <v>0</v>
      </c>
      <c r="F51" s="117">
        <f>D51*E51</f>
        <v>0</v>
      </c>
      <c r="G51" s="117">
        <f t="shared" si="16"/>
        <v>234.04585</v>
      </c>
      <c r="H51" s="173">
        <f t="shared" si="19"/>
        <v>44774</v>
      </c>
      <c r="I51" s="175"/>
      <c r="J51" s="81">
        <f t="shared" si="0"/>
        <v>237.61</v>
      </c>
      <c r="K51" s="80"/>
      <c r="L51" s="186">
        <f t="shared" si="17"/>
        <v>234.04585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7.2</v>
      </c>
      <c r="C52" s="116">
        <v>2.5000000000000001E-2</v>
      </c>
      <c r="D52" s="117">
        <f>B52*C52</f>
        <v>0.18000000000000002</v>
      </c>
      <c r="E52" s="172">
        <v>0.05</v>
      </c>
      <c r="F52" s="117">
        <f>(B52/E$10)*E52</f>
        <v>0.31034482758620696</v>
      </c>
      <c r="G52" s="117">
        <f>B52-D52-F52</f>
        <v>6.7096551724137932</v>
      </c>
      <c r="H52" s="188">
        <f t="shared" si="19"/>
        <v>44774</v>
      </c>
      <c r="I52" s="176"/>
      <c r="J52" s="81">
        <f t="shared" si="0"/>
        <v>7.2</v>
      </c>
      <c r="K52" s="80"/>
      <c r="L52" s="186">
        <f t="shared" si="17"/>
        <v>6.7096551724137932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89.010824999999997</v>
      </c>
      <c r="E61" s="177"/>
      <c r="F61" s="57">
        <f>SUM(F46:F58)</f>
        <v>0.31034482758620696</v>
      </c>
      <c r="G61" s="57">
        <f>SUM(G46:G58)</f>
        <v>11524.378830172414</v>
      </c>
      <c r="H61" s="173">
        <f t="shared" si="19"/>
        <v>44774</v>
      </c>
      <c r="I61" s="175"/>
      <c r="J61" s="81">
        <f t="shared" si="0"/>
        <v>0</v>
      </c>
      <c r="K61" s="80"/>
      <c r="L61" s="186">
        <f t="shared" si="17"/>
        <v>11524.378830172414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23048.757660344829</v>
      </c>
      <c r="H64" s="184"/>
      <c r="I64" s="175"/>
      <c r="J64" s="81">
        <f t="shared" si="0"/>
        <v>0</v>
      </c>
      <c r="K64" s="80"/>
      <c r="L64" s="186">
        <f t="shared" si="17"/>
        <v>23048.757660344829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22272.893100000001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22226.92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129</v>
      </c>
      <c r="G69" s="22"/>
      <c r="H69" s="89"/>
      <c r="I69" s="136"/>
      <c r="J69" s="136">
        <f>K52</f>
        <v>0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22226.92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202</v>
      </c>
      <c r="P70" s="228"/>
      <c r="Q70" s="228">
        <v>841</v>
      </c>
      <c r="R70" s="228">
        <v>1277.46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9.5809499999999996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1267.87905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45.973100000002887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202</v>
      </c>
      <c r="P71" s="228"/>
      <c r="Q71" s="228">
        <v>840</v>
      </c>
      <c r="R71" s="228">
        <v>2000.38</v>
      </c>
      <c r="S71" s="228"/>
      <c r="T71" s="228"/>
      <c r="U71" s="189">
        <f t="shared" si="34"/>
        <v>0</v>
      </c>
      <c r="V71" s="189">
        <f t="shared" si="35"/>
        <v>15.00285</v>
      </c>
      <c r="W71" s="189">
        <f t="shared" si="36"/>
        <v>0</v>
      </c>
      <c r="X71" s="189">
        <f t="shared" si="37"/>
        <v>0</v>
      </c>
      <c r="Y71" s="189">
        <f t="shared" si="38"/>
        <v>1985.37715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193</v>
      </c>
      <c r="P72" s="228"/>
      <c r="Q72" s="228">
        <v>905</v>
      </c>
      <c r="R72" s="228">
        <v>777.46</v>
      </c>
      <c r="S72" s="228"/>
      <c r="T72" s="228"/>
      <c r="U72" s="189">
        <f t="shared" si="34"/>
        <v>0</v>
      </c>
      <c r="V72" s="189">
        <f t="shared" si="35"/>
        <v>5.8309499999999996</v>
      </c>
      <c r="W72" s="189">
        <f t="shared" si="36"/>
        <v>0</v>
      </c>
      <c r="X72" s="189">
        <f t="shared" si="37"/>
        <v>0</v>
      </c>
      <c r="Y72" s="189">
        <f t="shared" si="38"/>
        <v>771.62905000000001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202</v>
      </c>
      <c r="P73" s="228"/>
      <c r="Q73" s="228"/>
      <c r="R73" s="228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202</v>
      </c>
      <c r="P74" s="228"/>
      <c r="Q74" s="228"/>
      <c r="R74" s="228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4055.3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30.414749999999998</v>
      </c>
      <c r="W75" s="192">
        <f t="shared" si="41"/>
        <v>0</v>
      </c>
      <c r="X75" s="192">
        <f t="shared" si="41"/>
        <v>0</v>
      </c>
      <c r="Y75" s="192">
        <f t="shared" si="41"/>
        <v>4024.8852499999998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>
        <f>376.36+165.51+174.54+22.99</f>
        <v>739.4</v>
      </c>
      <c r="R78" s="82">
        <v>7.4999999999999997E-3</v>
      </c>
      <c r="S78" s="194">
        <f>+(P78+Q78)*R78</f>
        <v>5.5454999999999997</v>
      </c>
      <c r="T78" s="219">
        <f>+(P78+Q78)-S78</f>
        <v>733.85450000000003</v>
      </c>
      <c r="U78" s="211">
        <f>57+31.97</f>
        <v>88.97</v>
      </c>
      <c r="V78" s="112"/>
      <c r="W78" s="113">
        <v>1.4999999999999999E-2</v>
      </c>
      <c r="X78" s="196">
        <f>+(U78+V78)*W78</f>
        <v>1.3345499999999999</v>
      </c>
      <c r="Y78" s="217">
        <f>+(U78+V78)-X78</f>
        <v>87.635450000000006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87">
        <f>226.31+16.9+24.59+80</f>
        <v>347.8</v>
      </c>
      <c r="R79" s="82">
        <v>7.4999999999999997E-3</v>
      </c>
      <c r="S79" s="216">
        <f t="shared" ref="S79:S97" si="43">+(P79+Q79)*R79</f>
        <v>2.6084999999999998</v>
      </c>
      <c r="T79" s="219">
        <f t="shared" ref="T79:T97" si="44">+(P79+Q79)-S79</f>
        <v>345.19150000000002</v>
      </c>
      <c r="U79" s="211">
        <f>7+70.85</f>
        <v>77.849999999999994</v>
      </c>
      <c r="V79" s="112"/>
      <c r="W79" s="113">
        <v>1.4999999999999999E-2</v>
      </c>
      <c r="X79" s="196">
        <f t="shared" ref="X79:X97" si="45">+(U79+V79)*W79</f>
        <v>1.1677499999999998</v>
      </c>
      <c r="Y79" s="217">
        <f t="shared" ref="Y79:Y97" si="46">+(U79+V79)-X79</f>
        <v>76.682249999999996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>
        <f>240.48+82.58+59.76+84.02</f>
        <v>466.84</v>
      </c>
      <c r="R80" s="82">
        <v>7.4999999999999997E-3</v>
      </c>
      <c r="S80" s="194">
        <f t="shared" si="43"/>
        <v>3.5012999999999996</v>
      </c>
      <c r="T80" s="219">
        <f t="shared" si="44"/>
        <v>463.33869999999996</v>
      </c>
      <c r="U80" s="211">
        <f>67.9+2.89</f>
        <v>70.790000000000006</v>
      </c>
      <c r="V80" s="112"/>
      <c r="W80" s="113">
        <v>1.4999999999999999E-2</v>
      </c>
      <c r="X80" s="196">
        <f t="shared" si="45"/>
        <v>1.06185</v>
      </c>
      <c r="Y80" s="217">
        <f t="shared" si="46"/>
        <v>69.728149999999999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19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20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216">
        <f t="shared" si="43"/>
        <v>0</v>
      </c>
      <c r="T88" s="216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1554.04</v>
      </c>
      <c r="R98" s="111"/>
      <c r="S98" s="195">
        <f>SUM(S78:S97)</f>
        <v>11.6553</v>
      </c>
      <c r="T98" s="195">
        <f>SUM(T78:T97)</f>
        <v>1542.3847000000001</v>
      </c>
      <c r="U98" s="114">
        <f>SUM(U78:U97)</f>
        <v>237.61</v>
      </c>
      <c r="V98" s="114">
        <f>SUM(V78:V97)</f>
        <v>0</v>
      </c>
      <c r="W98" s="112"/>
      <c r="X98" s="197">
        <f>SUM(X78:X97)</f>
        <v>3.5641499999999997</v>
      </c>
      <c r="Y98" s="197">
        <f>SUM(Y78:Y97)</f>
        <v>234.04585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Q78+U78+P78</f>
        <v>828.37</v>
      </c>
    </row>
    <row r="102" spans="14:30" x14ac:dyDescent="0.25">
      <c r="N102" s="85"/>
      <c r="P102" s="215">
        <f>P79+U79+Q79</f>
        <v>425.65</v>
      </c>
    </row>
    <row r="103" spans="14:30" x14ac:dyDescent="0.25">
      <c r="N103" s="85"/>
      <c r="P103" s="215">
        <f>P80+Q80+U80</f>
        <v>537.63</v>
      </c>
    </row>
    <row r="104" spans="14:30" x14ac:dyDescent="0.25">
      <c r="N104" s="85"/>
      <c r="P104" s="215">
        <f>P81+U81+Q81</f>
        <v>0</v>
      </c>
    </row>
    <row r="105" spans="14:30" x14ac:dyDescent="0.25">
      <c r="N105" s="85"/>
      <c r="P105" s="235">
        <f>P82+Q82+U82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opLeftCell="A7" zoomScale="90" zoomScaleNormal="90" workbookViewId="0">
      <selection activeCell="B9" sqref="B9:C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278"/>
      <c r="B1" s="282" t="s">
        <v>12</v>
      </c>
      <c r="C1" s="283"/>
      <c r="D1" s="283"/>
      <c r="E1" s="283"/>
      <c r="F1" s="283"/>
      <c r="G1" s="283"/>
      <c r="H1" s="283"/>
      <c r="I1" s="283"/>
      <c r="J1" s="284"/>
    </row>
    <row r="2" spans="1:10" s="84" customFormat="1" ht="16.5" customHeight="1" x14ac:dyDescent="0.25">
      <c r="A2" s="278"/>
      <c r="B2" s="285" t="s">
        <v>149</v>
      </c>
      <c r="C2" s="286"/>
      <c r="D2" s="286"/>
      <c r="E2" s="286"/>
      <c r="F2" s="286"/>
      <c r="G2" s="286"/>
      <c r="H2" s="286"/>
      <c r="I2" s="286"/>
      <c r="J2" s="287"/>
    </row>
    <row r="3" spans="1:10" s="84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  <c r="J3" s="281"/>
    </row>
    <row r="4" spans="1:10" x14ac:dyDescent="0.25">
      <c r="B4" s="281"/>
      <c r="C4" s="281"/>
      <c r="D4" s="281"/>
      <c r="E4" s="281"/>
      <c r="F4" s="281"/>
      <c r="G4" s="281"/>
      <c r="H4" s="281"/>
    </row>
    <row r="6" spans="1:10" ht="15.75" thickBot="1" x14ac:dyDescent="0.3"/>
    <row r="7" spans="1:10" x14ac:dyDescent="0.25">
      <c r="E7" s="279" t="s">
        <v>14</v>
      </c>
      <c r="F7" s="280"/>
      <c r="G7" s="201"/>
    </row>
    <row r="8" spans="1:10" ht="27" customHeight="1" x14ac:dyDescent="0.25">
      <c r="A8" s="45" t="s">
        <v>33</v>
      </c>
      <c r="B8" s="45" t="s">
        <v>150</v>
      </c>
      <c r="C8" s="45" t="s">
        <v>68</v>
      </c>
      <c r="D8" s="45" t="s">
        <v>151</v>
      </c>
      <c r="E8" s="52" t="s">
        <v>27</v>
      </c>
      <c r="F8" s="49" t="s">
        <v>152</v>
      </c>
      <c r="G8" s="202" t="s">
        <v>68</v>
      </c>
      <c r="H8" s="50" t="s">
        <v>2</v>
      </c>
      <c r="I8" s="51" t="s">
        <v>53</v>
      </c>
      <c r="J8" s="51" t="s">
        <v>54</v>
      </c>
    </row>
    <row r="9" spans="1:10" x14ac:dyDescent="0.25">
      <c r="A9" s="46">
        <f>'DIA 1'!B$6</f>
        <v>44743</v>
      </c>
      <c r="B9" s="199">
        <f>+'DIA 1'!G$50</f>
        <v>282.25707499999999</v>
      </c>
      <c r="C9" s="199">
        <f>+'DIA 1'!G$51</f>
        <v>293.83535000000006</v>
      </c>
      <c r="D9" s="199">
        <f>+'DIA 1'!G$55</f>
        <v>0</v>
      </c>
      <c r="E9" s="203">
        <f t="shared" ref="E9:E39" si="0">B9+D9</f>
        <v>282.25707499999999</v>
      </c>
      <c r="F9" s="204">
        <f>+'DIA 1'!K$50</f>
        <v>0</v>
      </c>
      <c r="G9" s="204">
        <f>+'DIA 1'!K$51</f>
        <v>0</v>
      </c>
      <c r="H9" s="205">
        <f>+'DIA 1'!K$55</f>
        <v>0</v>
      </c>
      <c r="I9" s="60">
        <f t="shared" ref="I9:I39" si="1">B9-F9</f>
        <v>282.25707499999999</v>
      </c>
      <c r="J9" s="60">
        <f>D9-H9</f>
        <v>0</v>
      </c>
    </row>
    <row r="10" spans="1:10" x14ac:dyDescent="0.25">
      <c r="A10" s="46">
        <f>'DIA 2'!B$6</f>
        <v>44744</v>
      </c>
      <c r="B10" s="199">
        <f>'DIA 2'!G$50</f>
        <v>826.07759999999996</v>
      </c>
      <c r="C10" s="199">
        <f>'DIA 2'!G$51</f>
        <v>373.14754999999997</v>
      </c>
      <c r="D10" s="199">
        <f>'DIA 2'!G$55</f>
        <v>0</v>
      </c>
      <c r="E10" s="203">
        <f t="shared" si="0"/>
        <v>826.07759999999996</v>
      </c>
      <c r="F10" s="199">
        <f>'DIA 2'!K$50</f>
        <v>826.08</v>
      </c>
      <c r="G10" s="199">
        <f>'DIA 2'!K$51</f>
        <v>373.15</v>
      </c>
      <c r="H10" s="199">
        <f>'DIA 2'!K$55</f>
        <v>0</v>
      </c>
      <c r="I10" s="60">
        <f t="shared" si="1"/>
        <v>-2.4000000000796717E-3</v>
      </c>
      <c r="J10" s="60">
        <f t="shared" ref="J10:J39" si="2">D10-H10</f>
        <v>0</v>
      </c>
    </row>
    <row r="11" spans="1:10" x14ac:dyDescent="0.25">
      <c r="A11" s="46">
        <f>'DIA 3'!B$6</f>
        <v>44745</v>
      </c>
      <c r="B11" s="199">
        <f>'DIA 3'!G$50</f>
        <v>1331.2501749999999</v>
      </c>
      <c r="C11" s="199">
        <f>'DIA 3'!G$51</f>
        <v>345.72514999999999</v>
      </c>
      <c r="D11" s="199">
        <f>'DIA 3'!G$55</f>
        <v>0</v>
      </c>
      <c r="E11" s="203">
        <f t="shared" si="0"/>
        <v>1331.2501749999999</v>
      </c>
      <c r="F11" s="199">
        <f>'DIA 3'!K$50</f>
        <v>1331.25</v>
      </c>
      <c r="G11" s="199">
        <f>'DIA 3'!K$51</f>
        <v>345.73</v>
      </c>
      <c r="H11" s="199">
        <f>'DIA 3'!K$55</f>
        <v>0</v>
      </c>
      <c r="I11" s="60">
        <f t="shared" si="1"/>
        <v>1.7499999989922799E-4</v>
      </c>
      <c r="J11" s="60">
        <f t="shared" si="2"/>
        <v>0</v>
      </c>
    </row>
    <row r="12" spans="1:10" x14ac:dyDescent="0.25">
      <c r="A12" s="46">
        <f>'DIA 4'!B$6</f>
        <v>44746</v>
      </c>
      <c r="B12" s="199">
        <f>'DIA 4'!G$50</f>
        <v>485.39204999999993</v>
      </c>
      <c r="C12" s="199">
        <f>'DIA 4'!G$51</f>
        <v>153.55165</v>
      </c>
      <c r="D12" s="199">
        <f>'DIA 4'!G$55</f>
        <v>0</v>
      </c>
      <c r="E12" s="203">
        <f t="shared" si="0"/>
        <v>485.39204999999993</v>
      </c>
      <c r="F12" s="199">
        <f>'DIA 4'!K$50</f>
        <v>485.39</v>
      </c>
      <c r="G12" s="199">
        <f>'DIA 4'!K$51</f>
        <v>153.55000000000001</v>
      </c>
      <c r="H12" s="199">
        <f>'DIA 4'!K$55</f>
        <v>0</v>
      </c>
      <c r="I12" s="60">
        <f t="shared" si="1"/>
        <v>2.0499999999401552E-3</v>
      </c>
      <c r="J12" s="60">
        <f t="shared" si="2"/>
        <v>0</v>
      </c>
    </row>
    <row r="13" spans="1:10" x14ac:dyDescent="0.25">
      <c r="A13" s="46">
        <f>'DIA 5'!B$6</f>
        <v>44747</v>
      </c>
      <c r="B13" s="199">
        <f>'DIA 5'!G$50</f>
        <v>392.27569999999997</v>
      </c>
      <c r="C13" s="199">
        <f>'DIA 5'!G$51</f>
        <v>415.77834999999999</v>
      </c>
      <c r="D13" s="199">
        <f>'DIA 5'!G$55</f>
        <v>0</v>
      </c>
      <c r="E13" s="203">
        <f t="shared" si="0"/>
        <v>392.27569999999997</v>
      </c>
      <c r="F13" s="199">
        <f>'DIA 5'!K$50</f>
        <v>392.28</v>
      </c>
      <c r="G13" s="199">
        <f>'DIA 5'!K$51</f>
        <v>415.78</v>
      </c>
      <c r="H13" s="199">
        <f>'DIA 5'!K$55</f>
        <v>0</v>
      </c>
      <c r="I13" s="60">
        <f t="shared" si="1"/>
        <v>-4.3000000000006366E-3</v>
      </c>
      <c r="J13" s="60">
        <f t="shared" si="2"/>
        <v>0</v>
      </c>
    </row>
    <row r="14" spans="1:10" x14ac:dyDescent="0.25">
      <c r="A14" s="46">
        <f>'DIA 6'!B$6</f>
        <v>44748</v>
      </c>
      <c r="B14" s="199">
        <f>'DIA 6'!G$50</f>
        <v>594.60675000000003</v>
      </c>
      <c r="C14" s="199">
        <f>'DIA 6'!G$51</f>
        <v>534.79589999999996</v>
      </c>
      <c r="D14" s="199">
        <f>'DIA 6'!G$55</f>
        <v>0</v>
      </c>
      <c r="E14" s="203">
        <f t="shared" si="0"/>
        <v>594.60675000000003</v>
      </c>
      <c r="F14" s="199">
        <f>'DIA 6'!K$50</f>
        <v>594.61</v>
      </c>
      <c r="G14" s="199">
        <f>'DIA 6'!K$51</f>
        <v>534.79999999999995</v>
      </c>
      <c r="H14" s="199">
        <f>'DIA 6'!K$55</f>
        <v>0</v>
      </c>
      <c r="I14" s="60">
        <f t="shared" si="1"/>
        <v>-3.2499999999799911E-3</v>
      </c>
      <c r="J14" s="60">
        <f t="shared" si="2"/>
        <v>0</v>
      </c>
    </row>
    <row r="15" spans="1:10" x14ac:dyDescent="0.25">
      <c r="A15" s="46">
        <f>'DIA 7'!B$6</f>
        <v>44749</v>
      </c>
      <c r="B15" s="199">
        <f>'DIA 7'!G$50</f>
        <v>946.73582499999986</v>
      </c>
      <c r="C15" s="199">
        <f>'DIA 7'!G$51</f>
        <v>1015.3872499999999</v>
      </c>
      <c r="D15" s="199">
        <f>'DIA 7'!G$55</f>
        <v>0</v>
      </c>
      <c r="E15" s="203">
        <f t="shared" si="0"/>
        <v>946.73582499999986</v>
      </c>
      <c r="F15" s="199">
        <f>'DIA 7'!K$50</f>
        <v>946.74</v>
      </c>
      <c r="G15" s="199">
        <f>'DIA 7'!K$51</f>
        <v>1015.39</v>
      </c>
      <c r="H15" s="199">
        <f>'DIA 7'!K$55</f>
        <v>0</v>
      </c>
      <c r="I15" s="60">
        <f t="shared" si="1"/>
        <v>-4.1750000001457011E-3</v>
      </c>
      <c r="J15" s="60">
        <f t="shared" si="2"/>
        <v>0</v>
      </c>
    </row>
    <row r="16" spans="1:10" x14ac:dyDescent="0.25">
      <c r="A16" s="46">
        <f>'DIA 8'!B$6</f>
        <v>44750</v>
      </c>
      <c r="B16" s="199">
        <f>'DIA 8'!G$50</f>
        <v>744.9704999999999</v>
      </c>
      <c r="C16" s="199">
        <f>'DIA 8'!G$51</f>
        <v>889.57320000000004</v>
      </c>
      <c r="D16" s="199">
        <f>'DIA 8'!G$55</f>
        <v>0</v>
      </c>
      <c r="E16" s="203">
        <f t="shared" si="0"/>
        <v>744.9704999999999</v>
      </c>
      <c r="F16" s="199">
        <f>'DIA 8'!K$50</f>
        <v>744.97</v>
      </c>
      <c r="G16" s="199">
        <f>'DIA 8'!K$51</f>
        <v>889.57</v>
      </c>
      <c r="H16" s="199">
        <f>'DIA 8'!K$55</f>
        <v>0</v>
      </c>
      <c r="I16" s="60">
        <f t="shared" si="1"/>
        <v>4.9999999987448973E-4</v>
      </c>
      <c r="J16" s="60">
        <f t="shared" si="2"/>
        <v>0</v>
      </c>
    </row>
    <row r="17" spans="1:10" x14ac:dyDescent="0.25">
      <c r="A17" s="46">
        <f>'DIA 9'!B$6</f>
        <v>44751</v>
      </c>
      <c r="B17" s="199">
        <f>'DIA 9'!G$50</f>
        <v>464.17239999999998</v>
      </c>
      <c r="C17" s="199">
        <f>'DIA 9'!G$51</f>
        <v>419.12734999999998</v>
      </c>
      <c r="D17" s="199">
        <f>'DIA 9'!G$55</f>
        <v>0</v>
      </c>
      <c r="E17" s="203">
        <f t="shared" si="0"/>
        <v>464.17239999999998</v>
      </c>
      <c r="F17" s="199">
        <f>'DIA 9'!K$50</f>
        <v>464.17</v>
      </c>
      <c r="G17" s="199">
        <f>'DIA 9'!K$51</f>
        <v>419.13</v>
      </c>
      <c r="H17" s="199">
        <f>'DIA 9'!K$55</f>
        <v>0</v>
      </c>
      <c r="I17" s="60">
        <f t="shared" si="1"/>
        <v>2.3999999999659849E-3</v>
      </c>
      <c r="J17" s="60">
        <f t="shared" si="2"/>
        <v>0</v>
      </c>
    </row>
    <row r="18" spans="1:10" x14ac:dyDescent="0.25">
      <c r="A18" s="46">
        <f>'DIA 10'!B$6</f>
        <v>44752</v>
      </c>
      <c r="B18" s="199">
        <f>'DIA 10'!G$50</f>
        <v>1086.4699000000001</v>
      </c>
      <c r="C18" s="199">
        <f>'DIA 10'!G$51</f>
        <v>356.75715000000002</v>
      </c>
      <c r="D18" s="199">
        <f>'DIA 10'!G$55</f>
        <v>0</v>
      </c>
      <c r="E18" s="203">
        <f t="shared" si="0"/>
        <v>1086.4699000000001</v>
      </c>
      <c r="F18" s="199">
        <f>'DIA 10'!K$50</f>
        <v>1086.47</v>
      </c>
      <c r="G18" s="199">
        <f>'DIA 10'!K$51</f>
        <v>356.76</v>
      </c>
      <c r="H18" s="199">
        <f>'DIA 10'!K$55</f>
        <v>0</v>
      </c>
      <c r="I18" s="60">
        <f t="shared" si="1"/>
        <v>-9.9999999974897946E-5</v>
      </c>
      <c r="J18" s="60">
        <f t="shared" si="2"/>
        <v>0</v>
      </c>
    </row>
    <row r="19" spans="1:10" x14ac:dyDescent="0.25">
      <c r="A19" s="46">
        <f>'DIA 11'!B$6</f>
        <v>44753</v>
      </c>
      <c r="B19" s="199">
        <f>'DIA 11'!G$50</f>
        <v>481.54114999999996</v>
      </c>
      <c r="C19" s="199">
        <f>'DIA 11'!G$51</f>
        <v>239.25649999999999</v>
      </c>
      <c r="D19" s="199">
        <f>'DIA 11'!G$55</f>
        <v>0</v>
      </c>
      <c r="E19" s="203">
        <f t="shared" si="0"/>
        <v>481.54114999999996</v>
      </c>
      <c r="F19" s="199">
        <f>'DIA 11'!K$50</f>
        <v>481.54</v>
      </c>
      <c r="G19" s="199">
        <f>'DIA 11'!K$51</f>
        <v>239.26</v>
      </c>
      <c r="H19" s="199">
        <f>'DIA 11'!K$55</f>
        <v>0</v>
      </c>
      <c r="I19" s="60">
        <f t="shared" si="1"/>
        <v>1.1499999999387001E-3</v>
      </c>
      <c r="J19" s="60">
        <f t="shared" si="2"/>
        <v>0</v>
      </c>
    </row>
    <row r="20" spans="1:10" x14ac:dyDescent="0.25">
      <c r="A20" s="46">
        <f>'DIA 12'!B$6</f>
        <v>44754</v>
      </c>
      <c r="B20" s="199">
        <f>'DIA 12'!G$50</f>
        <v>446.52574999999996</v>
      </c>
      <c r="C20" s="199">
        <f>'DIA 12'!G$51</f>
        <v>285.07870000000003</v>
      </c>
      <c r="D20" s="199">
        <f>'DIA 12'!G$55</f>
        <v>0</v>
      </c>
      <c r="E20" s="203">
        <f t="shared" si="0"/>
        <v>446.52574999999996</v>
      </c>
      <c r="F20" s="199">
        <f>'DIA 12'!K$50</f>
        <v>446.53</v>
      </c>
      <c r="G20" s="199">
        <f>'DIA 12'!K$51</f>
        <v>285.08</v>
      </c>
      <c r="H20" s="199">
        <f>'DIA 12'!K$55</f>
        <v>0</v>
      </c>
      <c r="I20" s="60">
        <f t="shared" si="1"/>
        <v>-4.2500000000131877E-3</v>
      </c>
      <c r="J20" s="60">
        <f t="shared" si="2"/>
        <v>0</v>
      </c>
    </row>
    <row r="21" spans="1:10" x14ac:dyDescent="0.25">
      <c r="A21" s="46">
        <f>'DIA 13'!B$6</f>
        <v>44755</v>
      </c>
      <c r="B21" s="199">
        <f>'DIA 13'!G$50</f>
        <v>484.945425</v>
      </c>
      <c r="C21" s="199">
        <f>'DIA 13'!G$51</f>
        <v>561.59775000000002</v>
      </c>
      <c r="D21" s="199">
        <f>'DIA 13'!G$55</f>
        <v>0</v>
      </c>
      <c r="E21" s="203">
        <f t="shared" si="0"/>
        <v>484.945425</v>
      </c>
      <c r="F21" s="199">
        <f>'DIA 13'!K$50</f>
        <v>484.95</v>
      </c>
      <c r="G21" s="199">
        <f>'DIA 13'!K$51</f>
        <v>561.6</v>
      </c>
      <c r="H21" s="199">
        <f>'DIA 13'!K$55</f>
        <v>0</v>
      </c>
      <c r="I21" s="60">
        <f t="shared" si="1"/>
        <v>-4.5749999999884494E-3</v>
      </c>
      <c r="J21" s="60">
        <f t="shared" si="2"/>
        <v>0</v>
      </c>
    </row>
    <row r="22" spans="1:10" x14ac:dyDescent="0.25">
      <c r="A22" s="46">
        <f>'DIA 14'!B$6</f>
        <v>44756</v>
      </c>
      <c r="B22" s="199">
        <f>'DIA 14'!G$50</f>
        <v>821.93887499999994</v>
      </c>
      <c r="C22" s="199">
        <f>'DIA 14'!G$51</f>
        <v>500.9119</v>
      </c>
      <c r="D22" s="199">
        <f>'DIA 14'!G$55</f>
        <v>0</v>
      </c>
      <c r="E22" s="203">
        <f t="shared" si="0"/>
        <v>821.93887499999994</v>
      </c>
      <c r="F22" s="199">
        <f>'DIA 14'!K$50</f>
        <v>821.94</v>
      </c>
      <c r="G22" s="199">
        <f>'DIA 14'!K$51</f>
        <v>500.91</v>
      </c>
      <c r="H22" s="199">
        <f>'DIA 14'!K$55</f>
        <v>0</v>
      </c>
      <c r="I22" s="60">
        <f t="shared" si="1"/>
        <v>-1.1250000001155058E-3</v>
      </c>
      <c r="J22" s="60">
        <f t="shared" si="2"/>
        <v>0</v>
      </c>
    </row>
    <row r="23" spans="1:10" x14ac:dyDescent="0.25">
      <c r="A23" s="46">
        <f>'DIA 15'!B$6</f>
        <v>44757</v>
      </c>
      <c r="B23" s="199">
        <f>'DIA 15'!G$50</f>
        <v>772.39327500000002</v>
      </c>
      <c r="C23" s="199">
        <f>'DIA 15'!G$51</f>
        <v>324.1635</v>
      </c>
      <c r="D23" s="199">
        <f>'DIA 15'!G$55</f>
        <v>0</v>
      </c>
      <c r="E23" s="203">
        <f t="shared" si="0"/>
        <v>772.39327500000002</v>
      </c>
      <c r="F23" s="199">
        <f>'DIA 15'!K$50</f>
        <v>772.39</v>
      </c>
      <c r="G23" s="199">
        <f>'DIA 15'!K$51</f>
        <v>324.16000000000003</v>
      </c>
      <c r="H23" s="199">
        <f>'DIA 15'!K$55</f>
        <v>0</v>
      </c>
      <c r="I23" s="60">
        <f t="shared" si="1"/>
        <v>3.275000000030559E-3</v>
      </c>
      <c r="J23" s="60">
        <f t="shared" si="2"/>
        <v>0</v>
      </c>
    </row>
    <row r="24" spans="1:10" x14ac:dyDescent="0.25">
      <c r="A24" s="46">
        <f>'DIA 16'!B$6</f>
        <v>44758</v>
      </c>
      <c r="B24" s="199">
        <f>'DIA 16'!G$50</f>
        <v>1512.679175</v>
      </c>
      <c r="C24" s="199">
        <f>'DIA 16'!G$51</f>
        <v>465.60949999999997</v>
      </c>
      <c r="D24" s="199">
        <f>'DIA 16'!G$55</f>
        <v>0</v>
      </c>
      <c r="E24" s="203">
        <f t="shared" si="0"/>
        <v>1512.679175</v>
      </c>
      <c r="F24" s="199">
        <f>'DIA 16'!K$50</f>
        <v>1512.68</v>
      </c>
      <c r="G24" s="199">
        <f>'DIA 16'!K$51</f>
        <v>465.61</v>
      </c>
      <c r="H24" s="199">
        <f>'DIA 16'!K$55</f>
        <v>0</v>
      </c>
      <c r="I24" s="60">
        <f t="shared" si="1"/>
        <v>-8.2500000007712515E-4</v>
      </c>
      <c r="J24" s="60">
        <f t="shared" si="2"/>
        <v>0</v>
      </c>
    </row>
    <row r="25" spans="1:10" x14ac:dyDescent="0.25">
      <c r="A25" s="46">
        <f>'DIA 17'!B$6</f>
        <v>44759</v>
      </c>
      <c r="B25" s="199">
        <f>'DIA 17'!G$50</f>
        <v>488.17105000000004</v>
      </c>
      <c r="C25" s="199">
        <f>'DIA 17'!G$51</f>
        <v>258.04045000000002</v>
      </c>
      <c r="D25" s="199">
        <f>'DIA 17'!G$55</f>
        <v>0</v>
      </c>
      <c r="E25" s="203">
        <f t="shared" si="0"/>
        <v>488.17105000000004</v>
      </c>
      <c r="F25" s="199">
        <f>'DIA 17'!K$50</f>
        <v>488.17</v>
      </c>
      <c r="G25" s="199">
        <f>'DIA 17'!K$51</f>
        <v>258.04000000000002</v>
      </c>
      <c r="H25" s="199">
        <f>'DIA 17'!K$55</f>
        <v>0</v>
      </c>
      <c r="I25" s="60">
        <f t="shared" si="1"/>
        <v>1.0500000000206455E-3</v>
      </c>
      <c r="J25" s="60">
        <f t="shared" si="2"/>
        <v>0</v>
      </c>
    </row>
    <row r="26" spans="1:10" x14ac:dyDescent="0.25">
      <c r="A26" s="46">
        <f>'DIA 18'!B$6</f>
        <v>44760</v>
      </c>
      <c r="B26" s="199">
        <f>'DIA 18'!G$50</f>
        <v>518.93854999999996</v>
      </c>
      <c r="C26" s="199">
        <f>'DIA 18'!G$51</f>
        <v>463.5213</v>
      </c>
      <c r="D26" s="199">
        <f>'DIA 18'!G$55</f>
        <v>0</v>
      </c>
      <c r="E26" s="203">
        <f t="shared" si="0"/>
        <v>518.93854999999996</v>
      </c>
      <c r="F26" s="199">
        <f>'DIA 18'!K$50</f>
        <v>518.94000000000005</v>
      </c>
      <c r="G26" s="199">
        <f>'DIA 18'!K$51</f>
        <v>463.52</v>
      </c>
      <c r="H26" s="199">
        <f>'DIA 18'!K$55</f>
        <v>0</v>
      </c>
      <c r="I26" s="60">
        <f t="shared" si="1"/>
        <v>-1.4500000000907676E-3</v>
      </c>
      <c r="J26" s="60">
        <f t="shared" si="2"/>
        <v>0</v>
      </c>
    </row>
    <row r="27" spans="1:10" x14ac:dyDescent="0.25">
      <c r="A27" s="46">
        <f>'DIA 19'!B$6</f>
        <v>44761</v>
      </c>
      <c r="B27" s="199">
        <f>'DIA 19'!G$50</f>
        <v>555.99850000000004</v>
      </c>
      <c r="C27" s="199">
        <f>'DIA 19'!G$51</f>
        <v>327.51249999999999</v>
      </c>
      <c r="D27" s="199">
        <f>'DIA 19'!G$55</f>
        <v>0</v>
      </c>
      <c r="E27" s="203">
        <f t="shared" si="0"/>
        <v>555.99850000000004</v>
      </c>
      <c r="F27" s="199">
        <f>'DIA 19'!K$50</f>
        <v>556</v>
      </c>
      <c r="G27" s="199">
        <f>'DIA 19'!K$51</f>
        <v>327.51</v>
      </c>
      <c r="H27" s="199">
        <f>'DIA 19'!K$55</f>
        <v>0</v>
      </c>
      <c r="I27" s="60">
        <f t="shared" si="1"/>
        <v>-1.4999999999645297E-3</v>
      </c>
      <c r="J27" s="60">
        <f t="shared" si="2"/>
        <v>0</v>
      </c>
    </row>
    <row r="28" spans="1:10" x14ac:dyDescent="0.25">
      <c r="A28" s="46">
        <f>'DIA 20'!B$6</f>
        <v>44762</v>
      </c>
      <c r="B28" s="199">
        <f>'DIA 20'!G$50</f>
        <v>458.72357499999993</v>
      </c>
      <c r="C28" s="199">
        <f>'DIA 20'!G$51</f>
        <v>166.04145</v>
      </c>
      <c r="D28" s="199">
        <f>'DIA 20'!G$55</f>
        <v>0</v>
      </c>
      <c r="E28" s="203">
        <f t="shared" si="0"/>
        <v>458.72357499999993</v>
      </c>
      <c r="F28" s="199">
        <f>'DIA 20'!K$50</f>
        <v>0</v>
      </c>
      <c r="G28" s="199">
        <f>'DIA 20'!K$51</f>
        <v>166.04</v>
      </c>
      <c r="H28" s="199">
        <f>'DIA 20'!K$55</f>
        <v>0</v>
      </c>
      <c r="I28" s="60">
        <f t="shared" si="1"/>
        <v>458.72357499999993</v>
      </c>
      <c r="J28" s="60">
        <f t="shared" si="2"/>
        <v>0</v>
      </c>
    </row>
    <row r="29" spans="1:10" x14ac:dyDescent="0.25">
      <c r="A29" s="46">
        <f>'DIA 21'!B$6</f>
        <v>44763</v>
      </c>
      <c r="B29" s="199">
        <f>'DIA 21'!G$50</f>
        <v>695.57377499999996</v>
      </c>
      <c r="C29" s="199">
        <f>'DIA 21'!G$51</f>
        <v>48.501400000000004</v>
      </c>
      <c r="D29" s="199">
        <f>'DIA 21'!G$55</f>
        <v>0</v>
      </c>
      <c r="E29" s="203">
        <f t="shared" si="0"/>
        <v>695.57377499999996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695.57377499999996</v>
      </c>
      <c r="J29" s="60">
        <f t="shared" si="2"/>
        <v>0</v>
      </c>
    </row>
    <row r="30" spans="1:10" x14ac:dyDescent="0.25">
      <c r="A30" s="46">
        <f>'DIA 22'!B$6</f>
        <v>44764</v>
      </c>
      <c r="B30" s="199">
        <f>'DIA 22'!G$50</f>
        <v>882.29280000000006</v>
      </c>
      <c r="C30" s="199">
        <f>'DIA 22'!G$51</f>
        <v>98.884150000000005</v>
      </c>
      <c r="D30" s="199">
        <f>'DIA 22'!G$55</f>
        <v>0</v>
      </c>
      <c r="E30" s="203">
        <f t="shared" si="0"/>
        <v>882.29280000000006</v>
      </c>
      <c r="F30" s="199">
        <f>'DIA 22'!K$50</f>
        <v>0</v>
      </c>
      <c r="G30" s="199">
        <f>'DIA 22'!K$51</f>
        <v>0</v>
      </c>
      <c r="H30" s="199">
        <f>'DIA 22'!K$55</f>
        <v>0</v>
      </c>
      <c r="I30" s="60">
        <f t="shared" si="1"/>
        <v>882.29280000000006</v>
      </c>
      <c r="J30" s="60">
        <f t="shared" si="2"/>
        <v>0</v>
      </c>
    </row>
    <row r="31" spans="1:10" x14ac:dyDescent="0.25">
      <c r="A31" s="46">
        <f>'DIA 23'!B$6</f>
        <v>44765</v>
      </c>
      <c r="B31" s="199">
        <f>'DIA 23'!G$50</f>
        <v>820.43027500000017</v>
      </c>
      <c r="C31" s="199">
        <f>'DIA 23'!G$51</f>
        <v>171.35060000000001</v>
      </c>
      <c r="D31" s="199">
        <f>'DIA 23'!G$55</f>
        <v>0</v>
      </c>
      <c r="E31" s="203">
        <f t="shared" si="0"/>
        <v>820.43027500000017</v>
      </c>
      <c r="F31" s="199">
        <f>'DIA 23'!K$50</f>
        <v>820.43</v>
      </c>
      <c r="G31" s="199">
        <f>'DIA 23'!K$51</f>
        <v>171.35</v>
      </c>
      <c r="H31" s="199">
        <f>'DIA 23'!K$55</f>
        <v>0</v>
      </c>
      <c r="I31" s="60">
        <f t="shared" si="1"/>
        <v>2.7500000021518645E-4</v>
      </c>
      <c r="J31" s="60">
        <f t="shared" si="2"/>
        <v>0</v>
      </c>
    </row>
    <row r="32" spans="1:10" x14ac:dyDescent="0.25">
      <c r="A32" s="46">
        <f>'DIA 24'!B$6</f>
        <v>44766</v>
      </c>
      <c r="B32" s="199">
        <f>'DIA 24'!G$50</f>
        <v>911.36312499999997</v>
      </c>
      <c r="C32" s="199">
        <f>'DIA 24'!G$51</f>
        <v>67.078499999999991</v>
      </c>
      <c r="D32" s="199">
        <f>'DIA 24'!G$55</f>
        <v>0</v>
      </c>
      <c r="E32" s="203">
        <f t="shared" si="0"/>
        <v>911.36312499999997</v>
      </c>
      <c r="F32" s="199">
        <f>'DIA 24'!K$50</f>
        <v>911.36</v>
      </c>
      <c r="G32" s="199">
        <f>'DIA 24'!K$51</f>
        <v>67.069999999999993</v>
      </c>
      <c r="H32" s="199">
        <f>'DIA 24'!K$55</f>
        <v>0</v>
      </c>
      <c r="I32" s="60">
        <f t="shared" si="1"/>
        <v>3.1249999999545253E-3</v>
      </c>
      <c r="J32" s="60">
        <f t="shared" si="2"/>
        <v>0</v>
      </c>
    </row>
    <row r="33" spans="1:10" x14ac:dyDescent="0.25">
      <c r="A33" s="46">
        <f>'DIA 25'!B$6</f>
        <v>44767</v>
      </c>
      <c r="B33" s="199">
        <f>'DIA 25'!G$50</f>
        <v>714.69924999999989</v>
      </c>
      <c r="C33" s="199">
        <f>'DIA 25'!G$51</f>
        <v>350.52210000000002</v>
      </c>
      <c r="D33" s="199">
        <f>'DIA 25'!G$55</f>
        <v>0</v>
      </c>
      <c r="E33" s="203">
        <f t="shared" si="0"/>
        <v>714.69924999999989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714.69924999999989</v>
      </c>
      <c r="J33" s="60">
        <f t="shared" si="2"/>
        <v>0</v>
      </c>
    </row>
    <row r="34" spans="1:10" x14ac:dyDescent="0.25">
      <c r="A34" s="46">
        <f>'DIA 26'!B$6</f>
        <v>44768</v>
      </c>
      <c r="B34" s="199">
        <f>'DIA 26'!G$50</f>
        <v>418.82507500000003</v>
      </c>
      <c r="C34" s="199">
        <f>'DIA 26'!G$51</f>
        <v>521.61660000000006</v>
      </c>
      <c r="D34" s="199">
        <f>'DIA 26'!G$55</f>
        <v>0</v>
      </c>
      <c r="E34" s="203">
        <f t="shared" si="0"/>
        <v>418.82507500000003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418.82507500000003</v>
      </c>
      <c r="J34" s="60">
        <f t="shared" si="2"/>
        <v>0</v>
      </c>
    </row>
    <row r="35" spans="1:10" x14ac:dyDescent="0.25">
      <c r="A35" s="46">
        <f>'DIA 27'!B$6</f>
        <v>44769</v>
      </c>
      <c r="B35" s="199">
        <f>'DIA 27'!G$50</f>
        <v>784.9682499999999</v>
      </c>
      <c r="C35" s="199">
        <f>'DIA 27'!G$51</f>
        <v>794.60935000000006</v>
      </c>
      <c r="D35" s="199">
        <f>'DIA 27'!G$55</f>
        <v>0</v>
      </c>
      <c r="E35" s="203">
        <f t="shared" si="0"/>
        <v>784.9682499999999</v>
      </c>
      <c r="F35" s="199">
        <f>'DIA 27'!K$50</f>
        <v>0</v>
      </c>
      <c r="G35" s="199">
        <f>'DIA 27'!K$51</f>
        <v>0</v>
      </c>
      <c r="H35" s="199">
        <f>'DIA 27'!K$55</f>
        <v>0</v>
      </c>
      <c r="I35" s="60">
        <f t="shared" si="1"/>
        <v>784.9682499999999</v>
      </c>
      <c r="J35" s="60">
        <f t="shared" si="2"/>
        <v>0</v>
      </c>
    </row>
    <row r="36" spans="1:10" x14ac:dyDescent="0.25">
      <c r="A36" s="46">
        <f>'DIA 28'!B$6</f>
        <v>44770</v>
      </c>
      <c r="B36" s="199">
        <f>'DIA 28'!G$50</f>
        <v>1091.1942000000001</v>
      </c>
      <c r="C36" s="199">
        <f>'DIA 28'!G$51</f>
        <v>473.03640000000001</v>
      </c>
      <c r="D36" s="199">
        <f>'DIA 28'!G$55</f>
        <v>0</v>
      </c>
      <c r="E36" s="203">
        <f t="shared" si="0"/>
        <v>1091.1942000000001</v>
      </c>
      <c r="F36" s="199">
        <f>'DIA 28'!K$50</f>
        <v>0</v>
      </c>
      <c r="G36" s="199">
        <f>'DIA 28'!K$51</f>
        <v>0</v>
      </c>
      <c r="H36" s="199">
        <f>'DIA 28'!K$55</f>
        <v>0</v>
      </c>
      <c r="I36" s="60">
        <f t="shared" si="1"/>
        <v>1091.1942000000001</v>
      </c>
      <c r="J36" s="60">
        <f t="shared" si="2"/>
        <v>0</v>
      </c>
    </row>
    <row r="37" spans="1:10" x14ac:dyDescent="0.25">
      <c r="A37" s="46">
        <f>'DIA 29'!B$6</f>
        <v>44771</v>
      </c>
      <c r="B37" s="199">
        <f>'DIA 29'!G$50</f>
        <v>1349.1846500000001</v>
      </c>
      <c r="C37" s="199">
        <f>'DIA 29'!G$51</f>
        <v>755.55409999999995</v>
      </c>
      <c r="D37" s="199">
        <f>'DIA 29'!G$55</f>
        <v>0</v>
      </c>
      <c r="E37" s="203">
        <f t="shared" si="0"/>
        <v>1349.1846500000001</v>
      </c>
      <c r="F37" s="199">
        <f>'DIA 29'!K$50</f>
        <v>0</v>
      </c>
      <c r="G37" s="199">
        <f>'DIA 29'!K$51</f>
        <v>0</v>
      </c>
      <c r="H37" s="199">
        <f>'DIA 29'!K$55</f>
        <v>0</v>
      </c>
      <c r="I37" s="60">
        <f t="shared" si="1"/>
        <v>1349.1846500000001</v>
      </c>
      <c r="J37" s="60">
        <f t="shared" si="2"/>
        <v>0</v>
      </c>
    </row>
    <row r="38" spans="1:10" x14ac:dyDescent="0.25">
      <c r="A38" s="46">
        <f>'DIA 30'!B$6</f>
        <v>44772</v>
      </c>
      <c r="B38" s="199">
        <f>'DIA 30'!G$50</f>
        <v>1074.490425</v>
      </c>
      <c r="C38" s="199">
        <f>'DIA 30'!G$51</f>
        <v>340.8691</v>
      </c>
      <c r="D38" s="199">
        <f>'DIA 30'!G$55</f>
        <v>0</v>
      </c>
      <c r="E38" s="203">
        <f t="shared" si="0"/>
        <v>1074.490425</v>
      </c>
      <c r="F38" s="199">
        <f>'DIA 30'!K$50</f>
        <v>0</v>
      </c>
      <c r="G38" s="199">
        <f>'DIA 30'!K$51</f>
        <v>0</v>
      </c>
      <c r="H38" s="199">
        <f>'DIA 30'!K$55</f>
        <v>0</v>
      </c>
      <c r="I38" s="60">
        <f t="shared" si="1"/>
        <v>1074.490425</v>
      </c>
      <c r="J38" s="60">
        <f t="shared" si="2"/>
        <v>0</v>
      </c>
    </row>
    <row r="39" spans="1:10" x14ac:dyDescent="0.25">
      <c r="A39" s="46">
        <f>'DIA 31'!B$6</f>
        <v>44773</v>
      </c>
      <c r="B39" s="199">
        <f>'DIA 31'!G$50</f>
        <v>1542.3847000000001</v>
      </c>
      <c r="C39" s="199">
        <f>'DIA 31'!G$51</f>
        <v>234.04585</v>
      </c>
      <c r="D39" s="199">
        <f>'DIA 31'!G$55</f>
        <v>0</v>
      </c>
      <c r="E39" s="203">
        <f t="shared" si="0"/>
        <v>1542.3847000000001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1542.3847000000001</v>
      </c>
      <c r="J39" s="60">
        <f t="shared" si="2"/>
        <v>0</v>
      </c>
    </row>
    <row r="40" spans="1:10" x14ac:dyDescent="0.25">
      <c r="A40" s="53" t="s">
        <v>38</v>
      </c>
      <c r="B40" s="133">
        <f>SUM(B9:B39)</f>
        <v>23981.469825000007</v>
      </c>
      <c r="C40" s="133"/>
      <c r="D40" s="133">
        <f>SUM(D9:D38)</f>
        <v>0</v>
      </c>
      <c r="E40" s="133">
        <f>SUM(E9:E38)</f>
        <v>22439.085125000009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4" zoomScale="90" zoomScaleNormal="90" workbookViewId="0">
      <selection activeCell="C34" sqref="C34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8"/>
      <c r="B1" s="282" t="s">
        <v>12</v>
      </c>
      <c r="C1" s="283"/>
      <c r="D1" s="283"/>
      <c r="E1" s="283"/>
      <c r="F1" s="283"/>
      <c r="G1" s="283"/>
      <c r="H1" s="283"/>
      <c r="I1" s="284"/>
    </row>
    <row r="2" spans="1:9" s="84" customFormat="1" ht="16.5" customHeight="1" x14ac:dyDescent="0.25">
      <c r="A2" s="278"/>
      <c r="B2" s="285" t="s">
        <v>153</v>
      </c>
      <c r="C2" s="286"/>
      <c r="D2" s="286"/>
      <c r="E2" s="286"/>
      <c r="F2" s="286"/>
      <c r="G2" s="286"/>
      <c r="H2" s="286"/>
      <c r="I2" s="287"/>
    </row>
    <row r="3" spans="1:9" s="84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</row>
    <row r="4" spans="1:9" x14ac:dyDescent="0.25">
      <c r="B4" s="281"/>
      <c r="C4" s="281"/>
      <c r="D4" s="281"/>
      <c r="E4" s="281"/>
      <c r="F4" s="281"/>
      <c r="G4" s="281"/>
    </row>
    <row r="6" spans="1:9" ht="15.75" thickBot="1" x14ac:dyDescent="0.3"/>
    <row r="7" spans="1:9" x14ac:dyDescent="0.25">
      <c r="E7" s="279" t="s">
        <v>14</v>
      </c>
      <c r="F7" s="280"/>
    </row>
    <row r="8" spans="1:9" ht="27" customHeight="1" x14ac:dyDescent="0.25">
      <c r="A8" s="45" t="s">
        <v>33</v>
      </c>
      <c r="B8" s="45" t="s">
        <v>154</v>
      </c>
      <c r="C8" s="45" t="s">
        <v>155</v>
      </c>
      <c r="D8" s="52" t="s">
        <v>27</v>
      </c>
      <c r="E8" s="49" t="s">
        <v>154</v>
      </c>
      <c r="F8" s="50" t="s">
        <v>155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1'!G$48</f>
        <v>0</v>
      </c>
      <c r="C9" s="199">
        <f>+'DIA 1'!G$54</f>
        <v>0</v>
      </c>
      <c r="D9" s="203">
        <f>B9+C9</f>
        <v>0</v>
      </c>
      <c r="E9" s="204">
        <f>+'DIA 1'!K$48</f>
        <v>0</v>
      </c>
      <c r="F9" s="205">
        <f>+'DIA 1'!K$54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2'!G$48</f>
        <v>0</v>
      </c>
      <c r="C10" s="199">
        <f>'DIA 2'!G$54</f>
        <v>0</v>
      </c>
      <c r="D10" s="203">
        <f t="shared" ref="D10:D39" si="0">B10+C10</f>
        <v>0</v>
      </c>
      <c r="E10" s="199">
        <f>'DIA 2'!K$48</f>
        <v>0</v>
      </c>
      <c r="F10" s="199">
        <f>'DIA 2'!K$54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3'!G$48</f>
        <v>0</v>
      </c>
      <c r="C11" s="199">
        <f>'DIA 3'!G$54</f>
        <v>0</v>
      </c>
      <c r="D11" s="203">
        <f t="shared" si="0"/>
        <v>0</v>
      </c>
      <c r="E11" s="199">
        <f>'DIA 3'!K$48</f>
        <v>0</v>
      </c>
      <c r="F11" s="199">
        <f>'DIA 3'!K$54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4'!G$48</f>
        <v>0</v>
      </c>
      <c r="C12" s="199">
        <f>'DIA 4'!G$54</f>
        <v>0</v>
      </c>
      <c r="D12" s="203">
        <f t="shared" si="0"/>
        <v>0</v>
      </c>
      <c r="E12" s="199">
        <f>'DIA 4'!K$48</f>
        <v>0</v>
      </c>
      <c r="F12" s="199">
        <f>'DIA 4'!K$54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5'!G$48</f>
        <v>0</v>
      </c>
      <c r="C13" s="199">
        <f>'DIA 5'!G$54</f>
        <v>0</v>
      </c>
      <c r="D13" s="203">
        <f t="shared" si="0"/>
        <v>0</v>
      </c>
      <c r="E13" s="199">
        <f>'DIA 5'!K$48</f>
        <v>0</v>
      </c>
      <c r="F13" s="199">
        <f>'DIA 5'!K$54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6'!G$48</f>
        <v>0</v>
      </c>
      <c r="C14" s="199">
        <f>'DIA 6'!G$54</f>
        <v>0</v>
      </c>
      <c r="D14" s="203">
        <f t="shared" si="0"/>
        <v>0</v>
      </c>
      <c r="E14" s="199">
        <f>'DIA 6'!K$48</f>
        <v>0</v>
      </c>
      <c r="F14" s="199">
        <f>'DIA 6'!K$54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7'!G$48</f>
        <v>0</v>
      </c>
      <c r="C15" s="199">
        <f>'DIA 7'!G$54</f>
        <v>0</v>
      </c>
      <c r="D15" s="203">
        <f t="shared" si="0"/>
        <v>0</v>
      </c>
      <c r="E15" s="199">
        <f>'DIA 7'!K$48</f>
        <v>0</v>
      </c>
      <c r="F15" s="199">
        <f>'DIA 7'!K$54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8'!G$48</f>
        <v>0</v>
      </c>
      <c r="C16" s="199">
        <f>'DIA 8'!G$54</f>
        <v>0</v>
      </c>
      <c r="D16" s="203">
        <f t="shared" si="0"/>
        <v>0</v>
      </c>
      <c r="E16" s="199">
        <f>'DIA 8'!K$48</f>
        <v>0</v>
      </c>
      <c r="F16" s="199">
        <f>'DIA 8'!K$54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9'!G$48</f>
        <v>0</v>
      </c>
      <c r="C17" s="199">
        <f>'DIA 9'!G$54</f>
        <v>0</v>
      </c>
      <c r="D17" s="203">
        <f t="shared" si="0"/>
        <v>0</v>
      </c>
      <c r="E17" s="199">
        <f>'DIA 9'!K$48</f>
        <v>0</v>
      </c>
      <c r="F17" s="199">
        <f>'DIA 9'!K$54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10'!G$48</f>
        <v>0</v>
      </c>
      <c r="C18" s="199">
        <f>'DIA 10'!G$54</f>
        <v>0</v>
      </c>
      <c r="D18" s="203">
        <f t="shared" si="0"/>
        <v>0</v>
      </c>
      <c r="E18" s="199">
        <f>'DIA 10'!K$48</f>
        <v>0</v>
      </c>
      <c r="F18" s="199">
        <f>'DIA 10'!K$54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11'!G$48</f>
        <v>0</v>
      </c>
      <c r="C19" s="199">
        <f>'DIA 11'!G$54</f>
        <v>0</v>
      </c>
      <c r="D19" s="203">
        <f t="shared" si="0"/>
        <v>0</v>
      </c>
      <c r="E19" s="199">
        <f>'DIA 11'!K$48</f>
        <v>0</v>
      </c>
      <c r="F19" s="199">
        <f>'DIA 11'!K$54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12'!G$48</f>
        <v>0</v>
      </c>
      <c r="C20" s="199">
        <f>'DIA 12'!G$54</f>
        <v>0</v>
      </c>
      <c r="D20" s="203">
        <f t="shared" si="0"/>
        <v>0</v>
      </c>
      <c r="E20" s="199">
        <f>'DIA 12'!K$48</f>
        <v>0</v>
      </c>
      <c r="F20" s="199">
        <f>'DIA 12'!K$54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13'!G$48</f>
        <v>0</v>
      </c>
      <c r="C21" s="199">
        <f>'DIA 13'!G$54</f>
        <v>0</v>
      </c>
      <c r="D21" s="203">
        <f t="shared" si="0"/>
        <v>0</v>
      </c>
      <c r="E21" s="199">
        <f>'DIA 13'!K$48</f>
        <v>0</v>
      </c>
      <c r="F21" s="199">
        <f>'DIA 13'!K$54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14'!G$48</f>
        <v>0</v>
      </c>
      <c r="C22" s="199">
        <f>'DIA 14'!G$54</f>
        <v>0</v>
      </c>
      <c r="D22" s="203">
        <f t="shared" si="0"/>
        <v>0</v>
      </c>
      <c r="E22" s="199">
        <f>'DIA 14'!K$48</f>
        <v>0</v>
      </c>
      <c r="F22" s="199">
        <f>'DIA 14'!K$54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15'!G$48</f>
        <v>0</v>
      </c>
      <c r="C23" s="199">
        <f>'DIA 15'!G$54</f>
        <v>0</v>
      </c>
      <c r="D23" s="203">
        <f t="shared" si="0"/>
        <v>0</v>
      </c>
      <c r="E23" s="199">
        <f>'DIA 15'!K$48</f>
        <v>0</v>
      </c>
      <c r="F23" s="199">
        <f>'DIA 15'!K$54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16'!G$48</f>
        <v>0</v>
      </c>
      <c r="C24" s="199">
        <f>'DIA 16'!G$54</f>
        <v>0</v>
      </c>
      <c r="D24" s="203">
        <f t="shared" si="0"/>
        <v>0</v>
      </c>
      <c r="E24" s="199">
        <f>'DIA 16'!K$48</f>
        <v>0</v>
      </c>
      <c r="F24" s="199">
        <f>'DIA 16'!K$54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17'!G$48</f>
        <v>0</v>
      </c>
      <c r="C25" s="199">
        <f>'DIA 17'!G$54</f>
        <v>0</v>
      </c>
      <c r="D25" s="203">
        <f t="shared" si="0"/>
        <v>0</v>
      </c>
      <c r="E25" s="199">
        <f>'DIA 17'!K$48</f>
        <v>0</v>
      </c>
      <c r="F25" s="199">
        <f>'DIA 17'!K$54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18'!G$48</f>
        <v>0</v>
      </c>
      <c r="C26" s="199">
        <f>'DIA 18'!G$54</f>
        <v>0</v>
      </c>
      <c r="D26" s="203">
        <f t="shared" si="0"/>
        <v>0</v>
      </c>
      <c r="E26" s="199">
        <f>'DIA 18'!K$48</f>
        <v>0</v>
      </c>
      <c r="F26" s="199">
        <f>'DIA 18'!K$54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19'!G$48</f>
        <v>0</v>
      </c>
      <c r="C27" s="199">
        <f>'DIA 19'!G$54</f>
        <v>0</v>
      </c>
      <c r="D27" s="203">
        <f t="shared" si="0"/>
        <v>0</v>
      </c>
      <c r="E27" s="199">
        <f>'DIA 19'!K$48</f>
        <v>0</v>
      </c>
      <c r="F27" s="199">
        <f>'DIA 19'!K$54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20'!G$48</f>
        <v>0</v>
      </c>
      <c r="C28" s="199">
        <f>'DIA 20'!G$54</f>
        <v>0</v>
      </c>
      <c r="D28" s="203">
        <f t="shared" si="0"/>
        <v>0</v>
      </c>
      <c r="E28" s="199">
        <f>'DIA 20'!K$48</f>
        <v>0</v>
      </c>
      <c r="F28" s="199">
        <f>'DIA 20'!K$54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21'!G$48</f>
        <v>0</v>
      </c>
      <c r="C29" s="199">
        <f>'DIA 21'!G$54</f>
        <v>0</v>
      </c>
      <c r="D29" s="203">
        <f t="shared" si="0"/>
        <v>0</v>
      </c>
      <c r="E29" s="199">
        <f>'DIA 21'!K$48</f>
        <v>0</v>
      </c>
      <c r="F29" s="199">
        <f>'DIA 21'!K$54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22'!G$48</f>
        <v>0</v>
      </c>
      <c r="C30" s="199">
        <f>'DIA 22'!G$54</f>
        <v>0</v>
      </c>
      <c r="D30" s="203">
        <f t="shared" si="0"/>
        <v>0</v>
      </c>
      <c r="E30" s="199">
        <f>'DIA 22'!K$48</f>
        <v>0</v>
      </c>
      <c r="F30" s="199">
        <f>'DIA 22'!K$54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23'!G$48</f>
        <v>0</v>
      </c>
      <c r="C31" s="199">
        <f>'DIA 23'!G$54</f>
        <v>0</v>
      </c>
      <c r="D31" s="203">
        <f t="shared" si="0"/>
        <v>0</v>
      </c>
      <c r="E31" s="199">
        <f>'DIA 23'!K$48</f>
        <v>0</v>
      </c>
      <c r="F31" s="199">
        <f>'DIA 23'!K$54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25'!G$48</f>
        <v>0</v>
      </c>
      <c r="C33" s="199">
        <f>'DIA 25'!G$54</f>
        <v>0</v>
      </c>
      <c r="D33" s="203">
        <f t="shared" si="0"/>
        <v>0</v>
      </c>
      <c r="E33" s="199">
        <f>'DIA 25'!K$48</f>
        <v>0</v>
      </c>
      <c r="F33" s="199">
        <f>'DIA 25'!K$54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26'!G$48</f>
        <v>0</v>
      </c>
      <c r="C34" s="199">
        <f>'DIA 26'!G$54</f>
        <v>0</v>
      </c>
      <c r="D34" s="203">
        <f t="shared" si="0"/>
        <v>0</v>
      </c>
      <c r="E34" s="199">
        <f>'DIA 26'!K$48</f>
        <v>0</v>
      </c>
      <c r="F34" s="199">
        <f>'DIA 26'!K$54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27'!G$48</f>
        <v>0</v>
      </c>
      <c r="C35" s="199">
        <f>'DIA 27'!G$54</f>
        <v>0</v>
      </c>
      <c r="D35" s="203">
        <f t="shared" si="0"/>
        <v>0</v>
      </c>
      <c r="E35" s="199">
        <f>'DIA 27'!K$48</f>
        <v>0</v>
      </c>
      <c r="F35" s="199">
        <f>'DIA 27'!K$54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28'!G$48</f>
        <v>0</v>
      </c>
      <c r="C36" s="199">
        <f>'DIA 28'!G$54</f>
        <v>0</v>
      </c>
      <c r="D36" s="203">
        <f t="shared" si="0"/>
        <v>0</v>
      </c>
      <c r="E36" s="199">
        <f>'DIA 28'!K$48</f>
        <v>0</v>
      </c>
      <c r="F36" s="199">
        <f>'DIA 28'!K$54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29'!G$48</f>
        <v>0</v>
      </c>
      <c r="C37" s="199">
        <f>'DIA 29'!G$54</f>
        <v>0</v>
      </c>
      <c r="D37" s="203">
        <f t="shared" si="0"/>
        <v>0</v>
      </c>
      <c r="E37" s="199">
        <f>'DIA 29'!K$48</f>
        <v>0</v>
      </c>
      <c r="F37" s="199">
        <f>'DIA 29'!K$54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30'!G$48</f>
        <v>0</v>
      </c>
      <c r="C38" s="199">
        <f>'DIA 30'!G$54</f>
        <v>0</v>
      </c>
      <c r="D38" s="203">
        <f t="shared" si="0"/>
        <v>0</v>
      </c>
      <c r="E38" s="199">
        <f>'DIA 30'!K$48</f>
        <v>0</v>
      </c>
      <c r="F38" s="199">
        <f>'DIA 30'!K$54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31'!G$48</f>
        <v>0</v>
      </c>
      <c r="C39" s="199">
        <f>'DIA 31'!G$54</f>
        <v>0</v>
      </c>
      <c r="D39" s="203">
        <f t="shared" si="0"/>
        <v>0</v>
      </c>
      <c r="E39" s="199">
        <f>'DIA 31'!K$48</f>
        <v>0</v>
      </c>
      <c r="F39" s="199">
        <f>'DIA 31'!K$54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16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8"/>
      <c r="B1" s="282" t="s">
        <v>12</v>
      </c>
      <c r="C1" s="283"/>
      <c r="D1" s="283"/>
      <c r="E1" s="283"/>
      <c r="F1" s="283"/>
      <c r="G1" s="283"/>
      <c r="H1" s="283"/>
      <c r="I1" s="284"/>
    </row>
    <row r="2" spans="1:9" s="84" customFormat="1" ht="16.5" customHeight="1" x14ac:dyDescent="0.25">
      <c r="A2" s="278"/>
      <c r="B2" s="285" t="s">
        <v>156</v>
      </c>
      <c r="C2" s="286"/>
      <c r="D2" s="286"/>
      <c r="E2" s="286"/>
      <c r="F2" s="286"/>
      <c r="G2" s="286"/>
      <c r="H2" s="286"/>
      <c r="I2" s="287"/>
    </row>
    <row r="3" spans="1:9" s="84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</row>
    <row r="4" spans="1:9" x14ac:dyDescent="0.25">
      <c r="B4" s="281"/>
      <c r="C4" s="281"/>
      <c r="D4" s="281"/>
      <c r="E4" s="281"/>
      <c r="F4" s="281"/>
      <c r="G4" s="281"/>
    </row>
    <row r="6" spans="1:9" ht="15.75" thickBot="1" x14ac:dyDescent="0.3"/>
    <row r="7" spans="1:9" x14ac:dyDescent="0.25">
      <c r="E7" s="279" t="s">
        <v>14</v>
      </c>
      <c r="F7" s="280"/>
    </row>
    <row r="8" spans="1:9" ht="27" customHeight="1" x14ac:dyDescent="0.25">
      <c r="A8" s="45" t="s">
        <v>33</v>
      </c>
      <c r="B8" s="45" t="s">
        <v>7</v>
      </c>
      <c r="C8" s="45" t="s">
        <v>157</v>
      </c>
      <c r="D8" s="52" t="s">
        <v>27</v>
      </c>
      <c r="E8" s="49" t="s">
        <v>7</v>
      </c>
      <c r="F8" s="50" t="s">
        <v>157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1'!G$49</f>
        <v>2683.5612000000001</v>
      </c>
      <c r="C9" s="199">
        <f>+'DIA 1'!G$56</f>
        <v>0</v>
      </c>
      <c r="D9" s="203">
        <f>B9+C9</f>
        <v>2683.5612000000001</v>
      </c>
      <c r="E9" s="204">
        <f>+'DIA 1'!K$49</f>
        <v>2683.56</v>
      </c>
      <c r="F9" s="205">
        <f>+'DIA 1'!K$56</f>
        <v>0</v>
      </c>
      <c r="G9" s="206">
        <f>B9-E9</f>
        <v>1.2000000001535227E-3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2'!G$49</f>
        <v>3330.1550999999999</v>
      </c>
      <c r="C10" s="199">
        <f>'DIA 2'!G$56</f>
        <v>8.3404741379310323</v>
      </c>
      <c r="D10" s="203">
        <f t="shared" ref="D10:D39" si="0">B10+C10</f>
        <v>3338.4955741379308</v>
      </c>
      <c r="E10" s="199">
        <f>'DIA 2'!K$49</f>
        <v>3330.16</v>
      </c>
      <c r="F10" s="199">
        <f>'DIA 2'!K$56</f>
        <v>8.34</v>
      </c>
      <c r="G10" s="206">
        <f t="shared" ref="G10:H39" si="1">B10-E10</f>
        <v>-4.8999999999068677E-3</v>
      </c>
      <c r="H10" s="206">
        <f t="shared" si="1"/>
        <v>4.7413793103245894E-4</v>
      </c>
    </row>
    <row r="11" spans="1:9" x14ac:dyDescent="0.25">
      <c r="A11" s="46">
        <f>'DIA 3'!B$6</f>
        <v>44745</v>
      </c>
      <c r="B11" s="199">
        <f>'DIA 3'!G$49</f>
        <v>4674.4070250000004</v>
      </c>
      <c r="C11" s="199">
        <f>'DIA 3'!G$56</f>
        <v>55.233508620689662</v>
      </c>
      <c r="D11" s="203">
        <f t="shared" si="0"/>
        <v>4729.6405336206899</v>
      </c>
      <c r="E11" s="199">
        <f>'DIA 3'!K$49</f>
        <v>4674.41</v>
      </c>
      <c r="F11" s="199">
        <f>'DIA 3'!K$56</f>
        <v>55.23</v>
      </c>
      <c r="G11" s="206">
        <f t="shared" si="1"/>
        <v>-2.9749999994237442E-3</v>
      </c>
      <c r="H11" s="206">
        <f t="shared" si="1"/>
        <v>3.5086206896650651E-3</v>
      </c>
    </row>
    <row r="12" spans="1:9" x14ac:dyDescent="0.25">
      <c r="A12" s="46">
        <f>'DIA 4'!B$6</f>
        <v>44746</v>
      </c>
      <c r="B12" s="199">
        <f>'DIA 4'!G$49</f>
        <v>2652.49595</v>
      </c>
      <c r="C12" s="199">
        <f>'DIA 4'!G$56</f>
        <v>0</v>
      </c>
      <c r="D12" s="203">
        <f t="shared" si="0"/>
        <v>2652.49595</v>
      </c>
      <c r="E12" s="199">
        <f>'DIA 4'!K$49</f>
        <v>2652.5</v>
      </c>
      <c r="F12" s="199">
        <f>'DIA 4'!K$56</f>
        <v>0</v>
      </c>
      <c r="G12" s="206">
        <f t="shared" si="1"/>
        <v>-4.0500000000065484E-3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5'!G$49</f>
        <v>3084.6403749999999</v>
      </c>
      <c r="C13" s="199">
        <f>'DIA 5'!G$56</f>
        <v>0</v>
      </c>
      <c r="D13" s="203">
        <f t="shared" si="0"/>
        <v>3084.6403749999999</v>
      </c>
      <c r="E13" s="199">
        <f>'DIA 5'!K$49</f>
        <v>3084.64</v>
      </c>
      <c r="F13" s="199">
        <f>'DIA 5'!K$56</f>
        <v>0</v>
      </c>
      <c r="G13" s="206">
        <f t="shared" si="1"/>
        <v>3.7500000007639755E-4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6'!G$49</f>
        <v>2817.2311</v>
      </c>
      <c r="C14" s="199">
        <f>'DIA 6'!G$56</f>
        <v>0</v>
      </c>
      <c r="D14" s="203">
        <f t="shared" si="0"/>
        <v>2817.2311</v>
      </c>
      <c r="E14" s="199">
        <f>'DIA 6'!K$49</f>
        <v>2817.23</v>
      </c>
      <c r="F14" s="199">
        <f>'DIA 6'!K$56</f>
        <v>0</v>
      </c>
      <c r="G14" s="206">
        <f t="shared" si="1"/>
        <v>1.0999999999512511E-3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7'!G$49</f>
        <v>3143.9124750000001</v>
      </c>
      <c r="C15" s="199">
        <f>'DIA 7'!G$56</f>
        <v>112.52650862068965</v>
      </c>
      <c r="D15" s="203">
        <f t="shared" si="0"/>
        <v>3256.4389836206897</v>
      </c>
      <c r="E15" s="199">
        <f>'DIA 7'!K$49</f>
        <v>3143.91</v>
      </c>
      <c r="F15" s="199">
        <f>'DIA 7'!K$56</f>
        <v>0</v>
      </c>
      <c r="G15" s="206">
        <f t="shared" si="1"/>
        <v>2.4750000002313755E-3</v>
      </c>
      <c r="H15" s="206">
        <f t="shared" si="1"/>
        <v>112.52650862068965</v>
      </c>
    </row>
    <row r="16" spans="1:9" x14ac:dyDescent="0.25">
      <c r="A16" s="46">
        <f>'DIA 8'!B$6</f>
        <v>44750</v>
      </c>
      <c r="B16" s="199">
        <f>'DIA 8'!G$49</f>
        <v>5433.3817000000008</v>
      </c>
      <c r="C16" s="199">
        <f>'DIA 8'!G$56</f>
        <v>0</v>
      </c>
      <c r="D16" s="203">
        <f t="shared" si="0"/>
        <v>5433.3817000000008</v>
      </c>
      <c r="E16" s="199">
        <f>'DIA 8'!K$49</f>
        <v>0</v>
      </c>
      <c r="F16" s="199">
        <f>'DIA 8'!K$56</f>
        <v>0</v>
      </c>
      <c r="G16" s="206">
        <f t="shared" si="1"/>
        <v>5433.3817000000008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9'!G$49</f>
        <v>5848.9811500000005</v>
      </c>
      <c r="C17" s="199">
        <f>'DIA 9'!G$56</f>
        <v>0</v>
      </c>
      <c r="D17" s="203">
        <f t="shared" si="0"/>
        <v>5848.9811500000005</v>
      </c>
      <c r="E17" s="199">
        <f>'DIA 9'!K$49</f>
        <v>5848.98</v>
      </c>
      <c r="F17" s="199">
        <f>'DIA 9'!K$56</f>
        <v>0</v>
      </c>
      <c r="G17" s="206">
        <f t="shared" si="1"/>
        <v>1.1500000009618816E-3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10'!G$49</f>
        <v>6011.6717500000004</v>
      </c>
      <c r="C18" s="199">
        <f>'DIA 10'!G$56</f>
        <v>143.7916379310345</v>
      </c>
      <c r="D18" s="203">
        <f t="shared" si="0"/>
        <v>6155.463387931035</v>
      </c>
      <c r="E18" s="199">
        <f>'DIA 10'!K$49</f>
        <v>6011.67</v>
      </c>
      <c r="F18" s="199">
        <f>'DIA 10'!K$56</f>
        <v>0</v>
      </c>
      <c r="G18" s="206">
        <f t="shared" si="1"/>
        <v>1.7500000003565219E-3</v>
      </c>
      <c r="H18" s="206">
        <f t="shared" si="1"/>
        <v>143.7916379310345</v>
      </c>
    </row>
    <row r="19" spans="1:8" x14ac:dyDescent="0.25">
      <c r="A19" s="46">
        <f>'DIA 11'!B$6</f>
        <v>44753</v>
      </c>
      <c r="B19" s="199">
        <f>'DIA 11'!G$49</f>
        <v>3974.0295499999997</v>
      </c>
      <c r="C19" s="199">
        <f>'DIA 11'!G$56</f>
        <v>0</v>
      </c>
      <c r="D19" s="203">
        <f t="shared" si="0"/>
        <v>3974.0295499999997</v>
      </c>
      <c r="E19" s="199">
        <f>'DIA 11'!K$49</f>
        <v>3974.03</v>
      </c>
      <c r="F19" s="199">
        <f>'DIA 11'!K$56</f>
        <v>0</v>
      </c>
      <c r="G19" s="206">
        <f t="shared" si="1"/>
        <v>-4.5000000045547495E-4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12'!G$49</f>
        <v>2723.9162500000002</v>
      </c>
      <c r="C20" s="199">
        <f>'DIA 12'!G$56</f>
        <v>42.075129310344828</v>
      </c>
      <c r="D20" s="203">
        <f t="shared" si="0"/>
        <v>2765.9913793103451</v>
      </c>
      <c r="E20" s="199">
        <f>'DIA 12'!K$49</f>
        <v>2723.92</v>
      </c>
      <c r="F20" s="199">
        <f>'DIA 12'!K$56</f>
        <v>42.08</v>
      </c>
      <c r="G20" s="206">
        <f t="shared" si="1"/>
        <v>-3.7499999998544808E-3</v>
      </c>
      <c r="H20" s="206">
        <f t="shared" si="1"/>
        <v>-4.8706896551706791E-3</v>
      </c>
    </row>
    <row r="21" spans="1:8" x14ac:dyDescent="0.25">
      <c r="A21" s="46">
        <f>'DIA 13'!B$6</f>
        <v>44755</v>
      </c>
      <c r="B21" s="199">
        <f>'DIA 13'!G$49</f>
        <v>2982.7106250000002</v>
      </c>
      <c r="C21" s="199">
        <f>'DIA 13'!G$56</f>
        <v>0</v>
      </c>
      <c r="D21" s="203">
        <f t="shared" si="0"/>
        <v>2982.7106250000002</v>
      </c>
      <c r="E21" s="199">
        <f>'DIA 13'!K$49</f>
        <v>2982.71</v>
      </c>
      <c r="F21" s="199">
        <f>'DIA 13'!K$56</f>
        <v>0</v>
      </c>
      <c r="G21" s="206">
        <f t="shared" si="1"/>
        <v>6.2500000012732926E-4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14'!G$49</f>
        <v>4074.1132499999994</v>
      </c>
      <c r="C22" s="199">
        <f>'DIA 14'!G$56</f>
        <v>0</v>
      </c>
      <c r="D22" s="203">
        <f t="shared" si="0"/>
        <v>4074.1132499999994</v>
      </c>
      <c r="E22" s="199">
        <f>'DIA 14'!K$49</f>
        <v>4074.11</v>
      </c>
      <c r="F22" s="199">
        <f>'DIA 14'!K$56</f>
        <v>0</v>
      </c>
      <c r="G22" s="206">
        <f t="shared" si="1"/>
        <v>3.2499999992978701E-3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15'!G$49</f>
        <v>4242.1633499999998</v>
      </c>
      <c r="C23" s="199">
        <f>'DIA 15'!G$56</f>
        <v>43.500931034482754</v>
      </c>
      <c r="D23" s="203">
        <f t="shared" si="0"/>
        <v>4285.6642810344829</v>
      </c>
      <c r="E23" s="199">
        <f>'DIA 15'!K$49</f>
        <v>4242.16</v>
      </c>
      <c r="F23" s="199">
        <f>'DIA 15'!K$56</f>
        <v>0</v>
      </c>
      <c r="G23" s="206">
        <f t="shared" si="1"/>
        <v>3.3499999999548891E-3</v>
      </c>
      <c r="H23" s="206">
        <f t="shared" si="1"/>
        <v>43.500931034482754</v>
      </c>
    </row>
    <row r="24" spans="1:8" x14ac:dyDescent="0.25">
      <c r="A24" s="46">
        <f>'DIA 16'!B$6</f>
        <v>44758</v>
      </c>
      <c r="B24" s="199">
        <f>'DIA 16'!G$49</f>
        <v>5774.9902750000001</v>
      </c>
      <c r="C24" s="199">
        <f>'DIA 16'!G$56</f>
        <v>0</v>
      </c>
      <c r="D24" s="203">
        <f t="shared" si="0"/>
        <v>5774.9902750000001</v>
      </c>
      <c r="E24" s="199">
        <f>'DIA 16'!K$49</f>
        <v>5774.99</v>
      </c>
      <c r="F24" s="199">
        <f>'DIA 16'!K$56</f>
        <v>0</v>
      </c>
      <c r="G24" s="206">
        <f t="shared" si="1"/>
        <v>2.7500000032887328E-4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17'!G$49</f>
        <v>3352.7543250000003</v>
      </c>
      <c r="C25" s="199">
        <f>'DIA 17'!G$56</f>
        <v>0</v>
      </c>
      <c r="D25" s="203">
        <f t="shared" si="0"/>
        <v>3352.7543250000003</v>
      </c>
      <c r="E25" s="199">
        <f>'DIA 17'!K$49</f>
        <v>3352.75</v>
      </c>
      <c r="F25" s="199">
        <f>'DIA 17'!K$56</f>
        <v>0</v>
      </c>
      <c r="G25" s="206">
        <f t="shared" si="1"/>
        <v>4.3250000003354216E-3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18'!G$49</f>
        <v>853.659175</v>
      </c>
      <c r="C26" s="199">
        <f>'DIA 18'!G$56</f>
        <v>0</v>
      </c>
      <c r="D26" s="203">
        <f t="shared" si="0"/>
        <v>853.659175</v>
      </c>
      <c r="E26" s="199">
        <f>'DIA 18'!K$49</f>
        <v>853.66</v>
      </c>
      <c r="F26" s="199">
        <f>'DIA 18'!K$56</f>
        <v>0</v>
      </c>
      <c r="G26" s="206">
        <f t="shared" si="1"/>
        <v>-8.2499999996343831E-4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19'!G$49</f>
        <v>923.62049999999999</v>
      </c>
      <c r="C27" s="199">
        <f>'DIA 19'!G$56</f>
        <v>13.549775862068964</v>
      </c>
      <c r="D27" s="203">
        <f t="shared" si="0"/>
        <v>937.17027586206893</v>
      </c>
      <c r="E27" s="199">
        <f>'DIA 19'!K$49</f>
        <v>923.62</v>
      </c>
      <c r="F27" s="199">
        <f>'DIA 19'!K$56</f>
        <v>13.55</v>
      </c>
      <c r="G27" s="206">
        <f t="shared" si="1"/>
        <v>4.9999999998817657E-4</v>
      </c>
      <c r="H27" s="206">
        <f t="shared" si="1"/>
        <v>-2.241379310365943E-4</v>
      </c>
    </row>
    <row r="28" spans="1:8" x14ac:dyDescent="0.25">
      <c r="A28" s="46">
        <f>'DIA 20'!B$6</f>
        <v>44762</v>
      </c>
      <c r="B28" s="199">
        <f>'DIA 20'!G$49</f>
        <v>1948.9127000000001</v>
      </c>
      <c r="C28" s="199">
        <f>'DIA 20'!G$56</f>
        <v>0</v>
      </c>
      <c r="D28" s="203">
        <f t="shared" si="0"/>
        <v>1948.9127000000001</v>
      </c>
      <c r="E28" s="199">
        <f>'DIA 20'!K$49</f>
        <v>0</v>
      </c>
      <c r="F28" s="199">
        <f>'DIA 20'!K$56</f>
        <v>0</v>
      </c>
      <c r="G28" s="206">
        <f t="shared" si="1"/>
        <v>1948.9127000000001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21'!G$49</f>
        <v>5110.9184500000001</v>
      </c>
      <c r="C29" s="199">
        <f>'DIA 21'!G$56</f>
        <v>0</v>
      </c>
      <c r="D29" s="203">
        <f t="shared" si="0"/>
        <v>5110.9184500000001</v>
      </c>
      <c r="E29" s="199">
        <f>'DIA 21'!K$49</f>
        <v>0</v>
      </c>
      <c r="F29" s="199">
        <f>'DIA 21'!K$56</f>
        <v>0</v>
      </c>
      <c r="G29" s="206">
        <f t="shared" si="1"/>
        <v>5110.9184500000001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22'!G$49</f>
        <v>3224.920325</v>
      </c>
      <c r="C30" s="199">
        <f>'DIA 22'!G$56</f>
        <v>26.810663793103448</v>
      </c>
      <c r="D30" s="203">
        <f t="shared" si="0"/>
        <v>3251.7309887931033</v>
      </c>
      <c r="E30" s="199">
        <f>'DIA 22'!K$49</f>
        <v>0</v>
      </c>
      <c r="F30" s="199">
        <f>'DIA 22'!K$56</f>
        <v>0</v>
      </c>
      <c r="G30" s="206">
        <f t="shared" si="1"/>
        <v>3224.920325</v>
      </c>
      <c r="H30" s="206">
        <f t="shared" si="1"/>
        <v>26.810663793103448</v>
      </c>
    </row>
    <row r="31" spans="1:8" x14ac:dyDescent="0.25">
      <c r="A31" s="46">
        <f>'DIA 23'!B$6</f>
        <v>44765</v>
      </c>
      <c r="B31" s="199">
        <f>'DIA 23'!G$49</f>
        <v>923.34260000000006</v>
      </c>
      <c r="C31" s="199">
        <f>'DIA 23'!G$56</f>
        <v>0</v>
      </c>
      <c r="D31" s="203">
        <f t="shared" si="0"/>
        <v>923.34260000000006</v>
      </c>
      <c r="E31" s="199">
        <f>'DIA 23'!K$49</f>
        <v>0</v>
      </c>
      <c r="F31" s="199">
        <f>'DIA 23'!K$56</f>
        <v>0</v>
      </c>
      <c r="G31" s="206">
        <f t="shared" si="1"/>
        <v>923.34260000000006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24'!G$49</f>
        <v>3270.3669</v>
      </c>
      <c r="C32" s="199">
        <f>'DIA 24'!G$56</f>
        <v>352.53646551724137</v>
      </c>
      <c r="D32" s="203">
        <f t="shared" si="0"/>
        <v>3622.9033655172416</v>
      </c>
      <c r="E32" s="199">
        <f>'DIA 24'!K$49</f>
        <v>0</v>
      </c>
      <c r="F32" s="199">
        <f>'DIA 24'!K$56</f>
        <v>0</v>
      </c>
      <c r="G32" s="206">
        <f t="shared" si="1"/>
        <v>3270.3669</v>
      </c>
      <c r="H32" s="206">
        <f t="shared" si="1"/>
        <v>352.53646551724137</v>
      </c>
    </row>
    <row r="33" spans="1:8" x14ac:dyDescent="0.25">
      <c r="A33" s="46">
        <f>'DIA 25'!B$6</f>
        <v>44767</v>
      </c>
      <c r="B33" s="199">
        <f>'DIA 25'!G$49</f>
        <v>1019.247875</v>
      </c>
      <c r="C33" s="199">
        <f>'DIA 25'!G$56</f>
        <v>0</v>
      </c>
      <c r="D33" s="203">
        <f t="shared" si="0"/>
        <v>1019.247875</v>
      </c>
      <c r="E33" s="199">
        <f>'DIA 25'!K$49</f>
        <v>0</v>
      </c>
      <c r="F33" s="199">
        <f>'DIA 25'!K$56</f>
        <v>0</v>
      </c>
      <c r="G33" s="206">
        <f t="shared" si="1"/>
        <v>1019.247875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26'!G$49</f>
        <v>2772.7373250000001</v>
      </c>
      <c r="C34" s="199">
        <f>'DIA 26'!G$56</f>
        <v>29.727499999999999</v>
      </c>
      <c r="D34" s="203">
        <f t="shared" si="0"/>
        <v>2802.464825</v>
      </c>
      <c r="E34" s="199">
        <f>'DIA 26'!K$49</f>
        <v>0</v>
      </c>
      <c r="F34" s="199">
        <f>'DIA 26'!K$56</f>
        <v>0</v>
      </c>
      <c r="G34" s="206">
        <f t="shared" si="1"/>
        <v>2772.7373250000001</v>
      </c>
      <c r="H34" s="206">
        <f t="shared" si="1"/>
        <v>29.727499999999999</v>
      </c>
    </row>
    <row r="35" spans="1:8" x14ac:dyDescent="0.25">
      <c r="A35" s="46">
        <f>'DIA 27'!B$6</f>
        <v>44769</v>
      </c>
      <c r="B35" s="199">
        <f>'DIA 27'!G$49</f>
        <v>1769.419075</v>
      </c>
      <c r="C35" s="199">
        <f>'DIA 27'!G$56</f>
        <v>0</v>
      </c>
      <c r="D35" s="203">
        <f t="shared" si="0"/>
        <v>1769.419075</v>
      </c>
      <c r="E35" s="199">
        <f>'DIA 27'!K$49</f>
        <v>0</v>
      </c>
      <c r="F35" s="199">
        <f>'DIA 27'!K$56</f>
        <v>0</v>
      </c>
      <c r="G35" s="206">
        <f t="shared" si="1"/>
        <v>1769.419075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28'!G$49</f>
        <v>2268.2793500000002</v>
      </c>
      <c r="C36" s="199">
        <f>'DIA 28'!G$56</f>
        <v>0</v>
      </c>
      <c r="D36" s="203">
        <f t="shared" si="0"/>
        <v>2268.2793500000002</v>
      </c>
      <c r="E36" s="199">
        <f>'DIA 28'!K$49</f>
        <v>0</v>
      </c>
      <c r="F36" s="199">
        <f>'DIA 28'!K$56</f>
        <v>0</v>
      </c>
      <c r="G36" s="206">
        <f t="shared" si="1"/>
        <v>2268.2793500000002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29'!G$49</f>
        <v>3356.7143999999998</v>
      </c>
      <c r="C37" s="199">
        <f>'DIA 29'!G$56</f>
        <v>0</v>
      </c>
      <c r="D37" s="203">
        <f t="shared" si="0"/>
        <v>3356.7143999999998</v>
      </c>
      <c r="E37" s="199">
        <f>'DIA 29'!K$49</f>
        <v>0</v>
      </c>
      <c r="F37" s="199">
        <f>'DIA 29'!K$56</f>
        <v>0</v>
      </c>
      <c r="G37" s="206">
        <f t="shared" si="1"/>
        <v>3356.7143999999998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30'!G$49</f>
        <v>3993.5917249999993</v>
      </c>
      <c r="C38" s="199">
        <f>'DIA 30'!G$56</f>
        <v>415.81224137931031</v>
      </c>
      <c r="D38" s="203">
        <f t="shared" si="0"/>
        <v>4409.4039663793101</v>
      </c>
      <c r="E38" s="199">
        <f>'DIA 30'!K$49</f>
        <v>0</v>
      </c>
      <c r="F38" s="199">
        <f>'DIA 30'!K$56</f>
        <v>0</v>
      </c>
      <c r="G38" s="206">
        <f t="shared" si="1"/>
        <v>3993.5917249999993</v>
      </c>
      <c r="H38" s="206">
        <f t="shared" si="1"/>
        <v>415.81224137931031</v>
      </c>
    </row>
    <row r="39" spans="1:8" x14ac:dyDescent="0.25">
      <c r="A39" s="46">
        <f>'DIA 31'!B$6</f>
        <v>44773</v>
      </c>
      <c r="B39" s="199">
        <f>'DIA 31'!G$49</f>
        <v>4024.8852500000003</v>
      </c>
      <c r="C39" s="199">
        <f>'DIA 31'!G$56</f>
        <v>0</v>
      </c>
      <c r="D39" s="203">
        <f t="shared" si="0"/>
        <v>4024.8852500000003</v>
      </c>
      <c r="E39" s="199">
        <f>'DIA 31'!K$49</f>
        <v>0</v>
      </c>
      <c r="F39" s="199">
        <f>'DIA 31'!K$56</f>
        <v>0</v>
      </c>
      <c r="G39" s="206">
        <f t="shared" si="1"/>
        <v>4024.8852500000003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102265.7311</v>
      </c>
      <c r="C40" s="133">
        <f>SUM(C9:C38)</f>
        <v>1243.9048362068966</v>
      </c>
      <c r="D40" s="133">
        <f>SUM(D9:D38)</f>
        <v>99484.750686206899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opLeftCell="A13" workbookViewId="0">
      <selection activeCell="C34" sqref="C34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288"/>
      <c r="B1" s="289"/>
      <c r="C1" s="290"/>
      <c r="D1" s="290"/>
      <c r="E1" s="290"/>
      <c r="F1" s="291"/>
    </row>
    <row r="2" spans="1:6" s="2" customFormat="1" ht="16.5" customHeight="1" x14ac:dyDescent="0.35">
      <c r="A2" s="288"/>
      <c r="B2" s="292" t="s">
        <v>12</v>
      </c>
      <c r="C2" s="293"/>
      <c r="D2" s="293"/>
      <c r="E2" s="293"/>
      <c r="F2" s="294"/>
    </row>
    <row r="3" spans="1:6" s="2" customFormat="1" ht="16.5" customHeight="1" x14ac:dyDescent="0.25">
      <c r="A3" s="288"/>
      <c r="B3" s="295" t="s">
        <v>32</v>
      </c>
      <c r="C3" s="296"/>
      <c r="D3" s="296"/>
      <c r="E3" s="296"/>
      <c r="F3" s="297"/>
    </row>
    <row r="4" spans="1:6" x14ac:dyDescent="0.25">
      <c r="A4" s="281" t="s">
        <v>51</v>
      </c>
      <c r="B4" s="281"/>
      <c r="C4" s="281"/>
      <c r="D4" s="281"/>
      <c r="E4" s="281"/>
      <c r="F4" s="281"/>
    </row>
    <row r="7" spans="1:6" ht="27" customHeight="1" x14ac:dyDescent="0.25">
      <c r="A7" s="4" t="s">
        <v>29</v>
      </c>
      <c r="B7" s="4" t="s">
        <v>30</v>
      </c>
      <c r="C7" s="26"/>
      <c r="D7" s="4" t="s">
        <v>31</v>
      </c>
      <c r="E7" s="3" t="s">
        <v>15</v>
      </c>
    </row>
    <row r="8" spans="1:6" x14ac:dyDescent="0.25">
      <c r="A8" s="46">
        <f>'DIA 1'!B$6</f>
        <v>44743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44744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44745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44746</v>
      </c>
      <c r="B11" s="199">
        <f>'DIA 4'!B$59</f>
        <v>0</v>
      </c>
      <c r="C11" s="28"/>
      <c r="D11" s="1"/>
      <c r="E11" s="135">
        <f t="shared" si="0"/>
        <v>0</v>
      </c>
    </row>
    <row r="12" spans="1:6" x14ac:dyDescent="0.25">
      <c r="A12" s="46">
        <f>'DIA 5'!B$6</f>
        <v>44747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44748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44749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44750</v>
      </c>
      <c r="B15" s="199">
        <f>'DIA 8'!B$59</f>
        <v>0</v>
      </c>
      <c r="C15" s="28"/>
      <c r="D15" s="1"/>
      <c r="E15" s="135">
        <f t="shared" si="0"/>
        <v>0</v>
      </c>
    </row>
    <row r="16" spans="1:6" x14ac:dyDescent="0.25">
      <c r="A16" s="46">
        <f>'DIA 9'!B$6</f>
        <v>44751</v>
      </c>
      <c r="B16" s="199">
        <f>'DIA 9'!B$59</f>
        <v>0</v>
      </c>
      <c r="C16" s="28"/>
      <c r="D16" s="1"/>
      <c r="E16" s="135">
        <f t="shared" si="0"/>
        <v>0</v>
      </c>
    </row>
    <row r="17" spans="1:5" x14ac:dyDescent="0.25">
      <c r="A17" s="46">
        <f>'DIA 10'!B$6</f>
        <v>44752</v>
      </c>
      <c r="B17" s="199">
        <f>'DIA 10'!B$59</f>
        <v>0</v>
      </c>
      <c r="C17" s="28"/>
      <c r="D17" s="1"/>
      <c r="E17" s="135">
        <f t="shared" si="0"/>
        <v>0</v>
      </c>
    </row>
    <row r="18" spans="1:5" x14ac:dyDescent="0.25">
      <c r="A18" s="46">
        <f>'DIA 11'!B$6</f>
        <v>44753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44754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44755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44756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44757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44758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44759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44760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44761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44762</v>
      </c>
      <c r="B27" s="199">
        <f>'DIA 20'!B$59</f>
        <v>0</v>
      </c>
      <c r="C27" s="28"/>
      <c r="D27" s="1"/>
      <c r="E27" s="135">
        <f t="shared" si="0"/>
        <v>0</v>
      </c>
    </row>
    <row r="28" spans="1:5" x14ac:dyDescent="0.25">
      <c r="A28" s="46">
        <f>'DIA 21'!B$6</f>
        <v>44763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44764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44765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44766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44767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44768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44769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44770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44771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44772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44773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43</v>
      </c>
      <c r="B39" s="134">
        <f>SUM(B8:B38)</f>
        <v>0</v>
      </c>
      <c r="C39" s="33"/>
      <c r="D39" s="134">
        <f>SUM(D8:D38)</f>
        <v>0</v>
      </c>
      <c r="E39" s="134">
        <f>SUM(E8:E38)</f>
        <v>0</v>
      </c>
    </row>
    <row r="41" spans="1:5" ht="15.75" thickBot="1" x14ac:dyDescent="0.3"/>
    <row r="42" spans="1:5" x14ac:dyDescent="0.25">
      <c r="A42" s="34" t="s">
        <v>44</v>
      </c>
      <c r="B42" s="35">
        <f>'RESUMEN GENERAL DE VENTAS'!B39</f>
        <v>485900.58999999991</v>
      </c>
    </row>
    <row r="43" spans="1:5" x14ac:dyDescent="0.25">
      <c r="A43" s="36" t="s">
        <v>49</v>
      </c>
      <c r="B43" s="37">
        <f>B39/B42</f>
        <v>0</v>
      </c>
    </row>
    <row r="44" spans="1:5" x14ac:dyDescent="0.25">
      <c r="A44" s="36" t="s">
        <v>45</v>
      </c>
      <c r="B44" s="38"/>
    </row>
    <row r="45" spans="1:5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opLeftCell="G7" workbookViewId="0">
      <selection activeCell="B8" sqref="B8:I38"/>
    </sheetView>
  </sheetViews>
  <sheetFormatPr baseColWidth="10" defaultRowHeight="15" x14ac:dyDescent="0.25"/>
  <cols>
    <col min="1" max="1" width="19.7109375" bestFit="1" customWidth="1"/>
    <col min="2" max="2" width="14.2851562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288"/>
      <c r="B1" s="289"/>
      <c r="C1" s="290"/>
      <c r="D1" s="290"/>
      <c r="E1" s="290"/>
      <c r="F1" s="291"/>
    </row>
    <row r="2" spans="1:9" s="2" customFormat="1" ht="16.5" customHeight="1" x14ac:dyDescent="0.35">
      <c r="A2" s="288"/>
      <c r="B2" s="292" t="s">
        <v>12</v>
      </c>
      <c r="C2" s="293"/>
      <c r="D2" s="293"/>
      <c r="E2" s="293"/>
      <c r="F2" s="294"/>
    </row>
    <row r="3" spans="1:9" s="2" customFormat="1" ht="16.5" customHeight="1" x14ac:dyDescent="0.25">
      <c r="A3" s="288"/>
      <c r="B3" s="295" t="s">
        <v>32</v>
      </c>
      <c r="C3" s="296"/>
      <c r="D3" s="296"/>
      <c r="E3" s="296"/>
      <c r="F3" s="297"/>
    </row>
    <row r="4" spans="1:9" x14ac:dyDescent="0.25">
      <c r="A4" s="281" t="s">
        <v>51</v>
      </c>
      <c r="B4" s="281"/>
      <c r="C4" s="281"/>
      <c r="D4" s="281"/>
      <c r="E4" s="281"/>
      <c r="F4" s="281"/>
    </row>
    <row r="7" spans="1:9" ht="27" customHeight="1" x14ac:dyDescent="0.25">
      <c r="A7" s="4" t="s">
        <v>29</v>
      </c>
      <c r="B7" s="4" t="s">
        <v>161</v>
      </c>
      <c r="C7" s="4" t="s">
        <v>162</v>
      </c>
      <c r="D7" s="4" t="s">
        <v>158</v>
      </c>
      <c r="E7" s="4" t="s">
        <v>87</v>
      </c>
      <c r="F7" s="3" t="s">
        <v>159</v>
      </c>
      <c r="G7" s="4" t="s">
        <v>91</v>
      </c>
      <c r="H7" s="207" t="s">
        <v>160</v>
      </c>
      <c r="I7" s="207" t="s">
        <v>163</v>
      </c>
    </row>
    <row r="8" spans="1:9" x14ac:dyDescent="0.25">
      <c r="A8" s="46">
        <f>'DIA 1'!B$6</f>
        <v>44743</v>
      </c>
      <c r="B8" s="208">
        <f>'DIA 1'!B$19</f>
        <v>1062</v>
      </c>
      <c r="C8" s="209">
        <f>'DIA 1'!B$20</f>
        <v>5883.4800000000005</v>
      </c>
      <c r="D8" s="209">
        <f>'DIA 1'!B$27</f>
        <v>0</v>
      </c>
      <c r="E8" s="209">
        <f>'DIA 1'!B$28</f>
        <v>0</v>
      </c>
      <c r="F8" s="209">
        <f>'DIA 1'!B$35</f>
        <v>0</v>
      </c>
      <c r="G8" s="209">
        <f>'DIA 1'!B$36</f>
        <v>0</v>
      </c>
      <c r="H8" s="209">
        <f>'DIA 1'!B$43</f>
        <v>0</v>
      </c>
      <c r="I8" s="209">
        <f>'DIA 1'!B$44</f>
        <v>0</v>
      </c>
    </row>
    <row r="9" spans="1:9" x14ac:dyDescent="0.25">
      <c r="A9" s="46">
        <f>'DIA 2'!B$6</f>
        <v>44744</v>
      </c>
      <c r="B9" s="208">
        <f>'DIA 2'!B$19</f>
        <v>1904</v>
      </c>
      <c r="C9" s="209">
        <f>'DIA 2'!B$20</f>
        <v>10548.16</v>
      </c>
      <c r="D9" s="209">
        <f>'DIA 2'!B$27</f>
        <v>0</v>
      </c>
      <c r="E9" s="209">
        <f>'DIA 2'!B$28</f>
        <v>0</v>
      </c>
      <c r="F9" s="209">
        <f>'DIA 2'!B$35</f>
        <v>0</v>
      </c>
      <c r="G9" s="209">
        <f>'DIA 2'!B$36</f>
        <v>0</v>
      </c>
      <c r="H9" s="209">
        <f>'DIA 2'!B$43</f>
        <v>11.05</v>
      </c>
      <c r="I9" s="209">
        <f>'DIA 2'!B$44</f>
        <v>61.217000000000006</v>
      </c>
    </row>
    <row r="10" spans="1:9" x14ac:dyDescent="0.25">
      <c r="A10" s="46">
        <f>'DIA 3'!B$6</f>
        <v>44745</v>
      </c>
      <c r="B10" s="208">
        <f>'DIA 3'!B$19</f>
        <v>1773</v>
      </c>
      <c r="C10" s="209">
        <f>'DIA 3'!B$20</f>
        <v>9857.8799999999992</v>
      </c>
      <c r="D10" s="209">
        <f>'DIA 3'!B$27</f>
        <v>0</v>
      </c>
      <c r="E10" s="209">
        <f>'DIA 3'!B$28</f>
        <v>0</v>
      </c>
      <c r="F10" s="209">
        <f>'DIA 3'!B$35</f>
        <v>0</v>
      </c>
      <c r="G10" s="209">
        <f>'DIA 3'!B$36</f>
        <v>0</v>
      </c>
      <c r="H10" s="209">
        <f>'DIA 3'!B$43</f>
        <v>97.26</v>
      </c>
      <c r="I10" s="209">
        <f>'DIA 3'!B$44</f>
        <v>540.76559999999995</v>
      </c>
    </row>
    <row r="11" spans="1:9" x14ac:dyDescent="0.25">
      <c r="A11" s="46">
        <f>'DIA 4'!B$6</f>
        <v>44746</v>
      </c>
      <c r="B11" s="208">
        <f>'DIA 4'!B$19</f>
        <v>819</v>
      </c>
      <c r="C11" s="209">
        <f>'DIA 4'!B$20</f>
        <v>4553.6399999999994</v>
      </c>
      <c r="D11" s="209">
        <f>'DIA 4'!B$27</f>
        <v>0</v>
      </c>
      <c r="E11" s="209">
        <f>'DIA 4'!B$28</f>
        <v>0</v>
      </c>
      <c r="F11" s="209">
        <f>'DIA 4'!B$35</f>
        <v>0</v>
      </c>
      <c r="G11" s="209">
        <f>'DIA 4'!B$36</f>
        <v>0</v>
      </c>
      <c r="H11" s="209">
        <f>'DIA 4'!B$43</f>
        <v>0</v>
      </c>
      <c r="I11" s="209">
        <f>'DIA 4'!B$44</f>
        <v>0</v>
      </c>
    </row>
    <row r="12" spans="1:9" x14ac:dyDescent="0.25">
      <c r="A12" s="46">
        <f>'DIA 5'!B$6</f>
        <v>44747</v>
      </c>
      <c r="B12" s="208">
        <f>'DIA 5'!B$19</f>
        <v>1038</v>
      </c>
      <c r="C12" s="209">
        <f>'DIA 5'!B$20</f>
        <v>5771.28</v>
      </c>
      <c r="D12" s="209">
        <f>'DIA 5'!B$27</f>
        <v>0</v>
      </c>
      <c r="E12" s="209">
        <f>'DIA 5'!B$28</f>
        <v>0</v>
      </c>
      <c r="F12" s="209">
        <f>'DIA 5'!B$35</f>
        <v>0</v>
      </c>
      <c r="G12" s="209">
        <f>'DIA 5'!B$36</f>
        <v>0</v>
      </c>
      <c r="H12" s="209">
        <f>'DIA 5'!B$43</f>
        <v>0</v>
      </c>
      <c r="I12" s="209">
        <f>'DIA 5'!B$44</f>
        <v>0</v>
      </c>
    </row>
    <row r="13" spans="1:9" x14ac:dyDescent="0.25">
      <c r="A13" s="46">
        <f>'DIA 6'!B$6</f>
        <v>44748</v>
      </c>
      <c r="B13" s="208">
        <f>'DIA 6'!B$19</f>
        <v>937</v>
      </c>
      <c r="C13" s="209">
        <f>'DIA 6'!B$20</f>
        <v>5209.7199999999993</v>
      </c>
      <c r="D13" s="209">
        <f>'DIA 6'!B$27</f>
        <v>0</v>
      </c>
      <c r="E13" s="209">
        <f>'DIA 6'!B$28</f>
        <v>0</v>
      </c>
      <c r="F13" s="209">
        <f>'DIA 6'!B$35</f>
        <v>0</v>
      </c>
      <c r="G13" s="209">
        <f>'DIA 6'!B$36</f>
        <v>0</v>
      </c>
      <c r="H13" s="209">
        <f>'DIA 6'!B$43</f>
        <v>24.63</v>
      </c>
      <c r="I13" s="209">
        <f>'DIA 6'!B$44</f>
        <v>136.94279999999998</v>
      </c>
    </row>
    <row r="14" spans="1:9" x14ac:dyDescent="0.25">
      <c r="A14" s="46">
        <f>'DIA 7'!B$6</f>
        <v>44749</v>
      </c>
      <c r="B14" s="208">
        <f>'DIA 7'!B$19</f>
        <v>855</v>
      </c>
      <c r="C14" s="209">
        <f>'DIA 7'!B$20</f>
        <v>4753.7999999999993</v>
      </c>
      <c r="D14" s="209">
        <f>'DIA 7'!B$27</f>
        <v>0</v>
      </c>
      <c r="E14" s="209">
        <f>'DIA 7'!B$28</f>
        <v>0</v>
      </c>
      <c r="F14" s="209">
        <f>'DIA 7'!B$35</f>
        <v>0</v>
      </c>
      <c r="G14" s="209">
        <f>'DIA 7'!B$36</f>
        <v>0</v>
      </c>
      <c r="H14" s="209">
        <f>'DIA 7'!B$43</f>
        <v>0</v>
      </c>
      <c r="I14" s="209">
        <f>'DIA 7'!B$44</f>
        <v>0</v>
      </c>
    </row>
    <row r="15" spans="1:9" x14ac:dyDescent="0.25">
      <c r="A15" s="46">
        <f>'DIA 8'!B$6</f>
        <v>44750</v>
      </c>
      <c r="B15" s="208">
        <f>'DIA 8'!B$19</f>
        <v>1135</v>
      </c>
      <c r="C15" s="209">
        <f>'DIA 8'!B$20</f>
        <v>6343.8700000000008</v>
      </c>
      <c r="D15" s="209">
        <f>'DIA 8'!B$27</f>
        <v>0</v>
      </c>
      <c r="E15" s="209">
        <f>'DIA 8'!B$28</f>
        <v>0</v>
      </c>
      <c r="F15" s="209">
        <f>'DIA 8'!B$35</f>
        <v>0</v>
      </c>
      <c r="G15" s="209">
        <f>'DIA 8'!B$36</f>
        <v>0</v>
      </c>
      <c r="H15" s="209">
        <f>'DIA 8'!B$43</f>
        <v>13.19</v>
      </c>
      <c r="I15" s="209">
        <f>'DIA 8'!B$44</f>
        <v>73.995900000000006</v>
      </c>
    </row>
    <row r="16" spans="1:9" x14ac:dyDescent="0.25">
      <c r="A16" s="46">
        <f>'DIA 9'!B$6</f>
        <v>44751</v>
      </c>
      <c r="B16" s="208">
        <f>'DIA 9'!B$19</f>
        <v>1597</v>
      </c>
      <c r="C16" s="209">
        <f>'DIA 9'!B$20</f>
        <v>8959.17</v>
      </c>
      <c r="D16" s="209">
        <f>'DIA 9'!B$27</f>
        <v>0</v>
      </c>
      <c r="E16" s="209">
        <f>'DIA 9'!B$28</f>
        <v>0</v>
      </c>
      <c r="F16" s="209">
        <f>'DIA 9'!B$35</f>
        <v>0</v>
      </c>
      <c r="G16" s="209">
        <f>'DIA 9'!B$36</f>
        <v>0</v>
      </c>
      <c r="H16" s="209">
        <f>'DIA 9'!B$43</f>
        <v>0</v>
      </c>
      <c r="I16" s="209">
        <f>'DIA 9'!B$44</f>
        <v>0</v>
      </c>
    </row>
    <row r="17" spans="1:9" x14ac:dyDescent="0.25">
      <c r="A17" s="46">
        <f>'DIA 10'!B$6</f>
        <v>44752</v>
      </c>
      <c r="B17" s="208">
        <f>'DIA 10'!B$19</f>
        <v>1307</v>
      </c>
      <c r="C17" s="209">
        <f>'DIA 10'!B$20</f>
        <v>7332.27</v>
      </c>
      <c r="D17" s="209">
        <f>'DIA 10'!B$27</f>
        <v>0</v>
      </c>
      <c r="E17" s="209">
        <f>'DIA 10'!B$28</f>
        <v>0</v>
      </c>
      <c r="F17" s="209">
        <f>'DIA 10'!B$35</f>
        <v>0</v>
      </c>
      <c r="G17" s="209">
        <f>'DIA 10'!B$36</f>
        <v>0</v>
      </c>
      <c r="H17" s="209">
        <f>'DIA 10'!B$43</f>
        <v>0</v>
      </c>
      <c r="I17" s="209">
        <f>'DIA 10'!B$44</f>
        <v>0</v>
      </c>
    </row>
    <row r="18" spans="1:9" x14ac:dyDescent="0.25">
      <c r="A18" s="46">
        <f>'DIA 11'!B$6</f>
        <v>44753</v>
      </c>
      <c r="B18" s="208">
        <f>'DIA 11'!B$19</f>
        <v>857</v>
      </c>
      <c r="C18" s="209">
        <f>'DIA 11'!B$20</f>
        <v>4807.7700000000004</v>
      </c>
      <c r="D18" s="209">
        <f>'DIA 11'!B$27</f>
        <v>0</v>
      </c>
      <c r="E18" s="209">
        <f>'DIA 11'!B$28</f>
        <v>0</v>
      </c>
      <c r="F18" s="209">
        <f>'DIA 11'!B$35</f>
        <v>0</v>
      </c>
      <c r="G18" s="209">
        <f>'DIA 11'!B$36</f>
        <v>0</v>
      </c>
      <c r="H18" s="209">
        <f>'DIA 11'!B$43</f>
        <v>0</v>
      </c>
      <c r="I18" s="209">
        <f>'DIA 11'!B$44</f>
        <v>0</v>
      </c>
    </row>
    <row r="19" spans="1:9" x14ac:dyDescent="0.25">
      <c r="A19" s="46">
        <f>'DIA 12'!B$6</f>
        <v>44754</v>
      </c>
      <c r="B19" s="208">
        <f>'DIA 12'!B$19</f>
        <v>843</v>
      </c>
      <c r="C19" s="209">
        <f>'DIA 12'!B$20</f>
        <v>4720.8599999999997</v>
      </c>
      <c r="D19" s="209">
        <f>'DIA 12'!B$27</f>
        <v>0</v>
      </c>
      <c r="E19" s="209">
        <f>'DIA 12'!B$28</f>
        <v>0</v>
      </c>
      <c r="F19" s="209">
        <f>'DIA 12'!B$35</f>
        <v>0</v>
      </c>
      <c r="G19" s="209">
        <f>'DIA 12'!B$36</f>
        <v>0</v>
      </c>
      <c r="H19" s="209">
        <f>'DIA 12'!B$43</f>
        <v>0</v>
      </c>
      <c r="I19" s="209">
        <f>'DIA 12'!B$44</f>
        <v>0</v>
      </c>
    </row>
    <row r="20" spans="1:9" x14ac:dyDescent="0.25">
      <c r="A20" s="46">
        <f>'DIA 13'!B$6</f>
        <v>44755</v>
      </c>
      <c r="B20" s="208">
        <f>'DIA 13'!B$19</f>
        <v>1040</v>
      </c>
      <c r="C20" s="209">
        <f>'DIA 13'!B$20</f>
        <v>5857.68</v>
      </c>
      <c r="D20" s="209">
        <f>'DIA 13'!B$27</f>
        <v>0</v>
      </c>
      <c r="E20" s="209">
        <f>'DIA 13'!B$28</f>
        <v>0</v>
      </c>
      <c r="F20" s="209">
        <f>'DIA 13'!B$35</f>
        <v>0</v>
      </c>
      <c r="G20" s="209">
        <f>'DIA 13'!B$36</f>
        <v>0</v>
      </c>
      <c r="H20" s="209">
        <f>'DIA 13'!B$43</f>
        <v>0</v>
      </c>
      <c r="I20" s="209">
        <f>'DIA 13'!B$44</f>
        <v>0</v>
      </c>
    </row>
    <row r="21" spans="1:9" x14ac:dyDescent="0.25">
      <c r="A21" s="46">
        <f>'DIA 14'!B$6</f>
        <v>44756</v>
      </c>
      <c r="B21" s="208">
        <f>'DIA 14'!B$19</f>
        <v>758</v>
      </c>
      <c r="C21" s="209">
        <f>'DIA 14'!B$20</f>
        <v>4296.84</v>
      </c>
      <c r="D21" s="209">
        <f>'DIA 14'!B$27</f>
        <v>0</v>
      </c>
      <c r="E21" s="209">
        <f>'DIA 14'!B$28</f>
        <v>0</v>
      </c>
      <c r="F21" s="209">
        <f>'DIA 14'!B$35</f>
        <v>0</v>
      </c>
      <c r="G21" s="209">
        <f>'DIA 14'!B$36</f>
        <v>0</v>
      </c>
      <c r="H21" s="209">
        <f>'DIA 14'!B$43</f>
        <v>0</v>
      </c>
      <c r="I21" s="209">
        <f>'DIA 14'!B$44</f>
        <v>0</v>
      </c>
    </row>
    <row r="22" spans="1:9" x14ac:dyDescent="0.25">
      <c r="A22" s="46">
        <f>'DIA 15'!B$6</f>
        <v>44757</v>
      </c>
      <c r="B22" s="208">
        <f>'DIA 15'!B$19</f>
        <v>1042</v>
      </c>
      <c r="C22" s="209">
        <f>'DIA 15'!B$20</f>
        <v>5928.68</v>
      </c>
      <c r="D22" s="209">
        <f>'DIA 15'!B$27</f>
        <v>0</v>
      </c>
      <c r="E22" s="209">
        <f>'DIA 15'!B$28</f>
        <v>0</v>
      </c>
      <c r="F22" s="209">
        <f>'DIA 15'!B$35</f>
        <v>0</v>
      </c>
      <c r="G22" s="209">
        <f>'DIA 15'!B$36</f>
        <v>0</v>
      </c>
      <c r="H22" s="209">
        <f>'DIA 15'!B$43</f>
        <v>0</v>
      </c>
      <c r="I22" s="209">
        <f>'DIA 15'!B$44</f>
        <v>0</v>
      </c>
    </row>
    <row r="23" spans="1:9" x14ac:dyDescent="0.25">
      <c r="A23" s="46">
        <f>'DIA 16'!B$6</f>
        <v>44758</v>
      </c>
      <c r="B23" s="208">
        <f>'DIA 16'!B$19</f>
        <v>1765</v>
      </c>
      <c r="C23" s="209">
        <f>'DIA 16'!B$20</f>
        <v>10060.5</v>
      </c>
      <c r="D23" s="209">
        <f>'DIA 16'!B$27</f>
        <v>50</v>
      </c>
      <c r="E23" s="209">
        <f>'DIA 16'!B$28</f>
        <v>287.5</v>
      </c>
      <c r="F23" s="209">
        <f>'DIA 16'!B$35</f>
        <v>49.99</v>
      </c>
      <c r="G23" s="209">
        <f>'DIA 16'!B$36</f>
        <v>284.94300000000004</v>
      </c>
      <c r="H23" s="209">
        <f>'DIA 16'!B$43</f>
        <v>0</v>
      </c>
      <c r="I23" s="209">
        <f>'DIA 16'!B$44</f>
        <v>0</v>
      </c>
    </row>
    <row r="24" spans="1:9" x14ac:dyDescent="0.25">
      <c r="A24" s="46">
        <f>'DIA 17'!B$6</f>
        <v>44759</v>
      </c>
      <c r="B24" s="208">
        <f>'DIA 17'!B$19</f>
        <v>1863</v>
      </c>
      <c r="C24" s="209">
        <f>'DIA 17'!B$20</f>
        <v>10619.1</v>
      </c>
      <c r="D24" s="209">
        <f>'DIA 17'!B$27</f>
        <v>0</v>
      </c>
      <c r="E24" s="209">
        <f>'DIA 17'!B$28</f>
        <v>0</v>
      </c>
      <c r="F24" s="209">
        <f>'DIA 17'!B$35</f>
        <v>0</v>
      </c>
      <c r="G24" s="209">
        <f>'DIA 17'!B$36</f>
        <v>0</v>
      </c>
      <c r="H24" s="209">
        <f>'DIA 17'!B$43</f>
        <v>51.15</v>
      </c>
      <c r="I24" s="209">
        <f>'DIA 17'!B$44</f>
        <v>291.55500000000001</v>
      </c>
    </row>
    <row r="25" spans="1:9" x14ac:dyDescent="0.25">
      <c r="A25" s="46">
        <f>'DIA 18'!B$6</f>
        <v>44760</v>
      </c>
      <c r="B25" s="208">
        <f>'DIA 18'!B$19</f>
        <v>1035</v>
      </c>
      <c r="C25" s="209">
        <f>'DIA 18'!B$20</f>
        <v>5899.5</v>
      </c>
      <c r="D25" s="209">
        <f>'DIA 18'!B$27</f>
        <v>0</v>
      </c>
      <c r="E25" s="209">
        <f>'DIA 18'!B$28</f>
        <v>0</v>
      </c>
      <c r="F25" s="209">
        <f>'DIA 18'!B$35</f>
        <v>0</v>
      </c>
      <c r="G25" s="209">
        <f>'DIA 18'!B$36</f>
        <v>0</v>
      </c>
      <c r="H25" s="209">
        <f>'DIA 18'!B$43</f>
        <v>0</v>
      </c>
      <c r="I25" s="209">
        <f>'DIA 18'!B$44</f>
        <v>0</v>
      </c>
    </row>
    <row r="26" spans="1:9" x14ac:dyDescent="0.25">
      <c r="A26" s="46">
        <f>'DIA 19'!B$6</f>
        <v>44761</v>
      </c>
      <c r="B26" s="208">
        <f>'DIA 19'!B$19</f>
        <v>781</v>
      </c>
      <c r="C26" s="209">
        <f>'DIA 19'!B$20</f>
        <v>4451.7</v>
      </c>
      <c r="D26" s="209">
        <f>'DIA 19'!B$27</f>
        <v>0</v>
      </c>
      <c r="E26" s="209">
        <f>'DIA 19'!B$28</f>
        <v>0</v>
      </c>
      <c r="F26" s="209">
        <f>'DIA 19'!B$35</f>
        <v>0</v>
      </c>
      <c r="G26" s="209">
        <f>'DIA 19'!B$36</f>
        <v>0</v>
      </c>
      <c r="H26" s="209">
        <f>'DIA 19'!B$43</f>
        <v>0</v>
      </c>
      <c r="I26" s="209">
        <f>'DIA 19'!B$44</f>
        <v>0</v>
      </c>
    </row>
    <row r="27" spans="1:9" x14ac:dyDescent="0.25">
      <c r="A27" s="46">
        <f>'DIA 20'!B$6</f>
        <v>44762</v>
      </c>
      <c r="B27" s="208">
        <f>'DIA 20'!B$19</f>
        <v>924</v>
      </c>
      <c r="C27" s="209">
        <f>'DIA 20'!B$20</f>
        <v>5275.17</v>
      </c>
      <c r="D27" s="209">
        <f>'DIA 20'!B$27</f>
        <v>0</v>
      </c>
      <c r="E27" s="209">
        <f>'DIA 20'!B$28</f>
        <v>0</v>
      </c>
      <c r="F27" s="209">
        <f>'DIA 20'!B$35</f>
        <v>0</v>
      </c>
      <c r="G27" s="209">
        <f>'DIA 20'!B$36</f>
        <v>0</v>
      </c>
      <c r="H27" s="209">
        <f>'DIA 20'!B$43</f>
        <v>0</v>
      </c>
      <c r="I27" s="209">
        <f>'DIA 20'!B$44</f>
        <v>0</v>
      </c>
    </row>
    <row r="28" spans="1:9" x14ac:dyDescent="0.25">
      <c r="A28" s="46">
        <f>'DIA 21'!B$6</f>
        <v>44763</v>
      </c>
      <c r="B28" s="208">
        <f>'DIA 21'!B$19</f>
        <v>630</v>
      </c>
      <c r="C28" s="209">
        <f>'DIA 21'!B$20</f>
        <v>3609.9</v>
      </c>
      <c r="D28" s="209">
        <f>'DIA 21'!B$27</f>
        <v>0</v>
      </c>
      <c r="E28" s="209">
        <f>'DIA 21'!B$28</f>
        <v>0</v>
      </c>
      <c r="F28" s="209">
        <f>'DIA 21'!B$35</f>
        <v>0</v>
      </c>
      <c r="G28" s="209">
        <f>'DIA 21'!B$36</f>
        <v>0</v>
      </c>
      <c r="H28" s="209">
        <f>'DIA 21'!B$43</f>
        <v>0</v>
      </c>
      <c r="I28" s="209">
        <f>'DIA 21'!B$44</f>
        <v>0</v>
      </c>
    </row>
    <row r="29" spans="1:9" x14ac:dyDescent="0.25">
      <c r="A29" s="46">
        <f>'DIA 22'!B$6</f>
        <v>44764</v>
      </c>
      <c r="B29" s="208">
        <f>'DIA 22'!B$19</f>
        <v>1256</v>
      </c>
      <c r="C29" s="209">
        <f>'DIA 22'!B$20</f>
        <v>7196.88</v>
      </c>
      <c r="D29" s="209">
        <f>'DIA 22'!B$27</f>
        <v>5</v>
      </c>
      <c r="E29" s="209">
        <f>'DIA 22'!B$28</f>
        <v>29.2</v>
      </c>
      <c r="F29" s="209">
        <f>'DIA 22'!B$35</f>
        <v>0</v>
      </c>
      <c r="G29" s="209">
        <f>'DIA 22'!B$36</f>
        <v>0</v>
      </c>
      <c r="H29" s="209">
        <f>'DIA 22'!B$43</f>
        <v>0</v>
      </c>
      <c r="I29" s="209">
        <f>'DIA 22'!B$44</f>
        <v>0</v>
      </c>
    </row>
    <row r="30" spans="1:9" x14ac:dyDescent="0.25">
      <c r="A30" s="46">
        <f>'DIA 23'!B$6</f>
        <v>44765</v>
      </c>
      <c r="B30" s="208">
        <f>'DIA 23'!B$19</f>
        <v>1365</v>
      </c>
      <c r="C30" s="209">
        <f>'DIA 23'!B$20</f>
        <v>7821.4500000000007</v>
      </c>
      <c r="D30" s="209">
        <f>'DIA 23'!B$27</f>
        <v>0</v>
      </c>
      <c r="E30" s="209">
        <f>'DIA 23'!B$28</f>
        <v>0</v>
      </c>
      <c r="F30" s="209">
        <f>'DIA 23'!B$35</f>
        <v>50</v>
      </c>
      <c r="G30" s="209">
        <f>'DIA 23'!B$36</f>
        <v>286.5</v>
      </c>
      <c r="H30" s="209">
        <f>'DIA 23'!B$43</f>
        <v>0</v>
      </c>
      <c r="I30" s="209">
        <f>'DIA 23'!B$44</f>
        <v>0</v>
      </c>
    </row>
    <row r="31" spans="1:9" x14ac:dyDescent="0.25">
      <c r="A31" s="46">
        <f>'DIA 24'!B$6</f>
        <v>44766</v>
      </c>
      <c r="B31" s="208">
        <f>'DIA 24'!B$19</f>
        <v>1768</v>
      </c>
      <c r="C31" s="209">
        <f>'DIA 24'!B$20</f>
        <v>10130.640000000001</v>
      </c>
      <c r="D31" s="209">
        <f>'DIA 24'!B$27</f>
        <v>20</v>
      </c>
      <c r="E31" s="209">
        <f>'DIA 24'!B$28</f>
        <v>117</v>
      </c>
      <c r="F31" s="209">
        <f>'DIA 24'!B$35</f>
        <v>0</v>
      </c>
      <c r="G31" s="209">
        <f>'DIA 24'!B$36</f>
        <v>0</v>
      </c>
      <c r="H31" s="209">
        <f>'DIA 24'!B$43</f>
        <v>0</v>
      </c>
      <c r="I31" s="209">
        <f>'DIA 24'!B$44</f>
        <v>0</v>
      </c>
    </row>
    <row r="32" spans="1:9" x14ac:dyDescent="0.25">
      <c r="A32" s="46">
        <f>'DIA 25'!B$6</f>
        <v>44767</v>
      </c>
      <c r="B32" s="208">
        <f>'DIA 25'!B$19</f>
        <v>706</v>
      </c>
      <c r="C32" s="209">
        <f>'DIA 25'!B$20</f>
        <v>4045.38</v>
      </c>
      <c r="D32" s="209">
        <f>'DIA 25'!B$27</f>
        <v>0</v>
      </c>
      <c r="E32" s="209">
        <f>'DIA 25'!B$28</f>
        <v>0</v>
      </c>
      <c r="F32" s="209">
        <f>'DIA 25'!B$35</f>
        <v>0</v>
      </c>
      <c r="G32" s="209">
        <f>'DIA 25'!B$36</f>
        <v>0</v>
      </c>
      <c r="H32" s="209">
        <f>'DIA 25'!B$43</f>
        <v>0</v>
      </c>
      <c r="I32" s="209">
        <f>'DIA 25'!B$44</f>
        <v>0</v>
      </c>
    </row>
    <row r="33" spans="1:9" x14ac:dyDescent="0.25">
      <c r="A33" s="46">
        <f>'DIA 26'!B$6</f>
        <v>44768</v>
      </c>
      <c r="B33" s="208">
        <f>'DIA 26'!B$19</f>
        <v>986</v>
      </c>
      <c r="C33" s="209">
        <f>'DIA 26'!B$20</f>
        <v>5652.7900000000009</v>
      </c>
      <c r="D33" s="209">
        <f>'DIA 26'!B$27</f>
        <v>0</v>
      </c>
      <c r="E33" s="209">
        <f>'DIA 26'!B$28</f>
        <v>0</v>
      </c>
      <c r="F33" s="209">
        <f>'DIA 26'!B$35</f>
        <v>0</v>
      </c>
      <c r="G33" s="209">
        <f>'DIA 26'!B$36</f>
        <v>0</v>
      </c>
      <c r="H33" s="209">
        <f>'DIA 26'!B$43</f>
        <v>37.54</v>
      </c>
      <c r="I33" s="209">
        <f>'DIA 26'!B$44</f>
        <v>215.10420000000002</v>
      </c>
    </row>
    <row r="34" spans="1:9" x14ac:dyDescent="0.25">
      <c r="A34" s="46">
        <f>'DIA 27'!B$6</f>
        <v>44769</v>
      </c>
      <c r="B34" s="208">
        <f>'DIA 27'!B$19</f>
        <v>742</v>
      </c>
      <c r="C34" s="209">
        <f>'DIA 27'!B$20</f>
        <v>4266.5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0</v>
      </c>
      <c r="I34" s="209">
        <f>'DIA 27'!B$44</f>
        <v>0</v>
      </c>
    </row>
    <row r="35" spans="1:9" x14ac:dyDescent="0.25">
      <c r="A35" s="46">
        <f>'DIA 28'!B$6</f>
        <v>44770</v>
      </c>
      <c r="B35" s="208">
        <f>'DIA 28'!B$19</f>
        <v>1022</v>
      </c>
      <c r="C35" s="209">
        <f>'DIA 28'!B$20</f>
        <v>5901.53</v>
      </c>
      <c r="D35" s="209">
        <f>'DIA 28'!B$27</f>
        <v>0</v>
      </c>
      <c r="E35" s="209">
        <f>'DIA 28'!B$28</f>
        <v>0</v>
      </c>
      <c r="F35" s="209">
        <f>'DIA 28'!B$35</f>
        <v>0</v>
      </c>
      <c r="G35" s="209">
        <f>'DIA 28'!B$36</f>
        <v>0</v>
      </c>
      <c r="H35" s="209">
        <f>'DIA 28'!B$43</f>
        <v>11.05</v>
      </c>
      <c r="I35" s="209">
        <f>'DIA 28'!B$44</f>
        <v>63.758499999999998</v>
      </c>
    </row>
    <row r="36" spans="1:9" x14ac:dyDescent="0.25">
      <c r="A36" s="46">
        <f>'DIA 29'!B$6</f>
        <v>44771</v>
      </c>
      <c r="B36" s="208">
        <f>'DIA 29'!B$19</f>
        <v>1065</v>
      </c>
      <c r="C36" s="209">
        <f>'DIA 29'!B$20</f>
        <v>6160.8</v>
      </c>
      <c r="D36" s="209">
        <f>'DIA 29'!B$27</f>
        <v>0</v>
      </c>
      <c r="E36" s="209">
        <f>'DIA 29'!B$28</f>
        <v>0</v>
      </c>
      <c r="F36" s="209">
        <f>'DIA 29'!B$35</f>
        <v>0</v>
      </c>
      <c r="G36" s="209">
        <f>'DIA 29'!B$36</f>
        <v>0</v>
      </c>
      <c r="H36" s="209">
        <f>'DIA 29'!B$43</f>
        <v>0</v>
      </c>
      <c r="I36" s="209">
        <f>'DIA 29'!B$44</f>
        <v>0</v>
      </c>
    </row>
    <row r="37" spans="1:9" x14ac:dyDescent="0.25">
      <c r="A37" s="46">
        <f>'DIA 30'!B$6</f>
        <v>44772</v>
      </c>
      <c r="B37" s="208">
        <f>'DIA 30'!B$19</f>
        <v>1930</v>
      </c>
      <c r="C37" s="209">
        <f>'DIA 30'!B$20</f>
        <v>11174.7</v>
      </c>
      <c r="D37" s="209">
        <f>'DIA 30'!B$27</f>
        <v>10</v>
      </c>
      <c r="E37" s="209">
        <f>'DIA 30'!B$28</f>
        <v>59</v>
      </c>
      <c r="F37" s="209">
        <f>'DIA 30'!B$35</f>
        <v>0</v>
      </c>
      <c r="G37" s="209">
        <f>'DIA 30'!B$36</f>
        <v>0</v>
      </c>
      <c r="H37" s="209">
        <f>'DIA 30'!B$43</f>
        <v>45.11</v>
      </c>
      <c r="I37" s="209">
        <f>'DIA 30'!B$44</f>
        <v>261.18689999999998</v>
      </c>
    </row>
    <row r="38" spans="1:9" x14ac:dyDescent="0.25">
      <c r="A38" s="46">
        <f>'DIA 31'!B$6</f>
        <v>44773</v>
      </c>
      <c r="B38" s="208">
        <f>'DIA 31'!B$19</f>
        <v>1378</v>
      </c>
      <c r="C38" s="209">
        <f>'DIA 31'!B$20</f>
        <v>7978.62</v>
      </c>
      <c r="D38" s="209">
        <f>'DIA 31'!B$27</f>
        <v>0</v>
      </c>
      <c r="E38" s="209">
        <f>'DIA 31'!B$28</f>
        <v>0</v>
      </c>
      <c r="F38" s="209">
        <f>'DIA 31'!B$35</f>
        <v>48.89</v>
      </c>
      <c r="G38" s="209">
        <f>'DIA 31'!B$36</f>
        <v>283.07310000000001</v>
      </c>
      <c r="H38" s="209">
        <f>'DIA 31'!B$43</f>
        <v>0</v>
      </c>
      <c r="I38" s="209">
        <f>'DIA 31'!B$44</f>
        <v>0</v>
      </c>
    </row>
    <row r="39" spans="1:9" x14ac:dyDescent="0.25">
      <c r="A39" s="32" t="s">
        <v>43</v>
      </c>
      <c r="B39" s="134">
        <f>SUM(B8:B38)</f>
        <v>36183</v>
      </c>
      <c r="C39" s="134"/>
      <c r="D39" s="134">
        <f>SUM(D8:D38)</f>
        <v>85</v>
      </c>
      <c r="E39" s="134">
        <f>SUM(F8:F38)</f>
        <v>148.88</v>
      </c>
    </row>
    <row r="41" spans="1:9" ht="15.75" thickBot="1" x14ac:dyDescent="0.3"/>
    <row r="42" spans="1:9" x14ac:dyDescent="0.25">
      <c r="A42" s="34" t="s">
        <v>44</v>
      </c>
      <c r="B42" s="35">
        <f>'RESUMEN GENERAL DE VENTAS'!B39</f>
        <v>485900.58999999991</v>
      </c>
    </row>
    <row r="43" spans="1:9" x14ac:dyDescent="0.25">
      <c r="A43" s="36" t="s">
        <v>49</v>
      </c>
      <c r="B43" s="37">
        <f>B39/B42</f>
        <v>7.4465849074190266E-2</v>
      </c>
    </row>
    <row r="44" spans="1:9" x14ac:dyDescent="0.25">
      <c r="A44" s="36" t="s">
        <v>45</v>
      </c>
      <c r="B44" s="38"/>
    </row>
    <row r="45" spans="1:9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55" zoomScaleNormal="100" workbookViewId="0">
      <selection activeCell="T77" sqref="T7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9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05"/>
      <c r="C1" s="305"/>
      <c r="D1" s="305"/>
      <c r="E1" s="305"/>
      <c r="F1" s="305"/>
      <c r="G1" s="305"/>
      <c r="H1" s="305"/>
      <c r="M1" s="76"/>
      <c r="N1" s="71"/>
    </row>
    <row r="2" spans="1:28" s="84" customFormat="1" ht="16.5" customHeight="1" x14ac:dyDescent="0.35">
      <c r="A2" s="278"/>
      <c r="B2" s="305" t="s">
        <v>12</v>
      </c>
      <c r="C2" s="305"/>
      <c r="D2" s="305"/>
      <c r="E2" s="305"/>
      <c r="F2" s="305"/>
      <c r="G2" s="305"/>
      <c r="H2" s="305"/>
      <c r="M2" s="76"/>
      <c r="N2" s="71"/>
    </row>
    <row r="3" spans="1:28" s="84" customFormat="1" ht="21.75" customHeight="1" x14ac:dyDescent="0.25">
      <c r="A3" s="278"/>
      <c r="B3" s="306" t="s">
        <v>21</v>
      </c>
      <c r="C3" s="306"/>
      <c r="D3" s="306"/>
      <c r="E3" s="306"/>
      <c r="F3" s="306"/>
      <c r="G3" s="306"/>
      <c r="H3" s="306"/>
      <c r="M3" s="76"/>
      <c r="N3" s="71"/>
    </row>
    <row r="4" spans="1:28" x14ac:dyDescent="0.25">
      <c r="B4" s="307" t="s">
        <v>190</v>
      </c>
      <c r="C4" s="307"/>
      <c r="D4" s="307"/>
      <c r="E4" s="307"/>
      <c r="F4" s="307"/>
      <c r="G4" s="307"/>
      <c r="H4" s="307"/>
    </row>
    <row r="6" spans="1:28" x14ac:dyDescent="0.25">
      <c r="A6" s="7" t="s">
        <v>22</v>
      </c>
      <c r="B6" s="72">
        <v>44743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5.54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1586.5</v>
      </c>
      <c r="C12" s="15"/>
      <c r="D12" s="56"/>
      <c r="E12" s="16"/>
      <c r="F12" s="56"/>
      <c r="G12" s="56"/>
      <c r="H12" s="17"/>
      <c r="I12" s="83">
        <v>1586.5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180</v>
      </c>
      <c r="Q12" s="158">
        <v>6</v>
      </c>
      <c r="R12" s="159">
        <v>991.03</v>
      </c>
      <c r="S12" s="160"/>
      <c r="T12" s="160">
        <v>112.05</v>
      </c>
      <c r="U12" s="189">
        <f>((T12/U$10)*U$9)</f>
        <v>4.8297413793103452</v>
      </c>
      <c r="V12" s="189">
        <f>R12*V$10</f>
        <v>7.4327249999999996</v>
      </c>
      <c r="W12" s="189">
        <f>+S12*V$10</f>
        <v>0</v>
      </c>
      <c r="X12" s="189">
        <f>+T12*X$10</f>
        <v>2.80125</v>
      </c>
      <c r="Y12" s="189">
        <f>R12-V12</f>
        <v>983.59727499999997</v>
      </c>
      <c r="Z12" s="189">
        <f>S12-W12</f>
        <v>0</v>
      </c>
      <c r="AA12" s="189">
        <f>T12-U12-X12</f>
        <v>104.41900862068965</v>
      </c>
      <c r="AB12" s="156"/>
    </row>
    <row r="13" spans="1:28" ht="15.75" x14ac:dyDescent="0.25">
      <c r="A13" s="86" t="s">
        <v>76</v>
      </c>
      <c r="B13" s="89">
        <v>1062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1062</v>
      </c>
      <c r="K13" s="75"/>
      <c r="L13" s="186">
        <f t="shared" ref="L13:L28" si="1">+G13-K13</f>
        <v>0</v>
      </c>
      <c r="M13" s="106"/>
      <c r="N13" s="104">
        <v>2</v>
      </c>
      <c r="O13" s="152" t="s">
        <v>216</v>
      </c>
      <c r="P13" s="158">
        <v>181</v>
      </c>
      <c r="Q13" s="158">
        <v>6</v>
      </c>
      <c r="R13" s="159">
        <v>179.76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1.3481999999999998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Y41" si="6">R13-V13</f>
        <v>178.4118</v>
      </c>
      <c r="Z13" s="189">
        <f t="shared" ref="Z13:Z41" si="7">S13-W13</f>
        <v>0</v>
      </c>
      <c r="AA13" s="189">
        <f t="shared" ref="AA13:AA41" si="8">T13-U13-X13</f>
        <v>0</v>
      </c>
      <c r="AB13" s="156"/>
    </row>
    <row r="14" spans="1:28" ht="15.75" x14ac:dyDescent="0.25">
      <c r="A14" s="86" t="s">
        <v>83</v>
      </c>
      <c r="B14" s="57">
        <f>B13*B8</f>
        <v>5883.4800000000005</v>
      </c>
      <c r="C14" s="15"/>
      <c r="D14" s="56"/>
      <c r="E14" s="16"/>
      <c r="F14" s="56"/>
      <c r="G14" s="56"/>
      <c r="H14" s="17"/>
      <c r="I14" s="83"/>
      <c r="J14" s="81">
        <f t="shared" si="0"/>
        <v>5883.4800000000005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7"/>
        <v>0</v>
      </c>
      <c r="AA14" s="189">
        <f t="shared" si="8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7"/>
        <v>0</v>
      </c>
      <c r="AA15" s="189">
        <f t="shared" si="8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7"/>
        <v>0</v>
      </c>
      <c r="AA16" s="189">
        <f t="shared" si="8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7"/>
        <v>0</v>
      </c>
      <c r="AA17" s="189">
        <f t="shared" si="8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81</v>
      </c>
      <c r="B19" s="97">
        <f>+B13+B15+B17</f>
        <v>1062</v>
      </c>
      <c r="C19" s="95"/>
      <c r="D19" s="94"/>
      <c r="E19" s="96"/>
      <c r="F19" s="94"/>
      <c r="G19" s="94"/>
      <c r="H19" s="98"/>
      <c r="I19" s="99"/>
      <c r="J19" s="185">
        <f>B19-I19</f>
        <v>1062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82</v>
      </c>
      <c r="B20" s="97">
        <f>+B14+B16+B18</f>
        <v>5883.4800000000005</v>
      </c>
      <c r="C20" s="95"/>
      <c r="D20" s="94"/>
      <c r="E20" s="96"/>
      <c r="F20" s="94"/>
      <c r="G20" s="94"/>
      <c r="H20" s="98"/>
      <c r="I20" s="99">
        <v>5904.72</v>
      </c>
      <c r="J20" s="185">
        <f t="shared" si="0"/>
        <v>-21.239999999999782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7"/>
        <v>0</v>
      </c>
      <c r="AA21" s="189">
        <f t="shared" si="8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ref="L29:L44" si="9">+G29-K29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9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9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9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9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9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9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9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9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9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9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300" t="s">
        <v>107</v>
      </c>
      <c r="O42" s="301"/>
      <c r="P42" s="301"/>
      <c r="Q42" s="302"/>
      <c r="R42" s="190">
        <f t="shared" ref="R42:Y42" si="10">SUM(R12:R41)</f>
        <v>1170.79</v>
      </c>
      <c r="S42" s="190">
        <f t="shared" si="10"/>
        <v>0</v>
      </c>
      <c r="T42" s="190">
        <f t="shared" si="10"/>
        <v>112.05</v>
      </c>
      <c r="U42" s="190">
        <f t="shared" si="10"/>
        <v>4.8297413793103452</v>
      </c>
      <c r="V42" s="190">
        <f t="shared" si="10"/>
        <v>8.7809249999999999</v>
      </c>
      <c r="W42" s="190">
        <f t="shared" si="10"/>
        <v>0</v>
      </c>
      <c r="X42" s="190">
        <f t="shared" si="10"/>
        <v>2.80125</v>
      </c>
      <c r="Y42" s="190">
        <f t="shared" si="10"/>
        <v>1162.0090749999999</v>
      </c>
      <c r="Z42" s="190">
        <f t="shared" ref="Z42" si="11">SUM(Z12:Z41)</f>
        <v>0</v>
      </c>
      <c r="AA42" s="190">
        <f t="shared" ref="AA42" si="12">SUM(AA12:AA41)</f>
        <v>104.41900862068965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9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" si="13">((T43/U$10)*U$9)</f>
        <v>0</v>
      </c>
      <c r="V43" s="189">
        <f t="shared" ref="V43" si="14">R43*V$10</f>
        <v>0</v>
      </c>
      <c r="W43" s="189">
        <f t="shared" ref="W43" si="15">+S43*V$10</f>
        <v>0</v>
      </c>
      <c r="X43" s="189">
        <f t="shared" ref="X43" si="16">+T43*X$10</f>
        <v>0</v>
      </c>
      <c r="Y43" s="189">
        <f t="shared" ref="Y43" si="17">R43-V43</f>
        <v>0</v>
      </c>
      <c r="Z43" s="189">
        <f t="shared" ref="Z43" si="18">S43-W43</f>
        <v>0</v>
      </c>
      <c r="AA43" s="189">
        <f t="shared" ref="AA43" si="19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9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ref="U44:U62" si="20">((T44/U$10)*U$9)</f>
        <v>0</v>
      </c>
      <c r="V44" s="189">
        <f t="shared" ref="V44:V62" si="21">R44*V$10</f>
        <v>0</v>
      </c>
      <c r="W44" s="189">
        <f t="shared" ref="W44:W62" si="22">+S44*V$10</f>
        <v>0</v>
      </c>
      <c r="X44" s="189">
        <f t="shared" ref="X44:X62" si="23">+T44*X$10</f>
        <v>0</v>
      </c>
      <c r="Y44" s="189">
        <f t="shared" ref="Y44:Y62" si="24">R44-V44</f>
        <v>0</v>
      </c>
      <c r="Z44" s="189">
        <f t="shared" ref="Z44:Z62" si="25">S44-W44</f>
        <v>0</v>
      </c>
      <c r="AA44" s="189">
        <f t="shared" ref="AA44:AA62" si="26">T44-U44-X44</f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20"/>
        <v>0</v>
      </c>
      <c r="V45" s="189">
        <f t="shared" si="21"/>
        <v>0</v>
      </c>
      <c r="W45" s="189">
        <f t="shared" si="22"/>
        <v>0</v>
      </c>
      <c r="X45" s="189">
        <f t="shared" si="23"/>
        <v>0</v>
      </c>
      <c r="Y45" s="189">
        <f t="shared" si="24"/>
        <v>0</v>
      </c>
      <c r="Z45" s="189">
        <f t="shared" si="25"/>
        <v>0</v>
      </c>
      <c r="AA45" s="189">
        <f t="shared" si="26"/>
        <v>0</v>
      </c>
      <c r="AB45" s="156"/>
    </row>
    <row r="46" spans="1:28" ht="15.75" x14ac:dyDescent="0.25">
      <c r="A46" s="115" t="s">
        <v>28</v>
      </c>
      <c r="B46" s="117">
        <f>R42</f>
        <v>1170.79</v>
      </c>
      <c r="C46" s="116">
        <v>7.4999999999999997E-3</v>
      </c>
      <c r="D46" s="117">
        <f>B46*C46</f>
        <v>8.7809249999999999</v>
      </c>
      <c r="E46" s="172">
        <v>0</v>
      </c>
      <c r="F46" s="117">
        <f t="shared" ref="F46:F50" si="27">D46*E46</f>
        <v>0</v>
      </c>
      <c r="G46" s="117">
        <f t="shared" ref="G46:G51" si="28">B46-D46-F46</f>
        <v>1162.0090749999999</v>
      </c>
      <c r="H46" s="173">
        <f>B$6+1</f>
        <v>44744</v>
      </c>
      <c r="I46" s="174"/>
      <c r="J46" s="81">
        <f t="shared" si="0"/>
        <v>1170.79</v>
      </c>
      <c r="K46" s="80">
        <v>1162.01</v>
      </c>
      <c r="L46" s="186">
        <f>K46-G46</f>
        <v>9.250000000520231E-4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20"/>
        <v>0</v>
      </c>
      <c r="V46" s="189">
        <f t="shared" si="21"/>
        <v>0</v>
      </c>
      <c r="W46" s="189">
        <f t="shared" si="22"/>
        <v>0</v>
      </c>
      <c r="X46" s="189">
        <f t="shared" si="23"/>
        <v>0</v>
      </c>
      <c r="Y46" s="189">
        <f t="shared" si="24"/>
        <v>0</v>
      </c>
      <c r="Z46" s="189">
        <f t="shared" si="25"/>
        <v>0</v>
      </c>
      <c r="AA46" s="189">
        <f t="shared" si="26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29">B47*C47</f>
        <v>0</v>
      </c>
      <c r="E47" s="172">
        <v>0</v>
      </c>
      <c r="F47" s="117">
        <f t="shared" si="27"/>
        <v>0</v>
      </c>
      <c r="G47" s="117">
        <f t="shared" si="28"/>
        <v>0</v>
      </c>
      <c r="H47" s="173">
        <f>B$6+1</f>
        <v>44744</v>
      </c>
      <c r="I47" s="175"/>
      <c r="J47" s="81">
        <f t="shared" si="0"/>
        <v>0</v>
      </c>
      <c r="K47" s="80"/>
      <c r="L47" s="186">
        <f t="shared" ref="L47:L64" si="30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20"/>
        <v>0</v>
      </c>
      <c r="V47" s="189">
        <f t="shared" si="21"/>
        <v>0</v>
      </c>
      <c r="W47" s="189">
        <f t="shared" si="22"/>
        <v>0</v>
      </c>
      <c r="X47" s="189">
        <f t="shared" si="23"/>
        <v>0</v>
      </c>
      <c r="Y47" s="189">
        <f t="shared" si="24"/>
        <v>0</v>
      </c>
      <c r="Z47" s="189">
        <f t="shared" si="25"/>
        <v>0</v>
      </c>
      <c r="AA47" s="189">
        <f t="shared" si="26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29"/>
        <v>0</v>
      </c>
      <c r="E48" s="172">
        <v>0</v>
      </c>
      <c r="F48" s="117">
        <f t="shared" si="27"/>
        <v>0</v>
      </c>
      <c r="G48" s="117">
        <f t="shared" si="28"/>
        <v>0</v>
      </c>
      <c r="H48" s="173">
        <f t="shared" ref="H48:H61" si="31">B$6+1</f>
        <v>44744</v>
      </c>
      <c r="I48" s="176"/>
      <c r="J48" s="81">
        <f t="shared" si="0"/>
        <v>0</v>
      </c>
      <c r="K48" s="80"/>
      <c r="L48" s="186">
        <f t="shared" si="30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20"/>
        <v>0</v>
      </c>
      <c r="V48" s="189">
        <f t="shared" si="21"/>
        <v>0</v>
      </c>
      <c r="W48" s="189">
        <f t="shared" si="22"/>
        <v>0</v>
      </c>
      <c r="X48" s="189">
        <f t="shared" si="23"/>
        <v>0</v>
      </c>
      <c r="Y48" s="189">
        <f t="shared" si="24"/>
        <v>0</v>
      </c>
      <c r="Z48" s="189">
        <f t="shared" si="25"/>
        <v>0</v>
      </c>
      <c r="AA48" s="189">
        <f t="shared" si="26"/>
        <v>0</v>
      </c>
      <c r="AB48" s="156"/>
    </row>
    <row r="49" spans="1:28" ht="15.75" x14ac:dyDescent="0.25">
      <c r="A49" s="115" t="s">
        <v>170</v>
      </c>
      <c r="B49" s="117">
        <f>R75</f>
        <v>2703.84</v>
      </c>
      <c r="C49" s="116">
        <v>7.4999999999999997E-3</v>
      </c>
      <c r="D49" s="117">
        <f t="shared" si="29"/>
        <v>20.2788</v>
      </c>
      <c r="E49" s="172">
        <v>0</v>
      </c>
      <c r="F49" s="117">
        <f t="shared" si="27"/>
        <v>0</v>
      </c>
      <c r="G49" s="117">
        <f t="shared" si="28"/>
        <v>2683.5612000000001</v>
      </c>
      <c r="H49" s="173">
        <f t="shared" si="31"/>
        <v>44744</v>
      </c>
      <c r="I49" s="176"/>
      <c r="J49" s="81">
        <f t="shared" si="0"/>
        <v>2703.84</v>
      </c>
      <c r="K49" s="80">
        <v>2683.56</v>
      </c>
      <c r="L49" s="186">
        <f t="shared" si="30"/>
        <v>1.2000000001535227E-3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20"/>
        <v>0</v>
      </c>
      <c r="V49" s="189">
        <f t="shared" si="21"/>
        <v>0</v>
      </c>
      <c r="W49" s="189">
        <f t="shared" si="22"/>
        <v>0</v>
      </c>
      <c r="X49" s="189">
        <f t="shared" si="23"/>
        <v>0</v>
      </c>
      <c r="Y49" s="189">
        <f t="shared" si="24"/>
        <v>0</v>
      </c>
      <c r="Z49" s="189">
        <f t="shared" si="25"/>
        <v>0</v>
      </c>
      <c r="AA49" s="189">
        <f t="shared" si="26"/>
        <v>0</v>
      </c>
      <c r="AB49" s="156"/>
    </row>
    <row r="50" spans="1:28" ht="15.75" x14ac:dyDescent="0.25">
      <c r="A50" s="115" t="s">
        <v>62</v>
      </c>
      <c r="B50" s="171">
        <f>P98+Q98</f>
        <v>284.39</v>
      </c>
      <c r="C50" s="116">
        <v>7.4999999999999997E-3</v>
      </c>
      <c r="D50" s="117">
        <f t="shared" si="29"/>
        <v>2.1329249999999997</v>
      </c>
      <c r="E50" s="172">
        <v>0</v>
      </c>
      <c r="F50" s="117">
        <f t="shared" si="27"/>
        <v>0</v>
      </c>
      <c r="G50" s="117">
        <f t="shared" si="28"/>
        <v>282.25707499999999</v>
      </c>
      <c r="H50" s="173">
        <f t="shared" si="31"/>
        <v>44744</v>
      </c>
      <c r="I50" s="175"/>
      <c r="J50" s="81">
        <f t="shared" si="0"/>
        <v>284.39</v>
      </c>
      <c r="K50" s="80"/>
      <c r="L50" s="186">
        <f t="shared" si="30"/>
        <v>282.25707499999999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20"/>
        <v>0</v>
      </c>
      <c r="V50" s="189">
        <f t="shared" si="21"/>
        <v>0</v>
      </c>
      <c r="W50" s="189">
        <f t="shared" si="22"/>
        <v>0</v>
      </c>
      <c r="X50" s="189">
        <f t="shared" si="23"/>
        <v>0</v>
      </c>
      <c r="Y50" s="189">
        <f t="shared" si="24"/>
        <v>0</v>
      </c>
      <c r="Z50" s="189">
        <f t="shared" si="25"/>
        <v>0</v>
      </c>
      <c r="AA50" s="189">
        <f t="shared" si="26"/>
        <v>0</v>
      </c>
      <c r="AB50" s="156"/>
    </row>
    <row r="51" spans="1:28" ht="15.75" x14ac:dyDescent="0.25">
      <c r="A51" s="115" t="s">
        <v>68</v>
      </c>
      <c r="B51" s="117">
        <f>U98+V98</f>
        <v>298.31000000000006</v>
      </c>
      <c r="C51" s="116">
        <v>1.4999999999999999E-2</v>
      </c>
      <c r="D51" s="117">
        <f>+B51*C51</f>
        <v>4.4746500000000005</v>
      </c>
      <c r="E51" s="172">
        <v>0</v>
      </c>
      <c r="F51" s="117">
        <f>D51*E51</f>
        <v>0</v>
      </c>
      <c r="G51" s="117">
        <f t="shared" si="28"/>
        <v>293.83535000000006</v>
      </c>
      <c r="H51" s="173">
        <f t="shared" si="31"/>
        <v>44744</v>
      </c>
      <c r="I51" s="175"/>
      <c r="J51" s="81">
        <f t="shared" si="0"/>
        <v>298.31000000000006</v>
      </c>
      <c r="K51" s="80"/>
      <c r="L51" s="186">
        <f t="shared" si="30"/>
        <v>293.83535000000006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20"/>
        <v>0</v>
      </c>
      <c r="V51" s="189">
        <f t="shared" si="21"/>
        <v>0</v>
      </c>
      <c r="W51" s="189">
        <f t="shared" si="22"/>
        <v>0</v>
      </c>
      <c r="X51" s="189">
        <f t="shared" si="23"/>
        <v>0</v>
      </c>
      <c r="Y51" s="189">
        <f t="shared" si="24"/>
        <v>0</v>
      </c>
      <c r="Z51" s="189">
        <f t="shared" si="25"/>
        <v>0</v>
      </c>
      <c r="AA51" s="189">
        <f t="shared" si="26"/>
        <v>0</v>
      </c>
      <c r="AB51" s="156"/>
    </row>
    <row r="52" spans="1:28" ht="15.75" x14ac:dyDescent="0.25">
      <c r="A52" s="115" t="s">
        <v>119</v>
      </c>
      <c r="B52" s="117">
        <f>T42</f>
        <v>112.05</v>
      </c>
      <c r="C52" s="116">
        <v>2.5000000000000001E-2</v>
      </c>
      <c r="D52" s="117">
        <f>B52*C52</f>
        <v>2.80125</v>
      </c>
      <c r="E52" s="172">
        <v>0.05</v>
      </c>
      <c r="F52" s="117">
        <f>(B52/E$10)*E52</f>
        <v>4.8297413793103452</v>
      </c>
      <c r="G52" s="117">
        <f>B52-D52-F52</f>
        <v>104.41900862068965</v>
      </c>
      <c r="H52" s="188">
        <f t="shared" si="31"/>
        <v>44744</v>
      </c>
      <c r="I52" s="176">
        <v>112.05</v>
      </c>
      <c r="J52" s="81">
        <f t="shared" si="0"/>
        <v>0</v>
      </c>
      <c r="K52" s="80">
        <v>104.42</v>
      </c>
      <c r="L52" s="186">
        <f>K52-G52</f>
        <v>9.9137931034931626E-4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20"/>
        <v>0</v>
      </c>
      <c r="V52" s="189">
        <f t="shared" si="21"/>
        <v>0</v>
      </c>
      <c r="W52" s="189">
        <f t="shared" si="22"/>
        <v>0</v>
      </c>
      <c r="X52" s="189">
        <f t="shared" si="23"/>
        <v>0</v>
      </c>
      <c r="Y52" s="189">
        <f t="shared" si="24"/>
        <v>0</v>
      </c>
      <c r="Z52" s="189">
        <f t="shared" si="25"/>
        <v>0</v>
      </c>
      <c r="AA52" s="189">
        <f t="shared" si="26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32">B53*C53</f>
        <v>0</v>
      </c>
      <c r="E53" s="172">
        <v>0.05</v>
      </c>
      <c r="F53" s="117">
        <f t="shared" ref="F53:F56" si="33">(B53/E$10)*E53</f>
        <v>0</v>
      </c>
      <c r="G53" s="117">
        <f t="shared" ref="G53:G58" si="34">B53-D53-F53</f>
        <v>0</v>
      </c>
      <c r="H53" s="188">
        <f t="shared" si="31"/>
        <v>44744</v>
      </c>
      <c r="I53" s="176"/>
      <c r="J53" s="81">
        <f t="shared" si="0"/>
        <v>0</v>
      </c>
      <c r="K53" s="80"/>
      <c r="L53" s="186">
        <f t="shared" si="30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20"/>
        <v>0</v>
      </c>
      <c r="V53" s="189">
        <f t="shared" si="21"/>
        <v>0</v>
      </c>
      <c r="W53" s="189">
        <f t="shared" si="22"/>
        <v>0</v>
      </c>
      <c r="X53" s="189">
        <f t="shared" si="23"/>
        <v>0</v>
      </c>
      <c r="Y53" s="189">
        <f t="shared" si="24"/>
        <v>0</v>
      </c>
      <c r="Z53" s="189">
        <f t="shared" si="25"/>
        <v>0</v>
      </c>
      <c r="AA53" s="189">
        <f t="shared" si="26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32"/>
        <v>0</v>
      </c>
      <c r="E54" s="172">
        <v>0.05</v>
      </c>
      <c r="F54" s="117">
        <f t="shared" si="33"/>
        <v>0</v>
      </c>
      <c r="G54" s="117">
        <f t="shared" si="34"/>
        <v>0</v>
      </c>
      <c r="H54" s="173">
        <f t="shared" si="31"/>
        <v>44744</v>
      </c>
      <c r="I54" s="176"/>
      <c r="J54" s="81">
        <f t="shared" si="0"/>
        <v>0</v>
      </c>
      <c r="K54" s="80"/>
      <c r="L54" s="186">
        <f t="shared" si="30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20"/>
        <v>0</v>
      </c>
      <c r="V54" s="189">
        <f t="shared" si="21"/>
        <v>0</v>
      </c>
      <c r="W54" s="189">
        <f t="shared" si="22"/>
        <v>0</v>
      </c>
      <c r="X54" s="189">
        <f t="shared" si="23"/>
        <v>0</v>
      </c>
      <c r="Y54" s="189">
        <f t="shared" si="24"/>
        <v>0</v>
      </c>
      <c r="Z54" s="189">
        <f t="shared" si="25"/>
        <v>0</v>
      </c>
      <c r="AA54" s="189">
        <f t="shared" si="26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32"/>
        <v>0</v>
      </c>
      <c r="E55" s="172">
        <v>0.05</v>
      </c>
      <c r="F55" s="117">
        <f t="shared" si="33"/>
        <v>0</v>
      </c>
      <c r="G55" s="117">
        <f t="shared" si="34"/>
        <v>0</v>
      </c>
      <c r="H55" s="173">
        <f t="shared" si="31"/>
        <v>44744</v>
      </c>
      <c r="I55" s="176"/>
      <c r="J55" s="81">
        <f t="shared" si="0"/>
        <v>0</v>
      </c>
      <c r="K55" s="80"/>
      <c r="L55" s="186">
        <f t="shared" si="30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20"/>
        <v>0</v>
      </c>
      <c r="V55" s="189">
        <f t="shared" si="21"/>
        <v>0</v>
      </c>
      <c r="W55" s="189">
        <f t="shared" si="22"/>
        <v>0</v>
      </c>
      <c r="X55" s="189">
        <f t="shared" si="23"/>
        <v>0</v>
      </c>
      <c r="Y55" s="189">
        <f t="shared" si="24"/>
        <v>0</v>
      </c>
      <c r="Z55" s="189">
        <f t="shared" si="25"/>
        <v>0</v>
      </c>
      <c r="AA55" s="189">
        <f t="shared" si="26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32"/>
        <v>0</v>
      </c>
      <c r="E56" s="172">
        <v>0.05</v>
      </c>
      <c r="F56" s="117">
        <f t="shared" si="33"/>
        <v>0</v>
      </c>
      <c r="G56" s="117">
        <f t="shared" si="34"/>
        <v>0</v>
      </c>
      <c r="H56" s="173">
        <f t="shared" si="31"/>
        <v>44744</v>
      </c>
      <c r="I56" s="176"/>
      <c r="J56" s="81">
        <f t="shared" si="0"/>
        <v>0</v>
      </c>
      <c r="K56" s="80"/>
      <c r="L56" s="186">
        <f t="shared" si="30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20"/>
        <v>0</v>
      </c>
      <c r="V56" s="189">
        <f t="shared" si="21"/>
        <v>0</v>
      </c>
      <c r="W56" s="189">
        <f t="shared" si="22"/>
        <v>0</v>
      </c>
      <c r="X56" s="189">
        <f t="shared" si="23"/>
        <v>0</v>
      </c>
      <c r="Y56" s="189">
        <f t="shared" si="24"/>
        <v>0</v>
      </c>
      <c r="Z56" s="189">
        <f t="shared" si="25"/>
        <v>0</v>
      </c>
      <c r="AA56" s="189">
        <f t="shared" si="26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4"/>
        <v>0</v>
      </c>
      <c r="H57" s="173">
        <f>B6+3</f>
        <v>44746</v>
      </c>
      <c r="I57" s="175"/>
      <c r="J57" s="81">
        <f t="shared" si="0"/>
        <v>0</v>
      </c>
      <c r="K57" s="80"/>
      <c r="L57" s="186">
        <f t="shared" si="30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20"/>
        <v>0</v>
      </c>
      <c r="V57" s="189">
        <f t="shared" si="21"/>
        <v>0</v>
      </c>
      <c r="W57" s="189">
        <f t="shared" si="22"/>
        <v>0</v>
      </c>
      <c r="X57" s="189">
        <f t="shared" si="23"/>
        <v>0</v>
      </c>
      <c r="Y57" s="189">
        <f t="shared" si="24"/>
        <v>0</v>
      </c>
      <c r="Z57" s="189">
        <f t="shared" si="25"/>
        <v>0</v>
      </c>
      <c r="AA57" s="189">
        <f t="shared" si="26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4"/>
        <v>0</v>
      </c>
      <c r="H58" s="173">
        <f>B$6+5</f>
        <v>44748</v>
      </c>
      <c r="I58" s="175"/>
      <c r="J58" s="81">
        <f t="shared" si="0"/>
        <v>0</v>
      </c>
      <c r="K58" s="80"/>
      <c r="L58" s="186">
        <f t="shared" si="30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20"/>
        <v>0</v>
      </c>
      <c r="V58" s="189">
        <f t="shared" si="21"/>
        <v>0</v>
      </c>
      <c r="W58" s="189">
        <f t="shared" si="22"/>
        <v>0</v>
      </c>
      <c r="X58" s="189">
        <f t="shared" si="23"/>
        <v>0</v>
      </c>
      <c r="Y58" s="189">
        <f t="shared" si="24"/>
        <v>0</v>
      </c>
      <c r="Z58" s="189">
        <f t="shared" si="25"/>
        <v>0</v>
      </c>
      <c r="AA58" s="189">
        <f t="shared" si="26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0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20"/>
        <v>0</v>
      </c>
      <c r="V59" s="189">
        <f t="shared" si="21"/>
        <v>0</v>
      </c>
      <c r="W59" s="189">
        <f t="shared" si="22"/>
        <v>0</v>
      </c>
      <c r="X59" s="189">
        <f t="shared" si="23"/>
        <v>0</v>
      </c>
      <c r="Y59" s="189">
        <f t="shared" si="24"/>
        <v>0</v>
      </c>
      <c r="Z59" s="189">
        <f t="shared" si="25"/>
        <v>0</v>
      </c>
      <c r="AA59" s="189">
        <f t="shared" si="26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5">B60-D60-F60</f>
        <v>0</v>
      </c>
      <c r="H60" s="173">
        <f>B6+30</f>
        <v>44773</v>
      </c>
      <c r="I60" s="175"/>
      <c r="J60" s="81">
        <f t="shared" si="0"/>
        <v>0</v>
      </c>
      <c r="K60" s="80"/>
      <c r="L60" s="186">
        <f t="shared" si="30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20"/>
        <v>0</v>
      </c>
      <c r="V60" s="189">
        <f t="shared" si="21"/>
        <v>0</v>
      </c>
      <c r="W60" s="189">
        <f t="shared" si="22"/>
        <v>0</v>
      </c>
      <c r="X60" s="189">
        <f t="shared" si="23"/>
        <v>0</v>
      </c>
      <c r="Y60" s="189">
        <f t="shared" si="24"/>
        <v>0</v>
      </c>
      <c r="Z60" s="189">
        <f t="shared" si="25"/>
        <v>0</v>
      </c>
      <c r="AA60" s="189">
        <f t="shared" si="26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38.46855</v>
      </c>
      <c r="E61" s="177"/>
      <c r="F61" s="57">
        <f>SUM(F46:F58)</f>
        <v>4.8297413793103452</v>
      </c>
      <c r="G61" s="57">
        <f>SUM(G46:G58)</f>
        <v>4526.0817086206898</v>
      </c>
      <c r="H61" s="173">
        <f t="shared" si="31"/>
        <v>44744</v>
      </c>
      <c r="I61" s="175"/>
      <c r="J61" s="81">
        <f t="shared" si="0"/>
        <v>0</v>
      </c>
      <c r="K61" s="80"/>
      <c r="L61" s="186">
        <f t="shared" si="30"/>
        <v>4526.0817086206898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20"/>
        <v>0</v>
      </c>
      <c r="V61" s="189">
        <f t="shared" si="21"/>
        <v>0</v>
      </c>
      <c r="W61" s="189">
        <f t="shared" si="22"/>
        <v>0</v>
      </c>
      <c r="X61" s="189">
        <f t="shared" si="23"/>
        <v>0</v>
      </c>
      <c r="Y61" s="189">
        <f t="shared" si="24"/>
        <v>0</v>
      </c>
      <c r="Z61" s="189">
        <f t="shared" si="25"/>
        <v>0</v>
      </c>
      <c r="AA61" s="189">
        <f t="shared" si="26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44744</v>
      </c>
      <c r="I62" s="176"/>
      <c r="J62" s="81">
        <f t="shared" si="0"/>
        <v>0</v>
      </c>
      <c r="K62" s="80"/>
      <c r="L62" s="186">
        <f t="shared" si="30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20"/>
        <v>0</v>
      </c>
      <c r="V62" s="189">
        <f t="shared" si="21"/>
        <v>0</v>
      </c>
      <c r="W62" s="189">
        <f t="shared" si="22"/>
        <v>0</v>
      </c>
      <c r="X62" s="189">
        <f t="shared" si="23"/>
        <v>0</v>
      </c>
      <c r="Y62" s="189">
        <f t="shared" si="24"/>
        <v>0</v>
      </c>
      <c r="Z62" s="189">
        <f t="shared" si="25"/>
        <v>0</v>
      </c>
      <c r="AA62" s="189">
        <f t="shared" si="26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3" t="s">
        <v>109</v>
      </c>
      <c r="O63" s="303"/>
      <c r="P63" s="303"/>
      <c r="Q63" s="30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W63" si="36">SUM(U43:U62)</f>
        <v>0</v>
      </c>
      <c r="V63" s="191">
        <f t="shared" si="36"/>
        <v>0</v>
      </c>
      <c r="W63" s="191">
        <f t="shared" si="36"/>
        <v>0</v>
      </c>
      <c r="X63" s="191">
        <f t="shared" ref="X63" si="37">SUM(X43:X62)</f>
        <v>0</v>
      </c>
      <c r="Y63" s="191">
        <f>SUM(Y43:Y62)</f>
        <v>0</v>
      </c>
      <c r="Z63" s="191">
        <f t="shared" ref="Z63:AA63" si="38">SUM(Z43:Z62)</f>
        <v>0</v>
      </c>
      <c r="AA63" s="191">
        <f t="shared" si="38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9052.1634172413796</v>
      </c>
      <c r="H64" s="184"/>
      <c r="I64" s="175"/>
      <c r="J64" s="81">
        <f t="shared" si="0"/>
        <v>0</v>
      </c>
      <c r="K64" s="80"/>
      <c r="L64" s="186">
        <f t="shared" si="30"/>
        <v>9052.1634172413796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" si="39">((T64/U$10)*U$9)</f>
        <v>0</v>
      </c>
      <c r="V64" s="189">
        <f t="shared" ref="V64" si="40">R64*V$10</f>
        <v>0</v>
      </c>
      <c r="W64" s="189">
        <f t="shared" ref="W64" si="41">+S64*V$10</f>
        <v>0</v>
      </c>
      <c r="X64" s="189">
        <f t="shared" ref="X64" si="42">+T64*X$10</f>
        <v>0</v>
      </c>
      <c r="Y64" s="189">
        <f t="shared" ref="Y64" si="43">R64-V64</f>
        <v>0</v>
      </c>
      <c r="Z64" s="189">
        <f t="shared" ref="Z64" si="44">S64-W64</f>
        <v>0</v>
      </c>
      <c r="AA64" s="189">
        <f t="shared" ref="AA64" si="45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12039.359999999999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ref="U65:U68" si="46">((T65/U$10)*U$9)</f>
        <v>0</v>
      </c>
      <c r="V65" s="189">
        <f t="shared" ref="V65:V68" si="47">R65*V$10</f>
        <v>0</v>
      </c>
      <c r="W65" s="189">
        <f t="shared" ref="W65:W68" si="48">+S65*V$10</f>
        <v>0</v>
      </c>
      <c r="X65" s="189">
        <f t="shared" ref="X65:X68" si="49">+T65*X$10</f>
        <v>0</v>
      </c>
      <c r="Y65" s="189">
        <f t="shared" ref="Y65:Y68" si="50">R65-V65</f>
        <v>0</v>
      </c>
      <c r="Z65" s="189">
        <f t="shared" ref="Z65:Z68" si="51">S65-W65</f>
        <v>0</v>
      </c>
      <c r="AA65" s="189">
        <f t="shared" ref="AA65:AA68" si="52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46"/>
        <v>0</v>
      </c>
      <c r="V66" s="189">
        <f t="shared" si="47"/>
        <v>0</v>
      </c>
      <c r="W66" s="189">
        <f t="shared" si="48"/>
        <v>0</v>
      </c>
      <c r="X66" s="189">
        <f t="shared" si="49"/>
        <v>0</v>
      </c>
      <c r="Y66" s="189">
        <f t="shared" si="50"/>
        <v>0</v>
      </c>
      <c r="Z66" s="189">
        <f t="shared" si="51"/>
        <v>0</v>
      </c>
      <c r="AA66" s="189">
        <f t="shared" si="52"/>
        <v>0</v>
      </c>
      <c r="AB66" s="87"/>
    </row>
    <row r="67" spans="1:30" ht="15.75" x14ac:dyDescent="0.25">
      <c r="A67" s="308" t="s">
        <v>20</v>
      </c>
      <c r="B67" s="309"/>
      <c r="F67" s="310" t="s">
        <v>136</v>
      </c>
      <c r="G67" s="310"/>
      <c r="H67" s="310"/>
      <c r="I67" s="311" t="s">
        <v>138</v>
      </c>
      <c r="J67" s="31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46"/>
        <v>0</v>
      </c>
      <c r="V67" s="189">
        <f t="shared" si="47"/>
        <v>0</v>
      </c>
      <c r="W67" s="189">
        <f t="shared" si="48"/>
        <v>0</v>
      </c>
      <c r="X67" s="189">
        <f t="shared" si="49"/>
        <v>0</v>
      </c>
      <c r="Y67" s="189">
        <f t="shared" si="50"/>
        <v>0</v>
      </c>
      <c r="Z67" s="189">
        <f t="shared" si="51"/>
        <v>0</v>
      </c>
      <c r="AA67" s="189">
        <f t="shared" si="52"/>
        <v>0</v>
      </c>
      <c r="AB67" s="87"/>
    </row>
    <row r="68" spans="1:30" ht="15.75" x14ac:dyDescent="0.25">
      <c r="A68" s="23" t="s">
        <v>19</v>
      </c>
      <c r="B68" s="77">
        <v>11858.94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46"/>
        <v>0</v>
      </c>
      <c r="V68" s="189">
        <f t="shared" si="47"/>
        <v>0</v>
      </c>
      <c r="W68" s="189">
        <f t="shared" si="48"/>
        <v>0</v>
      </c>
      <c r="X68" s="189">
        <f t="shared" si="49"/>
        <v>0</v>
      </c>
      <c r="Y68" s="189">
        <f t="shared" si="50"/>
        <v>0</v>
      </c>
      <c r="Z68" s="189">
        <f t="shared" si="51"/>
        <v>0</v>
      </c>
      <c r="AA68" s="189">
        <f t="shared" si="52"/>
        <v>0</v>
      </c>
      <c r="AB68" s="87"/>
    </row>
    <row r="69" spans="1:30" ht="16.5" thickBot="1" x14ac:dyDescent="0.3">
      <c r="A69" s="24" t="s">
        <v>5</v>
      </c>
      <c r="B69" s="62">
        <v>12018.23</v>
      </c>
      <c r="C69" s="59"/>
      <c r="F69" s="87" t="s">
        <v>129</v>
      </c>
      <c r="G69" s="22"/>
      <c r="H69" s="89"/>
      <c r="I69" s="136"/>
      <c r="J69" s="136">
        <f>K52</f>
        <v>104.42</v>
      </c>
      <c r="N69" s="303" t="s">
        <v>110</v>
      </c>
      <c r="O69" s="303"/>
      <c r="P69" s="304"/>
      <c r="Q69" s="30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53">SUM(V64:V68)</f>
        <v>0</v>
      </c>
      <c r="W69" s="192">
        <f t="shared" si="53"/>
        <v>0</v>
      </c>
      <c r="X69" s="192">
        <f t="shared" si="53"/>
        <v>0</v>
      </c>
      <c r="Y69" s="192">
        <f t="shared" si="53"/>
        <v>0</v>
      </c>
      <c r="Z69" s="192">
        <f t="shared" si="53"/>
        <v>0</v>
      </c>
      <c r="AA69" s="193">
        <f t="shared" si="5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-159.28999999999905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210</v>
      </c>
      <c r="P70" s="228">
        <v>880</v>
      </c>
      <c r="Q70" s="228">
        <v>2002</v>
      </c>
      <c r="R70" s="255">
        <v>1150.33</v>
      </c>
      <c r="S70" s="228"/>
      <c r="T70" s="228"/>
      <c r="U70" s="189">
        <f t="shared" ref="U70:U74" si="54">((T70/U$10)*U$9)</f>
        <v>0</v>
      </c>
      <c r="V70" s="189">
        <f t="shared" ref="V70:V74" si="55">R70*V$10</f>
        <v>8.6274749999999987</v>
      </c>
      <c r="W70" s="189">
        <f t="shared" ref="W70:W74" si="56">+S70*V$10</f>
        <v>0</v>
      </c>
      <c r="X70" s="189">
        <f t="shared" ref="X70:X74" si="57">+T70*X$10</f>
        <v>0</v>
      </c>
      <c r="Y70" s="189">
        <f t="shared" ref="Y70:Y74" si="58">R70-V70</f>
        <v>1141.7025249999999</v>
      </c>
      <c r="Z70" s="189">
        <f t="shared" ref="Z70:Z74" si="59">S70-W70</f>
        <v>0</v>
      </c>
      <c r="AA70" s="189">
        <f t="shared" ref="AA70:AA74" si="60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21.1299999999992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104.42</v>
      </c>
      <c r="N71" s="87">
        <v>2</v>
      </c>
      <c r="O71" s="122" t="s">
        <v>210</v>
      </c>
      <c r="P71" s="228">
        <v>881</v>
      </c>
      <c r="Q71" s="228">
        <v>2002</v>
      </c>
      <c r="R71" s="255">
        <v>580.39</v>
      </c>
      <c r="S71" s="228"/>
      <c r="T71" s="228"/>
      <c r="U71" s="189">
        <f t="shared" si="54"/>
        <v>0</v>
      </c>
      <c r="V71" s="189">
        <f t="shared" si="55"/>
        <v>4.3529249999999999</v>
      </c>
      <c r="W71" s="189">
        <f t="shared" si="56"/>
        <v>0</v>
      </c>
      <c r="X71" s="189">
        <f t="shared" si="57"/>
        <v>0</v>
      </c>
      <c r="Y71" s="189">
        <f t="shared" si="58"/>
        <v>576.03707499999996</v>
      </c>
      <c r="Z71" s="189">
        <f t="shared" si="59"/>
        <v>0</v>
      </c>
      <c r="AA71" s="189">
        <f t="shared" si="60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210</v>
      </c>
      <c r="P72" s="228"/>
      <c r="Q72" s="228"/>
      <c r="R72" s="222"/>
      <c r="S72" s="228"/>
      <c r="T72" s="228"/>
      <c r="U72" s="189">
        <f t="shared" si="54"/>
        <v>0</v>
      </c>
      <c r="V72" s="189">
        <f t="shared" si="55"/>
        <v>0</v>
      </c>
      <c r="W72" s="189">
        <f t="shared" si="56"/>
        <v>0</v>
      </c>
      <c r="X72" s="189">
        <f t="shared" si="57"/>
        <v>0</v>
      </c>
      <c r="Y72" s="189">
        <f t="shared" si="58"/>
        <v>0</v>
      </c>
      <c r="Z72" s="189">
        <f t="shared" si="59"/>
        <v>0</v>
      </c>
      <c r="AA72" s="189">
        <f t="shared" si="60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211</v>
      </c>
      <c r="P73" s="228">
        <v>795</v>
      </c>
      <c r="Q73" s="228">
        <v>2002</v>
      </c>
      <c r="R73" s="222">
        <v>433.03</v>
      </c>
      <c r="S73" s="228"/>
      <c r="T73" s="228"/>
      <c r="U73" s="189">
        <f t="shared" si="54"/>
        <v>0</v>
      </c>
      <c r="V73" s="189">
        <f t="shared" si="55"/>
        <v>3.2477249999999995</v>
      </c>
      <c r="W73" s="189">
        <f t="shared" si="56"/>
        <v>0</v>
      </c>
      <c r="X73" s="189">
        <f t="shared" si="57"/>
        <v>0</v>
      </c>
      <c r="Y73" s="189">
        <f t="shared" si="58"/>
        <v>429.78227499999997</v>
      </c>
      <c r="Z73" s="189">
        <f t="shared" si="59"/>
        <v>0</v>
      </c>
      <c r="AA73" s="189">
        <f t="shared" si="60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61">+H69+H70+H71+H72+H73</f>
        <v>0</v>
      </c>
      <c r="N74" s="87">
        <v>5</v>
      </c>
      <c r="O74" s="122" t="s">
        <v>211</v>
      </c>
      <c r="P74" s="228">
        <v>796</v>
      </c>
      <c r="Q74" s="228">
        <v>2002</v>
      </c>
      <c r="R74" s="222">
        <v>540.09</v>
      </c>
      <c r="S74" s="228"/>
      <c r="T74" s="228"/>
      <c r="U74" s="189">
        <f t="shared" si="54"/>
        <v>0</v>
      </c>
      <c r="V74" s="189">
        <f t="shared" si="55"/>
        <v>4.050675</v>
      </c>
      <c r="W74" s="189">
        <f t="shared" si="56"/>
        <v>0</v>
      </c>
      <c r="X74" s="189">
        <f t="shared" si="57"/>
        <v>0</v>
      </c>
      <c r="Y74" s="189">
        <f t="shared" si="58"/>
        <v>536.03932500000008</v>
      </c>
      <c r="Z74" s="189">
        <f t="shared" si="59"/>
        <v>0</v>
      </c>
      <c r="AA74" s="189">
        <f t="shared" si="60"/>
        <v>0</v>
      </c>
      <c r="AB74" s="87"/>
    </row>
    <row r="75" spans="1:30" ht="15.75" x14ac:dyDescent="0.25">
      <c r="N75" s="303" t="s">
        <v>128</v>
      </c>
      <c r="O75" s="303"/>
      <c r="P75" s="304"/>
      <c r="Q75" s="304"/>
      <c r="R75" s="192">
        <f>SUM(R70:R74)</f>
        <v>2703.84</v>
      </c>
      <c r="S75" s="192"/>
      <c r="T75" s="192">
        <f>SUM(T70:T74)</f>
        <v>0</v>
      </c>
      <c r="U75" s="192">
        <f>SUM(U70:U74)</f>
        <v>0</v>
      </c>
      <c r="V75" s="192">
        <f t="shared" ref="V75" si="62">SUM(V70:V74)</f>
        <v>20.278799999999997</v>
      </c>
      <c r="W75" s="192">
        <f t="shared" ref="W75" si="63">SUM(W70:W74)</f>
        <v>0</v>
      </c>
      <c r="X75" s="192">
        <f t="shared" ref="X75" si="64">SUM(X70:X74)</f>
        <v>0</v>
      </c>
      <c r="Y75" s="192">
        <f t="shared" ref="Y75" si="65">SUM(Y70:Y74)</f>
        <v>2683.5612000000001</v>
      </c>
      <c r="Z75" s="192">
        <f t="shared" ref="Z75" si="66">SUM(Z70:Z74)</f>
        <v>0</v>
      </c>
      <c r="AA75" s="193">
        <f t="shared" ref="AA75" si="67">SUM(AA70:AA74)</f>
        <v>0</v>
      </c>
      <c r="AB75" s="103"/>
    </row>
    <row r="76" spans="1:30" ht="15.75" x14ac:dyDescent="0.25">
      <c r="N76" s="316" t="s">
        <v>73</v>
      </c>
      <c r="O76" s="318" t="s">
        <v>67</v>
      </c>
      <c r="P76" s="303" t="s">
        <v>62</v>
      </c>
      <c r="Q76" s="303"/>
      <c r="R76" s="303"/>
      <c r="S76" s="303"/>
      <c r="T76" s="303"/>
      <c r="U76" s="320" t="s">
        <v>68</v>
      </c>
      <c r="V76" s="321"/>
      <c r="W76" s="321"/>
      <c r="X76" s="321"/>
      <c r="Y76" s="322"/>
      <c r="Z76" s="313" t="s">
        <v>54</v>
      </c>
      <c r="AA76" s="313" t="s">
        <v>64</v>
      </c>
      <c r="AB76" s="313" t="s">
        <v>124</v>
      </c>
      <c r="AC76" s="314" t="s">
        <v>127</v>
      </c>
      <c r="AD76" s="315" t="s">
        <v>65</v>
      </c>
    </row>
    <row r="77" spans="1:30" ht="60" x14ac:dyDescent="0.25">
      <c r="F77" s="298" t="s">
        <v>140</v>
      </c>
      <c r="G77" s="299"/>
      <c r="H77" s="141" t="s">
        <v>142</v>
      </c>
      <c r="N77" s="317"/>
      <c r="O77" s="31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3"/>
      <c r="AA77" s="313"/>
      <c r="AB77" s="313"/>
      <c r="AC77" s="314" t="s">
        <v>127</v>
      </c>
      <c r="AD77" s="31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9.6999999999999993</v>
      </c>
      <c r="Q78" s="137">
        <v>12.4</v>
      </c>
      <c r="R78" s="82">
        <v>7.4999999999999997E-3</v>
      </c>
      <c r="S78" s="216">
        <f>+(P78+Q78)*R78</f>
        <v>0.16575000000000001</v>
      </c>
      <c r="T78" s="242">
        <f>+(P78+Q78)-S78</f>
        <v>21.934250000000002</v>
      </c>
      <c r="U78" s="112">
        <v>135.96</v>
      </c>
      <c r="V78" s="112"/>
      <c r="W78" s="113">
        <v>1.4999999999999999E-2</v>
      </c>
      <c r="X78" s="196">
        <f>+(U78+V78)*W78</f>
        <v>2.0394000000000001</v>
      </c>
      <c r="Y78" s="213">
        <f>+(U78+V78)-X78</f>
        <v>133.92060000000001</v>
      </c>
      <c r="Z78" s="87"/>
      <c r="AA78" s="189">
        <f t="shared" ref="AA78:AA97" si="68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v>20.78</v>
      </c>
      <c r="R79" s="82">
        <v>7.4999999999999997E-3</v>
      </c>
      <c r="S79" s="194">
        <f t="shared" ref="S79:S97" si="69">+(P79+Q79)*R79</f>
        <v>0.15585000000000002</v>
      </c>
      <c r="T79" s="242">
        <f t="shared" ref="T79:T97" si="70">+(P79+Q79)-S79</f>
        <v>20.62415</v>
      </c>
      <c r="U79" s="211"/>
      <c r="V79" s="112"/>
      <c r="W79" s="113">
        <v>1.4999999999999999E-2</v>
      </c>
      <c r="X79" s="196">
        <f t="shared" ref="X79:X97" si="71">+(U79+V79)*W79</f>
        <v>0</v>
      </c>
      <c r="Y79" s="217">
        <f t="shared" ref="Y79:Y97" si="72">+(U79+V79)-X79</f>
        <v>0</v>
      </c>
      <c r="Z79" s="87"/>
      <c r="AA79" s="189">
        <f t="shared" si="68"/>
        <v>0</v>
      </c>
      <c r="AB79" s="189">
        <f t="shared" ref="AB79:AB97" si="73">+Z79*X$10</f>
        <v>0</v>
      </c>
      <c r="AC79" s="189">
        <f t="shared" ref="AC79:AC97" si="74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94.54</v>
      </c>
      <c r="Q80" s="137">
        <v>31.05</v>
      </c>
      <c r="R80" s="82">
        <v>7.4999999999999997E-3</v>
      </c>
      <c r="S80" s="216">
        <f t="shared" si="69"/>
        <v>0.94192500000000001</v>
      </c>
      <c r="T80" s="219">
        <f t="shared" si="70"/>
        <v>124.64807500000001</v>
      </c>
      <c r="U80" s="211">
        <v>54.95</v>
      </c>
      <c r="V80" s="112"/>
      <c r="W80" s="113">
        <v>1.4999999999999999E-2</v>
      </c>
      <c r="X80" s="196">
        <f t="shared" si="71"/>
        <v>0.82425000000000004</v>
      </c>
      <c r="Y80" s="217">
        <f t="shared" si="72"/>
        <v>54.125750000000004</v>
      </c>
      <c r="Z80" s="87"/>
      <c r="AA80" s="189">
        <f t="shared" si="68"/>
        <v>0</v>
      </c>
      <c r="AB80" s="189">
        <f t="shared" si="73"/>
        <v>0</v>
      </c>
      <c r="AC80" s="189">
        <f t="shared" si="74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7.46</v>
      </c>
      <c r="Q81" s="137">
        <v>30</v>
      </c>
      <c r="R81" s="82">
        <v>7.4999999999999997E-3</v>
      </c>
      <c r="S81" s="216">
        <f t="shared" si="69"/>
        <v>0.28094999999999998</v>
      </c>
      <c r="T81" s="219">
        <f>+(P81+Q81)-S81</f>
        <v>37.179050000000004</v>
      </c>
      <c r="U81" s="211">
        <v>26.619999999999997</v>
      </c>
      <c r="V81" s="112"/>
      <c r="W81" s="113">
        <v>1.4999999999999999E-2</v>
      </c>
      <c r="X81" s="196">
        <f t="shared" si="71"/>
        <v>0.39929999999999993</v>
      </c>
      <c r="Y81" s="217">
        <f t="shared" si="72"/>
        <v>26.220699999999997</v>
      </c>
      <c r="Z81" s="87"/>
      <c r="AA81" s="189">
        <f t="shared" si="68"/>
        <v>0</v>
      </c>
      <c r="AB81" s="189">
        <f t="shared" si="73"/>
        <v>0</v>
      </c>
      <c r="AC81" s="189">
        <f t="shared" si="74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>
        <v>56.17</v>
      </c>
      <c r="Q82" s="87"/>
      <c r="R82" s="82">
        <v>7.4999999999999997E-3</v>
      </c>
      <c r="S82" s="194">
        <f t="shared" si="69"/>
        <v>0.42127500000000001</v>
      </c>
      <c r="T82" s="242">
        <f t="shared" si="70"/>
        <v>55.748725</v>
      </c>
      <c r="U82" s="112">
        <v>63.98</v>
      </c>
      <c r="V82" s="112"/>
      <c r="W82" s="113">
        <v>1.4999999999999999E-2</v>
      </c>
      <c r="X82" s="196">
        <f t="shared" si="71"/>
        <v>0.95969999999999989</v>
      </c>
      <c r="Y82" s="242">
        <f t="shared" si="72"/>
        <v>63.020299999999999</v>
      </c>
      <c r="Z82" s="87"/>
      <c r="AA82" s="189">
        <f t="shared" si="68"/>
        <v>0</v>
      </c>
      <c r="AB82" s="189">
        <f t="shared" si="73"/>
        <v>0</v>
      </c>
      <c r="AC82" s="189">
        <f t="shared" si="74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>
        <v>19.98</v>
      </c>
      <c r="Q83" s="87">
        <v>2.31</v>
      </c>
      <c r="R83" s="82">
        <v>7.4999999999999997E-3</v>
      </c>
      <c r="S83" s="194">
        <f t="shared" si="69"/>
        <v>0.16717499999999999</v>
      </c>
      <c r="T83" s="242">
        <f t="shared" si="70"/>
        <v>22.122824999999999</v>
      </c>
      <c r="U83" s="112">
        <v>16.8</v>
      </c>
      <c r="V83" s="112"/>
      <c r="W83" s="113">
        <v>1.4999999999999999E-2</v>
      </c>
      <c r="X83" s="196">
        <f t="shared" si="71"/>
        <v>0.252</v>
      </c>
      <c r="Y83" s="242">
        <f t="shared" si="72"/>
        <v>16.548000000000002</v>
      </c>
      <c r="Z83" s="87"/>
      <c r="AA83" s="189">
        <f t="shared" si="68"/>
        <v>0</v>
      </c>
      <c r="AB83" s="189">
        <f t="shared" si="73"/>
        <v>0</v>
      </c>
      <c r="AC83" s="189">
        <f t="shared" si="74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69"/>
        <v>0</v>
      </c>
      <c r="T84" s="220">
        <f t="shared" si="70"/>
        <v>0</v>
      </c>
      <c r="U84" s="112"/>
      <c r="V84" s="112"/>
      <c r="W84" s="113">
        <v>1.4999999999999999E-2</v>
      </c>
      <c r="X84" s="196">
        <f t="shared" si="71"/>
        <v>0</v>
      </c>
      <c r="Y84" s="196">
        <f t="shared" si="72"/>
        <v>0</v>
      </c>
      <c r="Z84" s="87"/>
      <c r="AA84" s="189">
        <f t="shared" si="68"/>
        <v>0</v>
      </c>
      <c r="AB84" s="189">
        <f t="shared" si="73"/>
        <v>0</v>
      </c>
      <c r="AC84" s="189">
        <f t="shared" si="74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69"/>
        <v>0</v>
      </c>
      <c r="T85" s="220">
        <f t="shared" si="70"/>
        <v>0</v>
      </c>
      <c r="U85" s="112"/>
      <c r="V85" s="112"/>
      <c r="W85" s="113">
        <v>1.4999999999999999E-2</v>
      </c>
      <c r="X85" s="196">
        <f t="shared" si="71"/>
        <v>0</v>
      </c>
      <c r="Y85" s="196">
        <f t="shared" si="72"/>
        <v>0</v>
      </c>
      <c r="Z85" s="87"/>
      <c r="AA85" s="189">
        <f t="shared" si="68"/>
        <v>0</v>
      </c>
      <c r="AB85" s="189">
        <f t="shared" si="73"/>
        <v>0</v>
      </c>
      <c r="AC85" s="189">
        <f t="shared" si="74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69"/>
        <v>0</v>
      </c>
      <c r="T86" s="220">
        <f t="shared" si="70"/>
        <v>0</v>
      </c>
      <c r="U86" s="112"/>
      <c r="V86" s="112"/>
      <c r="W86" s="113">
        <v>1.4999999999999999E-2</v>
      </c>
      <c r="X86" s="196">
        <f t="shared" si="71"/>
        <v>0</v>
      </c>
      <c r="Y86" s="196">
        <f t="shared" si="72"/>
        <v>0</v>
      </c>
      <c r="Z86" s="87"/>
      <c r="AA86" s="189">
        <f t="shared" si="68"/>
        <v>0</v>
      </c>
      <c r="AB86" s="189">
        <f t="shared" si="73"/>
        <v>0</v>
      </c>
      <c r="AC86" s="189">
        <f t="shared" si="74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69"/>
        <v>0</v>
      </c>
      <c r="T87" s="194">
        <f t="shared" si="70"/>
        <v>0</v>
      </c>
      <c r="U87" s="112"/>
      <c r="V87" s="112"/>
      <c r="W87" s="113">
        <v>1.4999999999999999E-2</v>
      </c>
      <c r="X87" s="196">
        <f t="shared" si="71"/>
        <v>0</v>
      </c>
      <c r="Y87" s="196">
        <f t="shared" si="72"/>
        <v>0</v>
      </c>
      <c r="Z87" s="87"/>
      <c r="AA87" s="189">
        <f t="shared" si="68"/>
        <v>0</v>
      </c>
      <c r="AB87" s="189">
        <f t="shared" si="73"/>
        <v>0</v>
      </c>
      <c r="AC87" s="189">
        <f t="shared" si="74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69"/>
        <v>0</v>
      </c>
      <c r="T88" s="194">
        <f t="shared" si="70"/>
        <v>0</v>
      </c>
      <c r="U88" s="112"/>
      <c r="V88" s="112"/>
      <c r="W88" s="113">
        <v>1.4999999999999999E-2</v>
      </c>
      <c r="X88" s="196">
        <f t="shared" si="71"/>
        <v>0</v>
      </c>
      <c r="Y88" s="196">
        <f t="shared" si="72"/>
        <v>0</v>
      </c>
      <c r="Z88" s="87"/>
      <c r="AA88" s="189">
        <f t="shared" si="68"/>
        <v>0</v>
      </c>
      <c r="AB88" s="189">
        <f t="shared" si="73"/>
        <v>0</v>
      </c>
      <c r="AC88" s="189">
        <f t="shared" si="74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69"/>
        <v>0</v>
      </c>
      <c r="T89" s="194">
        <f t="shared" si="70"/>
        <v>0</v>
      </c>
      <c r="U89" s="112"/>
      <c r="V89" s="112"/>
      <c r="W89" s="113">
        <v>1.4999999999999999E-2</v>
      </c>
      <c r="X89" s="196">
        <f t="shared" si="71"/>
        <v>0</v>
      </c>
      <c r="Y89" s="196">
        <f t="shared" si="72"/>
        <v>0</v>
      </c>
      <c r="Z89" s="87"/>
      <c r="AA89" s="189">
        <f t="shared" si="68"/>
        <v>0</v>
      </c>
      <c r="AB89" s="189">
        <f t="shared" si="73"/>
        <v>0</v>
      </c>
      <c r="AC89" s="189">
        <f t="shared" si="74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69"/>
        <v>0</v>
      </c>
      <c r="T90" s="194">
        <f t="shared" si="70"/>
        <v>0</v>
      </c>
      <c r="U90" s="112"/>
      <c r="V90" s="112"/>
      <c r="W90" s="113">
        <v>1.4999999999999999E-2</v>
      </c>
      <c r="X90" s="196">
        <f t="shared" si="71"/>
        <v>0</v>
      </c>
      <c r="Y90" s="196">
        <f t="shared" si="72"/>
        <v>0</v>
      </c>
      <c r="Z90" s="87"/>
      <c r="AA90" s="189">
        <f t="shared" si="68"/>
        <v>0</v>
      </c>
      <c r="AB90" s="189">
        <f t="shared" si="73"/>
        <v>0</v>
      </c>
      <c r="AC90" s="189">
        <f t="shared" si="74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69"/>
        <v>0</v>
      </c>
      <c r="T91" s="194">
        <f t="shared" si="70"/>
        <v>0</v>
      </c>
      <c r="U91" s="112"/>
      <c r="V91" s="112"/>
      <c r="W91" s="113">
        <v>1.4999999999999999E-2</v>
      </c>
      <c r="X91" s="196">
        <f t="shared" si="71"/>
        <v>0</v>
      </c>
      <c r="Y91" s="196">
        <f t="shared" si="72"/>
        <v>0</v>
      </c>
      <c r="Z91" s="87"/>
      <c r="AA91" s="189">
        <f t="shared" si="68"/>
        <v>0</v>
      </c>
      <c r="AB91" s="189">
        <f t="shared" si="73"/>
        <v>0</v>
      </c>
      <c r="AC91" s="189">
        <f t="shared" si="74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69"/>
        <v>0</v>
      </c>
      <c r="T92" s="194">
        <f t="shared" si="70"/>
        <v>0</v>
      </c>
      <c r="U92" s="112"/>
      <c r="V92" s="112"/>
      <c r="W92" s="113">
        <v>1.4999999999999999E-2</v>
      </c>
      <c r="X92" s="196">
        <f t="shared" si="71"/>
        <v>0</v>
      </c>
      <c r="Y92" s="196">
        <f t="shared" si="72"/>
        <v>0</v>
      </c>
      <c r="Z92" s="87"/>
      <c r="AA92" s="189">
        <f t="shared" si="68"/>
        <v>0</v>
      </c>
      <c r="AB92" s="189">
        <f t="shared" si="73"/>
        <v>0</v>
      </c>
      <c r="AC92" s="189">
        <f t="shared" si="74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69"/>
        <v>0</v>
      </c>
      <c r="T93" s="194">
        <f t="shared" si="70"/>
        <v>0</v>
      </c>
      <c r="U93" s="112"/>
      <c r="V93" s="112"/>
      <c r="W93" s="113">
        <v>1.4999999999999999E-2</v>
      </c>
      <c r="X93" s="196">
        <f t="shared" si="71"/>
        <v>0</v>
      </c>
      <c r="Y93" s="196">
        <f t="shared" si="72"/>
        <v>0</v>
      </c>
      <c r="Z93" s="87"/>
      <c r="AA93" s="189">
        <f t="shared" si="68"/>
        <v>0</v>
      </c>
      <c r="AB93" s="189">
        <f t="shared" si="73"/>
        <v>0</v>
      </c>
      <c r="AC93" s="189">
        <f t="shared" si="74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69"/>
        <v>0</v>
      </c>
      <c r="T94" s="194">
        <f t="shared" si="70"/>
        <v>0</v>
      </c>
      <c r="U94" s="112"/>
      <c r="V94" s="112"/>
      <c r="W94" s="113">
        <v>1.4999999999999999E-2</v>
      </c>
      <c r="X94" s="196">
        <f t="shared" si="71"/>
        <v>0</v>
      </c>
      <c r="Y94" s="196">
        <f t="shared" si="72"/>
        <v>0</v>
      </c>
      <c r="Z94" s="87"/>
      <c r="AA94" s="189">
        <f t="shared" si="68"/>
        <v>0</v>
      </c>
      <c r="AB94" s="189">
        <f t="shared" si="73"/>
        <v>0</v>
      </c>
      <c r="AC94" s="189">
        <f t="shared" si="74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69"/>
        <v>0</v>
      </c>
      <c r="T95" s="194">
        <f t="shared" si="70"/>
        <v>0</v>
      </c>
      <c r="U95" s="112"/>
      <c r="V95" s="112"/>
      <c r="W95" s="113">
        <v>1.4999999999999999E-2</v>
      </c>
      <c r="X95" s="196">
        <f t="shared" si="71"/>
        <v>0</v>
      </c>
      <c r="Y95" s="196">
        <f t="shared" si="72"/>
        <v>0</v>
      </c>
      <c r="Z95" s="87"/>
      <c r="AA95" s="189">
        <f t="shared" si="68"/>
        <v>0</v>
      </c>
      <c r="AB95" s="189">
        <f t="shared" si="73"/>
        <v>0</v>
      </c>
      <c r="AC95" s="189">
        <f t="shared" si="74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69"/>
        <v>0</v>
      </c>
      <c r="T96" s="194">
        <f t="shared" si="70"/>
        <v>0</v>
      </c>
      <c r="U96" s="112"/>
      <c r="V96" s="112"/>
      <c r="W96" s="113">
        <v>1.4999999999999999E-2</v>
      </c>
      <c r="X96" s="196">
        <f t="shared" si="71"/>
        <v>0</v>
      </c>
      <c r="Y96" s="196">
        <f t="shared" si="72"/>
        <v>0</v>
      </c>
      <c r="Z96" s="87"/>
      <c r="AA96" s="189">
        <f t="shared" si="68"/>
        <v>0</v>
      </c>
      <c r="AB96" s="189">
        <f t="shared" si="73"/>
        <v>0</v>
      </c>
      <c r="AC96" s="189">
        <f t="shared" si="74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69"/>
        <v>0</v>
      </c>
      <c r="T97" s="194">
        <f t="shared" si="70"/>
        <v>0</v>
      </c>
      <c r="U97" s="112"/>
      <c r="V97" s="112"/>
      <c r="W97" s="113">
        <v>1.4999999999999999E-2</v>
      </c>
      <c r="X97" s="196">
        <f t="shared" si="71"/>
        <v>0</v>
      </c>
      <c r="Y97" s="196">
        <f t="shared" si="72"/>
        <v>0</v>
      </c>
      <c r="Z97" s="87"/>
      <c r="AA97" s="189">
        <f t="shared" si="68"/>
        <v>0</v>
      </c>
      <c r="AB97" s="189">
        <f t="shared" si="73"/>
        <v>0</v>
      </c>
      <c r="AC97" s="189">
        <f t="shared" si="74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187.85</v>
      </c>
      <c r="Q98" s="195">
        <f>SUM(Q78:Q97)</f>
        <v>96.54</v>
      </c>
      <c r="R98" s="111"/>
      <c r="S98" s="195">
        <f>SUM(S78:S97)</f>
        <v>2.1329250000000002</v>
      </c>
      <c r="T98" s="195">
        <f>SUM(T78:T97)</f>
        <v>282.25707499999999</v>
      </c>
      <c r="U98" s="114">
        <f>SUM(U78:U97)</f>
        <v>298.31000000000006</v>
      </c>
      <c r="V98" s="114">
        <f>SUM(V78:V97)</f>
        <v>0</v>
      </c>
      <c r="W98" s="112"/>
      <c r="X98" s="197">
        <f>SUM(X78:X97)</f>
        <v>4.4746499999999996</v>
      </c>
      <c r="Y98" s="197">
        <f>SUM(Y78:Y97)</f>
        <v>293.83535000000001</v>
      </c>
      <c r="Z98" s="63">
        <f>SUM(Z78:Z97)</f>
        <v>0</v>
      </c>
      <c r="AA98" s="198">
        <f t="shared" ref="AA98:AB98" si="75">SUM(AA78:AA97)</f>
        <v>0</v>
      </c>
      <c r="AB98" s="198">
        <f t="shared" si="75"/>
        <v>0</v>
      </c>
      <c r="AC98" s="198">
        <f>SUM(AC78:AC97)</f>
        <v>0</v>
      </c>
      <c r="AD98" s="87"/>
    </row>
    <row r="99" spans="14:30" x14ac:dyDescent="0.25">
      <c r="N99" s="85"/>
      <c r="P99" s="84"/>
      <c r="Q99" s="84"/>
    </row>
    <row r="100" spans="14:30" x14ac:dyDescent="0.25">
      <c r="N100" s="85"/>
      <c r="P100" s="215">
        <f>P78+Q78+U78</f>
        <v>158.06</v>
      </c>
      <c r="Q100" s="84"/>
    </row>
    <row r="101" spans="14:30" x14ac:dyDescent="0.25">
      <c r="N101" s="85"/>
      <c r="P101" s="215">
        <f>P79+Q79+U79</f>
        <v>20.78</v>
      </c>
      <c r="Q101" s="84"/>
    </row>
    <row r="102" spans="14:30" x14ac:dyDescent="0.25">
      <c r="N102" s="85"/>
      <c r="P102" s="215">
        <f>P80+Q80+U80</f>
        <v>180.54000000000002</v>
      </c>
      <c r="Q102" s="84"/>
    </row>
    <row r="103" spans="14:30" x14ac:dyDescent="0.25">
      <c r="N103" s="85"/>
      <c r="P103" s="215">
        <f>P81+Q81+U81</f>
        <v>64.08</v>
      </c>
      <c r="Q103" s="84"/>
    </row>
    <row r="104" spans="14:30" x14ac:dyDescent="0.25">
      <c r="N104" s="85"/>
      <c r="P104" s="84">
        <f>P82+Q82+U82</f>
        <v>120.15</v>
      </c>
      <c r="Q104" s="84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PLAZA</vt:lpstr>
      <vt:lpstr>TESORO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2020-07-27T15:11:55Z</cp:lastPrinted>
  <dcterms:created xsi:type="dcterms:W3CDTF">2013-07-24T18:56:16Z</dcterms:created>
  <dcterms:modified xsi:type="dcterms:W3CDTF">2022-08-02T19:03:14Z</dcterms:modified>
</cp:coreProperties>
</file>