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S DE JUlIO  2022\"/>
    </mc:Choice>
  </mc:AlternateContent>
  <bookViews>
    <workbookView xWindow="9585" yWindow="-15" windowWidth="9630" windowHeight="11400" tabRatio="599" firstSheet="30" activeTab="38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B71" i="139" l="1"/>
  <c r="B70" i="139"/>
  <c r="B71" i="138"/>
  <c r="Q82" i="139"/>
  <c r="U82" i="139"/>
  <c r="Q81" i="139" l="1"/>
  <c r="Q80" i="139"/>
  <c r="U80" i="139"/>
  <c r="Q79" i="139"/>
  <c r="U79" i="139"/>
  <c r="Q78" i="139"/>
  <c r="U78" i="139"/>
  <c r="V27" i="139"/>
  <c r="Y27" i="139" s="1"/>
  <c r="Y28" i="139"/>
  <c r="V28" i="139"/>
  <c r="B70" i="138" l="1"/>
  <c r="U81" i="138"/>
  <c r="Q82" i="138"/>
  <c r="T44" i="138"/>
  <c r="Q81" i="138"/>
  <c r="R74" i="138"/>
  <c r="Q80" i="138"/>
  <c r="U80" i="138"/>
  <c r="U79" i="138"/>
  <c r="Q79" i="138"/>
  <c r="Q78" i="138"/>
  <c r="U79" i="137" l="1"/>
  <c r="U78" i="137"/>
  <c r="Q78" i="137"/>
  <c r="B70" i="137"/>
  <c r="Q82" i="137"/>
  <c r="U81" i="137"/>
  <c r="Q81" i="137"/>
  <c r="U80" i="137"/>
  <c r="Q80" i="137"/>
  <c r="Q79" i="137"/>
  <c r="B70" i="136" l="1"/>
  <c r="B71" i="136"/>
  <c r="B71" i="135"/>
  <c r="B70" i="135"/>
  <c r="R64" i="136"/>
  <c r="R68" i="136"/>
  <c r="Q82" i="136"/>
  <c r="Q81" i="136"/>
  <c r="R65" i="136"/>
  <c r="U80" i="136"/>
  <c r="Q80" i="136"/>
  <c r="U79" i="136"/>
  <c r="Q79" i="136"/>
  <c r="U78" i="136"/>
  <c r="Q78" i="136"/>
  <c r="K37" i="135" l="1"/>
  <c r="P109" i="135"/>
  <c r="P110" i="135"/>
  <c r="B62" i="135" l="1"/>
  <c r="I49" i="135"/>
  <c r="I53" i="135"/>
  <c r="P109" i="139" l="1"/>
  <c r="P107" i="139"/>
  <c r="R74" i="134" l="1"/>
  <c r="Q108" i="134" l="1"/>
  <c r="Q107" i="134"/>
  <c r="Q105" i="134"/>
  <c r="Q104" i="134"/>
  <c r="K37" i="133" l="1"/>
  <c r="P107" i="133"/>
  <c r="R74" i="133" l="1"/>
  <c r="R73" i="133"/>
  <c r="P103" i="133"/>
  <c r="K37" i="132" l="1"/>
  <c r="K29" i="132"/>
  <c r="Q110" i="132" l="1"/>
  <c r="Q109" i="132"/>
  <c r="R74" i="132"/>
  <c r="L36" i="131"/>
  <c r="L35" i="131"/>
  <c r="L30" i="131"/>
  <c r="L29" i="131"/>
  <c r="R65" i="131"/>
  <c r="B62" i="131" l="1"/>
  <c r="R64" i="131"/>
  <c r="R74" i="131"/>
  <c r="R70" i="131"/>
  <c r="B70" i="130"/>
  <c r="R74" i="130" l="1"/>
  <c r="I56" i="130"/>
  <c r="R71" i="130"/>
  <c r="R70" i="130"/>
  <c r="Q111" i="129"/>
  <c r="I56" i="129" l="1"/>
  <c r="J49" i="129"/>
  <c r="I49" i="129"/>
  <c r="R74" i="129"/>
  <c r="K37" i="128" l="1"/>
  <c r="I49" i="128" l="1"/>
  <c r="R67" i="128"/>
  <c r="R70" i="128"/>
  <c r="R74" i="128"/>
  <c r="K37" i="127" l="1"/>
  <c r="R74" i="127"/>
  <c r="B63" i="127"/>
  <c r="I49" i="127" l="1"/>
  <c r="R73" i="127"/>
  <c r="K35" i="126" l="1"/>
  <c r="K29" i="126"/>
  <c r="I50" i="126"/>
  <c r="R74" i="126"/>
  <c r="P108" i="126"/>
  <c r="P104" i="126"/>
  <c r="P103" i="126"/>
  <c r="R108" i="125" l="1"/>
  <c r="R74" i="125"/>
  <c r="R66" i="125"/>
  <c r="R64" i="125"/>
  <c r="Q103" i="124" l="1"/>
  <c r="Q104" i="124"/>
  <c r="R68" i="124"/>
  <c r="R74" i="124"/>
  <c r="Q112" i="124"/>
  <c r="Q111" i="124"/>
  <c r="Q110" i="124"/>
  <c r="R68" i="123"/>
  <c r="I49" i="123"/>
  <c r="B24" i="123"/>
  <c r="R74" i="123"/>
  <c r="R110" i="123"/>
  <c r="R72" i="123" l="1"/>
  <c r="R73" i="123"/>
  <c r="L32" i="122"/>
  <c r="L31" i="122"/>
  <c r="K31" i="122"/>
  <c r="I31" i="122"/>
  <c r="Q110" i="122"/>
  <c r="R74" i="122" l="1"/>
  <c r="P109" i="121" l="1"/>
  <c r="R74" i="121"/>
  <c r="P107" i="121" l="1"/>
  <c r="R64" i="121"/>
  <c r="L40" i="120" l="1"/>
  <c r="L39" i="120"/>
  <c r="B71" i="120"/>
  <c r="R74" i="120" l="1"/>
  <c r="B29" i="119" l="1"/>
  <c r="R74" i="119"/>
  <c r="L37" i="118" l="1"/>
  <c r="R70" i="118"/>
  <c r="R74" i="118"/>
  <c r="R67" i="118"/>
  <c r="R68" i="118"/>
  <c r="Q113" i="117" l="1"/>
  <c r="Q112" i="117"/>
  <c r="Q111" i="117"/>
  <c r="Q110" i="117"/>
  <c r="Q109" i="117"/>
  <c r="Q108" i="117"/>
  <c r="Q107" i="117"/>
  <c r="Q106" i="117"/>
  <c r="Q105" i="117"/>
  <c r="Q104" i="117"/>
  <c r="B70" i="117"/>
  <c r="R74" i="117" l="1"/>
  <c r="L40" i="116"/>
  <c r="L39" i="116"/>
  <c r="P111" i="116" l="1"/>
  <c r="R65" i="116" l="1"/>
  <c r="P110" i="116"/>
  <c r="P109" i="116"/>
  <c r="P101" i="116"/>
  <c r="R74" i="116"/>
  <c r="R74" i="115" l="1"/>
  <c r="K29" i="114" l="1"/>
  <c r="R68" i="114"/>
  <c r="R67" i="114" l="1"/>
  <c r="R74" i="114"/>
  <c r="I46" i="113"/>
  <c r="Q103" i="113"/>
  <c r="R67" i="113"/>
  <c r="B62" i="113"/>
  <c r="R74" i="113" l="1"/>
  <c r="R70" i="113"/>
  <c r="R64" i="113"/>
  <c r="K29" i="111" l="1"/>
  <c r="K37" i="111"/>
  <c r="R74" i="111"/>
  <c r="K29" i="110"/>
  <c r="K37" i="110"/>
  <c r="B62" i="110" l="1"/>
  <c r="Q109" i="110"/>
  <c r="Q107" i="110"/>
  <c r="Q108" i="110"/>
  <c r="Q104" i="110"/>
  <c r="Q103" i="110"/>
  <c r="R65" i="110"/>
  <c r="R74" i="110"/>
  <c r="R71" i="110"/>
  <c r="B22" i="113"/>
  <c r="I51" i="112" l="1"/>
  <c r="K29" i="40"/>
  <c r="P104" i="40"/>
  <c r="R68" i="40" l="1"/>
  <c r="I29" i="40"/>
  <c r="R65" i="40"/>
  <c r="R64" i="40"/>
  <c r="R74" i="40"/>
  <c r="L39" i="137" l="1"/>
  <c r="Q107" i="137"/>
  <c r="B38" i="137"/>
  <c r="P102" i="136" l="1"/>
  <c r="P101" i="136"/>
  <c r="P103" i="135" l="1"/>
  <c r="B14" i="135" l="1"/>
  <c r="L29" i="133" l="1"/>
  <c r="P101" i="133" l="1"/>
  <c r="P100" i="133" l="1"/>
  <c r="B70" i="132"/>
  <c r="Q108" i="132" l="1"/>
  <c r="B70" i="131"/>
  <c r="P108" i="131" l="1"/>
  <c r="P104" i="130" l="1"/>
  <c r="P103" i="130"/>
  <c r="Q102" i="129"/>
  <c r="Q109" i="129" l="1"/>
  <c r="B70" i="128" l="1"/>
  <c r="R107" i="128" l="1"/>
  <c r="B70" i="127" l="1"/>
  <c r="B14" i="127" l="1"/>
  <c r="B40" i="125" l="1"/>
  <c r="R107" i="125" l="1"/>
  <c r="L39" i="124"/>
  <c r="Q109" i="124"/>
  <c r="Q108" i="124"/>
  <c r="B70" i="124"/>
  <c r="L39" i="123" l="1"/>
  <c r="B70" i="123"/>
  <c r="R107" i="123" l="1"/>
  <c r="Q109" i="122" l="1"/>
  <c r="B70" i="121" l="1"/>
  <c r="R69" i="119" l="1"/>
  <c r="B70" i="119"/>
  <c r="Q109" i="119"/>
  <c r="Q107" i="119"/>
  <c r="B70" i="118" l="1"/>
  <c r="B70" i="40" l="1"/>
  <c r="B70" i="110"/>
  <c r="B70" i="111"/>
  <c r="B70" i="112"/>
  <c r="B70" i="113"/>
  <c r="B70" i="114"/>
  <c r="B70" i="115"/>
  <c r="B70" i="116"/>
  <c r="P104" i="116" l="1"/>
  <c r="Q106" i="115" l="1"/>
  <c r="Q107" i="114" l="1"/>
  <c r="Q109" i="113" l="1"/>
  <c r="Q104" i="113"/>
  <c r="P105" i="112" l="1"/>
  <c r="P106" i="112"/>
  <c r="P104" i="112"/>
  <c r="P102" i="112"/>
  <c r="Q106" i="110" l="1"/>
  <c r="Q105" i="110"/>
  <c r="L39" i="110"/>
  <c r="Q101" i="110" l="1"/>
  <c r="L31" i="40" l="1"/>
  <c r="P107" i="40" l="1"/>
  <c r="P107" i="138" l="1"/>
  <c r="P101" i="138"/>
  <c r="P109" i="138" l="1"/>
  <c r="L37" i="137"/>
  <c r="L39" i="135" l="1"/>
  <c r="P105" i="135" l="1"/>
  <c r="P104" i="135"/>
  <c r="B19" i="135"/>
  <c r="P108" i="135" l="1"/>
  <c r="J13" i="135"/>
  <c r="J12" i="135"/>
  <c r="J14" i="135"/>
  <c r="L39" i="134"/>
  <c r="L31" i="134"/>
  <c r="T90" i="134" l="1"/>
  <c r="T91" i="134"/>
  <c r="T92" i="134"/>
  <c r="T93" i="134"/>
  <c r="L39" i="133"/>
  <c r="Q100" i="132" l="1"/>
  <c r="B18" i="132"/>
  <c r="Q107" i="132" l="1"/>
  <c r="P107" i="130" l="1"/>
  <c r="L33" i="127" l="1"/>
  <c r="L41" i="127"/>
  <c r="L39" i="126" l="1"/>
  <c r="P109" i="126" l="1"/>
  <c r="L39" i="125" l="1"/>
  <c r="R106" i="125" l="1"/>
  <c r="R102" i="125"/>
  <c r="B14" i="125"/>
  <c r="R103" i="125" l="1"/>
  <c r="R103" i="123" l="1"/>
  <c r="R109" i="123" l="1"/>
  <c r="L29" i="122" l="1"/>
  <c r="Q105" i="122" l="1"/>
  <c r="Q104" i="122" l="1"/>
  <c r="L31" i="119" l="1"/>
  <c r="L39" i="119"/>
  <c r="Q105" i="119" l="1"/>
  <c r="P105" i="118" l="1"/>
  <c r="P108" i="118"/>
  <c r="L29" i="116" l="1"/>
  <c r="P108" i="116"/>
  <c r="L29" i="115" l="1"/>
  <c r="Q110" i="115" l="1"/>
  <c r="B14" i="113" l="1"/>
  <c r="B14" i="112" l="1"/>
  <c r="B14" i="111" l="1"/>
  <c r="P105" i="40" l="1"/>
  <c r="P106" i="40"/>
  <c r="P103" i="138" l="1"/>
  <c r="Q110" i="137"/>
  <c r="P108" i="136" l="1"/>
  <c r="Q110" i="134" l="1"/>
  <c r="Q111" i="134"/>
  <c r="Q103" i="134"/>
  <c r="Q102" i="134"/>
  <c r="Q106" i="134"/>
  <c r="Q109" i="134"/>
  <c r="P106" i="133" l="1"/>
  <c r="P109" i="131" l="1"/>
  <c r="S82" i="131"/>
  <c r="T82" i="131" s="1"/>
  <c r="P108" i="130" l="1"/>
  <c r="P109" i="130"/>
  <c r="P98" i="127" l="1"/>
  <c r="Q98" i="127"/>
  <c r="P111" i="127"/>
  <c r="P110" i="127"/>
  <c r="P109" i="127"/>
  <c r="P108" i="127"/>
  <c r="P107" i="127"/>
  <c r="P106" i="127"/>
  <c r="P105" i="127"/>
  <c r="P104" i="127"/>
  <c r="P103" i="127"/>
  <c r="P101" i="127"/>
  <c r="P102" i="127"/>
  <c r="B50" i="127" l="1"/>
  <c r="B70" i="126" l="1"/>
  <c r="B70" i="125" l="1"/>
  <c r="R109" i="125"/>
  <c r="L37" i="124" l="1"/>
  <c r="L29" i="124"/>
  <c r="R104" i="123" l="1"/>
  <c r="R108" i="123"/>
  <c r="R106" i="123" l="1"/>
  <c r="R105" i="123"/>
  <c r="B70" i="122" l="1"/>
  <c r="P103" i="121"/>
  <c r="L29" i="121"/>
  <c r="F58" i="121" l="1"/>
  <c r="B70" i="120" l="1"/>
  <c r="Q108" i="120" l="1"/>
  <c r="Q108" i="119" l="1"/>
  <c r="P111" i="118" l="1"/>
  <c r="L37" i="116" l="1"/>
  <c r="L37" i="115" l="1"/>
  <c r="Q109" i="115"/>
  <c r="Q107" i="115" l="1"/>
  <c r="Q103" i="115"/>
  <c r="Q111" i="114" l="1"/>
  <c r="Q110" i="113" l="1"/>
  <c r="P107" i="112" l="1"/>
  <c r="Q103" i="111" l="1"/>
  <c r="P108" i="40" l="1"/>
  <c r="P103" i="40"/>
  <c r="P100" i="40"/>
  <c r="L35" i="136" l="1"/>
  <c r="L29" i="136"/>
  <c r="P111" i="136"/>
  <c r="P110" i="136"/>
  <c r="P107" i="136"/>
  <c r="L29" i="132" l="1"/>
  <c r="L37" i="132"/>
  <c r="P104" i="131" l="1"/>
  <c r="P100" i="130" l="1"/>
  <c r="P101" i="130"/>
  <c r="R109" i="128" l="1"/>
  <c r="R102" i="128"/>
  <c r="P105" i="126" l="1"/>
  <c r="P107" i="126"/>
  <c r="R104" i="125" l="1"/>
  <c r="R105" i="125"/>
  <c r="R101" i="125"/>
  <c r="L31" i="124" l="1"/>
  <c r="L31" i="123" l="1"/>
  <c r="P111" i="121" l="1"/>
  <c r="P108" i="121"/>
  <c r="P110" i="121"/>
  <c r="P102" i="121" l="1"/>
  <c r="Q109" i="120" l="1"/>
  <c r="Q110" i="120" l="1"/>
  <c r="Q104" i="120"/>
  <c r="Q106" i="119" l="1"/>
  <c r="Q104" i="119" l="1"/>
  <c r="L29" i="118"/>
  <c r="P112" i="118"/>
  <c r="J12" i="118" l="1"/>
  <c r="J13" i="118"/>
  <c r="J15" i="118"/>
  <c r="J17" i="118"/>
  <c r="J18" i="118"/>
  <c r="J21" i="118"/>
  <c r="J23" i="118"/>
  <c r="P103" i="116" l="1"/>
  <c r="Q108" i="115"/>
  <c r="Q105" i="115"/>
  <c r="Q113" i="114" l="1"/>
  <c r="Q112" i="114"/>
  <c r="Q110" i="114"/>
  <c r="Q109" i="114"/>
  <c r="Q105" i="114" l="1"/>
  <c r="L39" i="113"/>
  <c r="L31" i="113"/>
  <c r="Q107" i="113" l="1"/>
  <c r="Q106" i="113"/>
  <c r="P100" i="112" l="1"/>
  <c r="P108" i="112"/>
  <c r="P109" i="112"/>
  <c r="P103" i="112"/>
  <c r="P101" i="112"/>
  <c r="Q98" i="112"/>
  <c r="Q104" i="111" l="1"/>
  <c r="L37" i="110" l="1"/>
  <c r="P102" i="40" l="1"/>
  <c r="P101" i="40"/>
  <c r="L37" i="40"/>
  <c r="L29" i="40"/>
  <c r="L37" i="136" l="1"/>
  <c r="L37" i="135" l="1"/>
  <c r="L29" i="135"/>
  <c r="P107" i="135"/>
  <c r="P101" i="135"/>
  <c r="L37" i="134" l="1"/>
  <c r="L29" i="134"/>
  <c r="B14" i="134"/>
  <c r="L37" i="133" l="1"/>
  <c r="P104" i="133" l="1"/>
  <c r="P102" i="133"/>
  <c r="L37" i="131" l="1"/>
  <c r="P110" i="131" l="1"/>
  <c r="P107" i="131"/>
  <c r="P106" i="131"/>
  <c r="P105" i="131"/>
  <c r="P103" i="131"/>
  <c r="P102" i="131"/>
  <c r="P101" i="131"/>
  <c r="Q112" i="129" l="1"/>
  <c r="Q110" i="129"/>
  <c r="Q108" i="129"/>
  <c r="Q107" i="129"/>
  <c r="Q106" i="129"/>
  <c r="Q105" i="129"/>
  <c r="Q103" i="129"/>
  <c r="L29" i="128" l="1"/>
  <c r="L37" i="128"/>
  <c r="R108" i="128" l="1"/>
  <c r="R110" i="128"/>
  <c r="P106" i="126" l="1"/>
  <c r="R102" i="123" l="1"/>
  <c r="Q111" i="122" l="1"/>
  <c r="Q108" i="122"/>
  <c r="Q107" i="122"/>
  <c r="Q106" i="122"/>
  <c r="Q103" i="122"/>
  <c r="Q102" i="122"/>
  <c r="L37" i="121" l="1"/>
  <c r="P105" i="121" l="1"/>
  <c r="Q107" i="120" l="1"/>
  <c r="Q106" i="120"/>
  <c r="Q105" i="120"/>
  <c r="Q103" i="120"/>
  <c r="L37" i="119" l="1"/>
  <c r="L29" i="119"/>
  <c r="Q111" i="119" l="1"/>
  <c r="Q110" i="119"/>
  <c r="P110" i="118" l="1"/>
  <c r="P109" i="118"/>
  <c r="P107" i="118"/>
  <c r="P106" i="118"/>
  <c r="P101" i="118"/>
  <c r="P107" i="116" l="1"/>
  <c r="P106" i="116"/>
  <c r="P105" i="116"/>
  <c r="P102" i="116"/>
  <c r="L29" i="114" l="1"/>
  <c r="Q106" i="114"/>
  <c r="Q108" i="114" l="1"/>
  <c r="L29" i="113"/>
  <c r="Q105" i="113" l="1"/>
  <c r="Q112" i="113" l="1"/>
  <c r="Q111" i="113"/>
  <c r="Q107" i="111" l="1"/>
  <c r="Q109" i="111"/>
  <c r="Q108" i="111"/>
  <c r="L29" i="110" l="1"/>
  <c r="Q110" i="110"/>
  <c r="P109" i="40" l="1"/>
  <c r="L29" i="139" l="1"/>
  <c r="L37" i="139"/>
  <c r="P110" i="139"/>
  <c r="P108" i="139"/>
  <c r="P106" i="139" l="1"/>
  <c r="P105" i="139"/>
  <c r="P104" i="139"/>
  <c r="P103" i="139"/>
  <c r="P102" i="139"/>
  <c r="P101" i="139"/>
  <c r="L29" i="138"/>
  <c r="L37" i="138"/>
  <c r="P110" i="138" l="1"/>
  <c r="P108" i="138"/>
  <c r="P106" i="138"/>
  <c r="P105" i="138"/>
  <c r="P104" i="138"/>
  <c r="Q109" i="137" l="1"/>
  <c r="L29" i="137"/>
  <c r="Q108" i="137"/>
  <c r="Q106" i="137"/>
  <c r="Q105" i="137"/>
  <c r="Q103" i="137"/>
  <c r="P109" i="136" l="1"/>
  <c r="P106" i="136"/>
  <c r="P105" i="136"/>
  <c r="P104" i="136"/>
  <c r="P103" i="136"/>
  <c r="P106" i="135" l="1"/>
  <c r="P102" i="135"/>
  <c r="Q98" i="134"/>
  <c r="P98" i="134"/>
  <c r="P105" i="133" l="1"/>
  <c r="P109" i="133" l="1"/>
  <c r="P108" i="133"/>
  <c r="Q106" i="132" l="1"/>
  <c r="Q105" i="132"/>
  <c r="Q104" i="132"/>
  <c r="P106" i="130" l="1"/>
  <c r="P105" i="130"/>
  <c r="B14" i="129"/>
  <c r="R106" i="128"/>
  <c r="R105" i="128"/>
  <c r="R101" i="128"/>
  <c r="R104" i="128"/>
  <c r="R103" i="128"/>
  <c r="L37" i="127" l="1"/>
  <c r="L29" i="127" l="1"/>
  <c r="L29" i="126" l="1"/>
  <c r="L37" i="126"/>
  <c r="P110" i="126"/>
  <c r="L29" i="125"/>
  <c r="L37" i="125"/>
  <c r="R100" i="125"/>
  <c r="Q105" i="124" l="1"/>
  <c r="Q107" i="124"/>
  <c r="Q106" i="124"/>
  <c r="R111" i="123" l="1"/>
  <c r="R101" i="123"/>
  <c r="L37" i="123"/>
  <c r="L29" i="123"/>
  <c r="L37" i="122"/>
  <c r="J13" i="122"/>
  <c r="B30" i="122"/>
  <c r="L30" i="122" s="1"/>
  <c r="P106" i="121"/>
  <c r="P104" i="121"/>
  <c r="P101" i="121"/>
  <c r="L37" i="120"/>
  <c r="L29" i="120"/>
  <c r="Q102" i="119" l="1"/>
  <c r="L37" i="117" l="1"/>
  <c r="L29" i="117"/>
  <c r="Q111" i="115" l="1"/>
  <c r="Q104" i="115" l="1"/>
  <c r="Q102" i="115" l="1"/>
  <c r="Q108" i="113" l="1"/>
  <c r="L29" i="112" l="1"/>
  <c r="L37" i="112"/>
  <c r="L29" i="111" l="1"/>
  <c r="L37" i="111"/>
  <c r="Q106" i="111" l="1"/>
  <c r="B14" i="131" l="1"/>
  <c r="L37" i="114" l="1"/>
  <c r="Q102" i="110" l="1"/>
  <c r="Q98" i="138" l="1"/>
  <c r="B16" i="132" l="1"/>
  <c r="Q101" i="120" l="1"/>
  <c r="B30" i="40" l="1"/>
  <c r="L30" i="40" s="1"/>
  <c r="P102" i="138" l="1"/>
  <c r="L37" i="130" l="1"/>
  <c r="L31" i="130"/>
  <c r="L29" i="130"/>
  <c r="Q98" i="120" l="1"/>
  <c r="L37" i="113" l="1"/>
  <c r="Q98" i="113"/>
  <c r="L39" i="40" l="1"/>
  <c r="L29" i="129" l="1"/>
  <c r="L37" i="129"/>
  <c r="Q98" i="119" l="1"/>
  <c r="Q98" i="111" l="1"/>
  <c r="Q102" i="111"/>
  <c r="Q101" i="111"/>
  <c r="Q100" i="111"/>
  <c r="Q98" i="40" l="1"/>
  <c r="B22" i="119" l="1"/>
  <c r="Q101" i="134" l="1"/>
  <c r="Q100" i="134"/>
  <c r="Q103" i="132" l="1"/>
  <c r="Q102" i="132"/>
  <c r="Q101" i="132"/>
  <c r="Q104" i="129" l="1"/>
  <c r="P101" i="126" l="1"/>
  <c r="Q98" i="126" l="1"/>
  <c r="P102" i="126"/>
  <c r="Q98" i="121" l="1"/>
  <c r="Q101" i="115" l="1"/>
  <c r="Q102" i="113" l="1"/>
  <c r="Q98" i="139" l="1"/>
  <c r="Q104" i="137" l="1"/>
  <c r="Q102" i="137"/>
  <c r="Q101" i="137"/>
  <c r="Q98" i="137"/>
  <c r="Q98" i="136" l="1"/>
  <c r="Q98" i="135" l="1"/>
  <c r="Q98" i="133" l="1"/>
  <c r="Q98" i="132" l="1"/>
  <c r="Q98" i="131" l="1"/>
  <c r="P102" i="130" l="1"/>
  <c r="Q98" i="130"/>
  <c r="Q98" i="129" l="1"/>
  <c r="Q98" i="128" l="1"/>
  <c r="Q98" i="125" l="1"/>
  <c r="Q102" i="124" l="1"/>
  <c r="Q101" i="124"/>
  <c r="Q98" i="124"/>
  <c r="Q98" i="123" l="1"/>
  <c r="Q98" i="122" l="1"/>
  <c r="Q102" i="120" l="1"/>
  <c r="Q103" i="119" l="1"/>
  <c r="P104" i="118" l="1"/>
  <c r="Q98" i="118"/>
  <c r="Q98" i="117" l="1"/>
  <c r="Q98" i="116" l="1"/>
  <c r="Q98" i="115" l="1"/>
  <c r="Q104" i="114" l="1"/>
  <c r="Q103" i="114"/>
  <c r="Q98" i="114"/>
  <c r="Q105" i="111" l="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B55" i="139" s="1"/>
  <c r="J55" i="139" s="1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T69" i="139"/>
  <c r="B54" i="139" s="1"/>
  <c r="J54" i="139" s="1"/>
  <c r="R69" i="139"/>
  <c r="B48" i="139" s="1"/>
  <c r="J48" i="139" s="1"/>
  <c r="J69" i="139"/>
  <c r="J64" i="139"/>
  <c r="T63" i="139"/>
  <c r="B53" i="139" s="1"/>
  <c r="J53" i="139" s="1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H54" i="139"/>
  <c r="H53" i="139"/>
  <c r="H52" i="139"/>
  <c r="H51" i="139"/>
  <c r="H50" i="139"/>
  <c r="H49" i="139"/>
  <c r="H48" i="139"/>
  <c r="H47" i="139"/>
  <c r="H46" i="139"/>
  <c r="L45" i="139"/>
  <c r="J45" i="139"/>
  <c r="B43" i="139"/>
  <c r="L43" i="139" s="1"/>
  <c r="T42" i="139"/>
  <c r="B52" i="139" s="1"/>
  <c r="J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B35" i="138"/>
  <c r="L35" i="138" s="1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B40" i="137"/>
  <c r="J39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B55" i="136" s="1"/>
  <c r="J55" i="136" s="1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H54" i="136"/>
  <c r="H53" i="136"/>
  <c r="H52" i="136"/>
  <c r="H51" i="136"/>
  <c r="H50" i="136"/>
  <c r="H49" i="136"/>
  <c r="H48" i="136"/>
  <c r="H47" i="136"/>
  <c r="H46" i="136"/>
  <c r="L45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J37" i="136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20" i="135"/>
  <c r="C34" i="109" s="1"/>
  <c r="L13" i="135"/>
  <c r="L12" i="135"/>
  <c r="X10" i="135"/>
  <c r="V10" i="135"/>
  <c r="U10" i="135"/>
  <c r="Z98" i="134"/>
  <c r="B55" i="134" s="1"/>
  <c r="J55" i="134" s="1"/>
  <c r="V98" i="134"/>
  <c r="U98" i="134"/>
  <c r="B50" i="134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X92" i="134"/>
  <c r="Y92" i="134" s="1"/>
  <c r="S92" i="134"/>
  <c r="X91" i="134"/>
  <c r="Y91" i="134" s="1"/>
  <c r="S91" i="134"/>
  <c r="X90" i="134"/>
  <c r="Y90" i="134" s="1"/>
  <c r="S90" i="134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B40" i="134"/>
  <c r="J39" i="134"/>
  <c r="B38" i="134"/>
  <c r="J37" i="134"/>
  <c r="B35" i="134"/>
  <c r="L35" i="134" s="1"/>
  <c r="L34" i="134"/>
  <c r="B34" i="134"/>
  <c r="J34" i="134" s="1"/>
  <c r="L33" i="134"/>
  <c r="J33" i="134"/>
  <c r="B32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B40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B55" i="132" s="1"/>
  <c r="J55" i="132" s="1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B47" i="132" s="1"/>
  <c r="J47" i="132" s="1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J18" i="132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L38" i="131" s="1"/>
  <c r="J37" i="131"/>
  <c r="B35" i="131"/>
  <c r="L34" i="131"/>
  <c r="B34" i="131"/>
  <c r="J34" i="131" s="1"/>
  <c r="L33" i="131"/>
  <c r="J33" i="131"/>
  <c r="L32" i="131"/>
  <c r="B32" i="131"/>
  <c r="J32" i="131" s="1"/>
  <c r="L31" i="131"/>
  <c r="J31" i="131"/>
  <c r="B30" i="131"/>
  <c r="B36" i="131" s="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B30" i="130"/>
  <c r="L30" i="130" s="1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B50" i="129" s="1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B55" i="128" s="1"/>
  <c r="J55" i="128" s="1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B54" i="128" s="1"/>
  <c r="J54" i="128" s="1"/>
  <c r="R69" i="128"/>
  <c r="B48" i="128" s="1"/>
  <c r="J48" i="128" s="1"/>
  <c r="J69" i="128"/>
  <c r="J64" i="128"/>
  <c r="T63" i="128"/>
  <c r="B53" i="128" s="1"/>
  <c r="J53" i="128" s="1"/>
  <c r="S63" i="128"/>
  <c r="B58" i="128" s="1"/>
  <c r="J58" i="128" s="1"/>
  <c r="R63" i="128"/>
  <c r="B47" i="128" s="1"/>
  <c r="J47" i="128" s="1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H54" i="128"/>
  <c r="H53" i="128"/>
  <c r="H52" i="128"/>
  <c r="H51" i="128"/>
  <c r="H50" i="128"/>
  <c r="H49" i="128"/>
  <c r="H48" i="128"/>
  <c r="H47" i="128"/>
  <c r="H46" i="128"/>
  <c r="L45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J50" i="127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B42" i="127"/>
  <c r="J41" i="127"/>
  <c r="L40" i="127"/>
  <c r="B40" i="127"/>
  <c r="J40" i="127" s="1"/>
  <c r="L39" i="127"/>
  <c r="J39" i="127"/>
  <c r="B38" i="127"/>
  <c r="J37" i="127"/>
  <c r="B35" i="127"/>
  <c r="L35" i="127" s="1"/>
  <c r="B34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20" i="127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B40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J39" i="125"/>
  <c r="B38" i="125"/>
  <c r="L38" i="125" s="1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B16" i="125"/>
  <c r="J16" i="125" s="1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B40" i="124"/>
  <c r="J39" i="124"/>
  <c r="B38" i="124"/>
  <c r="J37" i="124"/>
  <c r="B35" i="124"/>
  <c r="L35" i="124" s="1"/>
  <c r="L34" i="124"/>
  <c r="B34" i="124"/>
  <c r="J34" i="124" s="1"/>
  <c r="L33" i="124"/>
  <c r="J33" i="124"/>
  <c r="B32" i="124"/>
  <c r="J31" i="124"/>
  <c r="B30" i="124"/>
  <c r="L30" i="124" s="1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8" i="123" s="1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B40" i="123"/>
  <c r="J39" i="123"/>
  <c r="B38" i="123"/>
  <c r="J37" i="123"/>
  <c r="B35" i="123"/>
  <c r="L35" i="123" s="1"/>
  <c r="L34" i="123"/>
  <c r="B34" i="123"/>
  <c r="J34" i="123" s="1"/>
  <c r="L33" i="123"/>
  <c r="J33" i="123"/>
  <c r="B32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J24" i="123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B32" i="122"/>
  <c r="J32" i="122" s="1"/>
  <c r="J31" i="122"/>
  <c r="B36" i="122"/>
  <c r="L36" i="122" s="1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L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B48" i="121" s="1"/>
  <c r="J48" i="121" s="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B50" i="120" s="1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B40" i="120"/>
  <c r="J40" i="120" s="1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B30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B48" i="119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B32" i="119"/>
  <c r="J31" i="119"/>
  <c r="B30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L22" i="118"/>
  <c r="B22" i="118"/>
  <c r="L21" i="118"/>
  <c r="L20" i="118"/>
  <c r="L19" i="118"/>
  <c r="B19" i="118"/>
  <c r="J19" i="118" s="1"/>
  <c r="L18" i="118"/>
  <c r="B18" i="118"/>
  <c r="L17" i="118"/>
  <c r="L16" i="118"/>
  <c r="B16" i="118"/>
  <c r="J16" i="118" s="1"/>
  <c r="L15" i="118"/>
  <c r="L14" i="118"/>
  <c r="B14" i="118"/>
  <c r="L13" i="118"/>
  <c r="L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B53" i="116"/>
  <c r="J53" i="116" s="1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B40" i="116"/>
  <c r="J40" i="116" s="1"/>
  <c r="J39" i="116"/>
  <c r="B38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L15" i="115"/>
  <c r="J15" i="115"/>
  <c r="L14" i="115"/>
  <c r="B14" i="115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B35" i="114"/>
  <c r="L35" i="114" s="1"/>
  <c r="L34" i="114"/>
  <c r="B34" i="114"/>
  <c r="J34" i="114" s="1"/>
  <c r="L33" i="114"/>
  <c r="J33" i="114"/>
  <c r="L32" i="114"/>
  <c r="B32" i="114"/>
  <c r="J32" i="114" s="1"/>
  <c r="L31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B40" i="113"/>
  <c r="J39" i="113"/>
  <c r="B38" i="113"/>
  <c r="J37" i="113"/>
  <c r="B35" i="113"/>
  <c r="L35" i="113" s="1"/>
  <c r="L34" i="113"/>
  <c r="B34" i="113"/>
  <c r="J34" i="113" s="1"/>
  <c r="L33" i="113"/>
  <c r="J33" i="113"/>
  <c r="B32" i="113"/>
  <c r="J31" i="113"/>
  <c r="B30" i="113"/>
  <c r="J29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B28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20" i="113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B43" i="112"/>
  <c r="L43" i="112" s="1"/>
  <c r="T42" i="112"/>
  <c r="B52" i="112" s="1"/>
  <c r="F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20" i="112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J31" i="111"/>
  <c r="B30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20" i="11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J40" i="137" l="1"/>
  <c r="L40" i="137"/>
  <c r="B36" i="133"/>
  <c r="L36" i="133" s="1"/>
  <c r="L30" i="133"/>
  <c r="B28" i="130"/>
  <c r="J40" i="124"/>
  <c r="L40" i="124"/>
  <c r="J40" i="123"/>
  <c r="L40" i="123"/>
  <c r="B44" i="118"/>
  <c r="L44" i="118" s="1"/>
  <c r="L38" i="118"/>
  <c r="B28" i="118"/>
  <c r="J22" i="118"/>
  <c r="B44" i="137"/>
  <c r="L44" i="137" s="1"/>
  <c r="L38" i="137"/>
  <c r="J40" i="135"/>
  <c r="L40" i="135"/>
  <c r="J40" i="134"/>
  <c r="L40" i="134"/>
  <c r="J32" i="134"/>
  <c r="L32" i="134"/>
  <c r="J40" i="133"/>
  <c r="L40" i="133"/>
  <c r="J42" i="127"/>
  <c r="L42" i="127"/>
  <c r="J34" i="127"/>
  <c r="L34" i="127"/>
  <c r="J40" i="126"/>
  <c r="L40" i="126"/>
  <c r="J40" i="125"/>
  <c r="L40" i="125"/>
  <c r="J40" i="119"/>
  <c r="L40" i="119"/>
  <c r="J32" i="119"/>
  <c r="L32" i="119"/>
  <c r="B50" i="118"/>
  <c r="J50" i="118" s="1"/>
  <c r="B36" i="116"/>
  <c r="J36" i="116" s="1"/>
  <c r="L30" i="116"/>
  <c r="J50" i="115"/>
  <c r="B36" i="115"/>
  <c r="L36" i="115" s="1"/>
  <c r="L30" i="115"/>
  <c r="B51" i="127"/>
  <c r="J51" i="127" s="1"/>
  <c r="B49" i="127"/>
  <c r="J49" i="127" s="1"/>
  <c r="B44" i="124"/>
  <c r="L44" i="124" s="1"/>
  <c r="L38" i="124"/>
  <c r="B36" i="121"/>
  <c r="L36" i="121" s="1"/>
  <c r="L30" i="121"/>
  <c r="B48" i="120"/>
  <c r="J48" i="120" s="1"/>
  <c r="B44" i="116"/>
  <c r="L44" i="116" s="1"/>
  <c r="L38" i="116"/>
  <c r="B44" i="115"/>
  <c r="L44" i="115" s="1"/>
  <c r="L38" i="115"/>
  <c r="B49" i="138"/>
  <c r="J49" i="138" s="1"/>
  <c r="B36" i="136"/>
  <c r="L36" i="136" s="1"/>
  <c r="L30" i="136"/>
  <c r="B36" i="132"/>
  <c r="L36" i="132" s="1"/>
  <c r="L30" i="132"/>
  <c r="B44" i="132"/>
  <c r="L44" i="132" s="1"/>
  <c r="L38" i="132"/>
  <c r="B36" i="124"/>
  <c r="L36" i="124" s="1"/>
  <c r="J32" i="124"/>
  <c r="L32" i="124"/>
  <c r="J32" i="123"/>
  <c r="L32" i="123"/>
  <c r="B36" i="118"/>
  <c r="L36" i="118" s="1"/>
  <c r="L30" i="118"/>
  <c r="J40" i="113"/>
  <c r="L40" i="113"/>
  <c r="J32" i="113"/>
  <c r="L32" i="113"/>
  <c r="B44" i="110"/>
  <c r="L44" i="110" s="1"/>
  <c r="L38" i="110"/>
  <c r="B44" i="136"/>
  <c r="L44" i="136" s="1"/>
  <c r="L38" i="136"/>
  <c r="B44" i="135"/>
  <c r="L44" i="135" s="1"/>
  <c r="L38" i="135"/>
  <c r="B36" i="135"/>
  <c r="L36" i="135" s="1"/>
  <c r="L30" i="135"/>
  <c r="B44" i="134"/>
  <c r="L44" i="134" s="1"/>
  <c r="L38" i="134"/>
  <c r="B36" i="134"/>
  <c r="L36" i="134" s="1"/>
  <c r="L30" i="134"/>
  <c r="B44" i="133"/>
  <c r="L44" i="133" s="1"/>
  <c r="L38" i="133"/>
  <c r="B49" i="132"/>
  <c r="J49" i="132" s="1"/>
  <c r="B44" i="131"/>
  <c r="L44" i="131" s="1"/>
  <c r="B44" i="128"/>
  <c r="L44" i="128" s="1"/>
  <c r="L38" i="128"/>
  <c r="B36" i="128"/>
  <c r="L36" i="128" s="1"/>
  <c r="L30" i="128"/>
  <c r="B49" i="122"/>
  <c r="J49" i="122" s="1"/>
  <c r="B44" i="121"/>
  <c r="L44" i="121" s="1"/>
  <c r="L38" i="121"/>
  <c r="B50" i="119"/>
  <c r="J50" i="119" s="1"/>
  <c r="B44" i="119"/>
  <c r="L44" i="119" s="1"/>
  <c r="L38" i="119"/>
  <c r="B36" i="119"/>
  <c r="L36" i="119" s="1"/>
  <c r="L30" i="119"/>
  <c r="B20" i="118"/>
  <c r="J14" i="118"/>
  <c r="B36" i="114"/>
  <c r="L36" i="114" s="1"/>
  <c r="L30" i="114"/>
  <c r="B36" i="113"/>
  <c r="L36" i="113" s="1"/>
  <c r="L30" i="113"/>
  <c r="B36" i="110"/>
  <c r="L36" i="110" s="1"/>
  <c r="L30" i="110"/>
  <c r="B36" i="139"/>
  <c r="L36" i="139" s="1"/>
  <c r="L30" i="139"/>
  <c r="B44" i="139"/>
  <c r="L44" i="139" s="1"/>
  <c r="L38" i="139"/>
  <c r="B44" i="138"/>
  <c r="L44" i="138" s="1"/>
  <c r="L38" i="138"/>
  <c r="B36" i="138"/>
  <c r="L36" i="138" s="1"/>
  <c r="L30" i="138"/>
  <c r="B36" i="137"/>
  <c r="L36" i="137" s="1"/>
  <c r="L30" i="137"/>
  <c r="B20" i="133"/>
  <c r="C32" i="109" s="1"/>
  <c r="B44" i="111"/>
  <c r="L44" i="111" s="1"/>
  <c r="L38" i="111"/>
  <c r="B36" i="112"/>
  <c r="L36" i="112" s="1"/>
  <c r="L30" i="112"/>
  <c r="B36" i="117"/>
  <c r="L36" i="117" s="1"/>
  <c r="L30" i="117"/>
  <c r="B44" i="120"/>
  <c r="L44" i="120" s="1"/>
  <c r="L38" i="120"/>
  <c r="B20" i="122"/>
  <c r="C21" i="109" s="1"/>
  <c r="J14" i="122"/>
  <c r="B44" i="122"/>
  <c r="L44" i="122" s="1"/>
  <c r="L38" i="122"/>
  <c r="B44" i="123"/>
  <c r="L44" i="123" s="1"/>
  <c r="L38" i="123"/>
  <c r="B44" i="126"/>
  <c r="L44" i="126" s="1"/>
  <c r="L38" i="126"/>
  <c r="B44" i="127"/>
  <c r="L44" i="127" s="1"/>
  <c r="L38" i="127"/>
  <c r="B36" i="111"/>
  <c r="L30" i="111"/>
  <c r="B44" i="112"/>
  <c r="L44" i="112" s="1"/>
  <c r="L38" i="112"/>
  <c r="B51" i="112"/>
  <c r="J51" i="112" s="1"/>
  <c r="B44" i="117"/>
  <c r="L44" i="117" s="1"/>
  <c r="L38" i="117"/>
  <c r="B36" i="120"/>
  <c r="L36" i="120" s="1"/>
  <c r="L30" i="120"/>
  <c r="B51" i="120"/>
  <c r="J51" i="120" s="1"/>
  <c r="B36" i="123"/>
  <c r="L36" i="123" s="1"/>
  <c r="L30" i="123"/>
  <c r="B36" i="126"/>
  <c r="L36" i="126" s="1"/>
  <c r="L30" i="126"/>
  <c r="B36" i="127"/>
  <c r="L36" i="127" s="1"/>
  <c r="L30" i="127"/>
  <c r="B44" i="125"/>
  <c r="L44" i="125" s="1"/>
  <c r="B36" i="125"/>
  <c r="L36" i="125" s="1"/>
  <c r="L30" i="125"/>
  <c r="J16" i="115"/>
  <c r="B20" i="115"/>
  <c r="C14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J50" i="129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J50" i="120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J35" i="113"/>
  <c r="F12" i="109"/>
  <c r="J43" i="113"/>
  <c r="H12" i="109"/>
  <c r="S98" i="113"/>
  <c r="J28" i="114"/>
  <c r="E13" i="109"/>
  <c r="J27" i="114"/>
  <c r="D13" i="109"/>
  <c r="J19" i="115"/>
  <c r="B14" i="109"/>
  <c r="J35" i="115"/>
  <c r="F14" i="109"/>
  <c r="J43" i="115"/>
  <c r="H14" i="109"/>
  <c r="J28" i="116"/>
  <c r="E15" i="109"/>
  <c r="J27" i="116"/>
  <c r="D15" i="109"/>
  <c r="I15" i="109"/>
  <c r="J19" i="117"/>
  <c r="B16" i="109"/>
  <c r="J35" i="117"/>
  <c r="F16" i="109"/>
  <c r="J43" i="117"/>
  <c r="H16" i="109"/>
  <c r="J28" i="118"/>
  <c r="E17" i="109"/>
  <c r="J27" i="118"/>
  <c r="D17" i="109"/>
  <c r="J44" i="118"/>
  <c r="J19" i="119"/>
  <c r="B18" i="109"/>
  <c r="J36" i="119"/>
  <c r="J35" i="119"/>
  <c r="F18" i="109"/>
  <c r="J43" i="119"/>
  <c r="H18" i="109"/>
  <c r="J28" i="120"/>
  <c r="E19" i="109"/>
  <c r="J27" i="120"/>
  <c r="D19" i="109"/>
  <c r="J44" i="120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G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J28" i="115"/>
  <c r="E14" i="109"/>
  <c r="J27" i="115"/>
  <c r="D14" i="109"/>
  <c r="J19" i="116"/>
  <c r="B15" i="109"/>
  <c r="J35" i="116"/>
  <c r="F15" i="109"/>
  <c r="J43" i="116"/>
  <c r="H15" i="109"/>
  <c r="J28" i="117"/>
  <c r="E16" i="109"/>
  <c r="J27" i="117"/>
  <c r="D16" i="109"/>
  <c r="B17" i="109"/>
  <c r="J36" i="118"/>
  <c r="J35" i="118"/>
  <c r="F17" i="109"/>
  <c r="J43" i="118"/>
  <c r="H17" i="109"/>
  <c r="J28" i="119"/>
  <c r="E18" i="109"/>
  <c r="J27" i="119"/>
  <c r="D18" i="109"/>
  <c r="J19" i="120"/>
  <c r="B19" i="109"/>
  <c r="J35" i="120"/>
  <c r="F19" i="109"/>
  <c r="J43" i="120"/>
  <c r="H19" i="109"/>
  <c r="J28" i="121"/>
  <c r="E20" i="109"/>
  <c r="J27" i="121"/>
  <c r="D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I24" i="109"/>
  <c r="J19" i="126"/>
  <c r="B25" i="109"/>
  <c r="G25" i="109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19" i="132"/>
  <c r="B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19" i="138"/>
  <c r="B37" i="109"/>
  <c r="J36" i="138"/>
  <c r="J35" i="138"/>
  <c r="F37" i="109"/>
  <c r="J43" i="138"/>
  <c r="H37" i="109"/>
  <c r="J28" i="139"/>
  <c r="E38" i="109"/>
  <c r="J27" i="139"/>
  <c r="D38" i="10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W27" i="139"/>
  <c r="Z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98" i="123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30" i="118"/>
  <c r="J38" i="118"/>
  <c r="D47" i="118"/>
  <c r="F47" i="118" s="1"/>
  <c r="D48" i="118"/>
  <c r="F48" i="118" s="1"/>
  <c r="D49" i="118"/>
  <c r="F49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J44" i="139" l="1"/>
  <c r="G38" i="109"/>
  <c r="J44" i="137"/>
  <c r="J44" i="132"/>
  <c r="G20" i="109"/>
  <c r="I17" i="109"/>
  <c r="G17" i="109"/>
  <c r="G15" i="109"/>
  <c r="J36" i="115"/>
  <c r="J36" i="113"/>
  <c r="I36" i="109"/>
  <c r="J44" i="136"/>
  <c r="J36" i="136"/>
  <c r="J44" i="135"/>
  <c r="G34" i="109"/>
  <c r="J44" i="134"/>
  <c r="G53" i="132"/>
  <c r="J44" i="124"/>
  <c r="D50" i="118"/>
  <c r="F50" i="118" s="1"/>
  <c r="D51" i="116"/>
  <c r="F51" i="116" s="1"/>
  <c r="B65" i="115"/>
  <c r="B71" i="115" s="1"/>
  <c r="I14" i="109"/>
  <c r="G14" i="109"/>
  <c r="G9" i="109"/>
  <c r="J44" i="110"/>
  <c r="G31" i="109"/>
  <c r="J36" i="128"/>
  <c r="D49" i="127"/>
  <c r="F49" i="127" s="1"/>
  <c r="B65" i="127"/>
  <c r="B71" i="127" s="1"/>
  <c r="G86" i="127"/>
  <c r="H81" i="127" s="1"/>
  <c r="T98" i="127"/>
  <c r="G24" i="109"/>
  <c r="J36" i="124"/>
  <c r="I23" i="109"/>
  <c r="J44" i="121"/>
  <c r="J36" i="121"/>
  <c r="J44" i="119"/>
  <c r="G18" i="109"/>
  <c r="G16" i="109"/>
  <c r="J44" i="117"/>
  <c r="J44" i="116"/>
  <c r="J20" i="115"/>
  <c r="J44" i="115"/>
  <c r="G13" i="109"/>
  <c r="I9" i="109"/>
  <c r="D49" i="138"/>
  <c r="F49" i="138" s="1"/>
  <c r="I37" i="109"/>
  <c r="J44" i="138"/>
  <c r="G35" i="109"/>
  <c r="I34" i="109"/>
  <c r="J36" i="135"/>
  <c r="J36" i="134"/>
  <c r="G33" i="109"/>
  <c r="I33" i="109"/>
  <c r="D49" i="132"/>
  <c r="F49" i="132" s="1"/>
  <c r="I31" i="109"/>
  <c r="J36" i="132"/>
  <c r="I30" i="109"/>
  <c r="J44" i="131"/>
  <c r="I27" i="109"/>
  <c r="G27" i="109"/>
  <c r="J44" i="128"/>
  <c r="G23" i="109"/>
  <c r="D49" i="122"/>
  <c r="F49" i="122" s="1"/>
  <c r="J44" i="122"/>
  <c r="I19" i="109"/>
  <c r="J44" i="114"/>
  <c r="G11" i="109"/>
  <c r="I10" i="109"/>
  <c r="J36" i="111"/>
  <c r="L36" i="111"/>
  <c r="F53" i="137"/>
  <c r="G53" i="137" s="1"/>
  <c r="G56" i="137"/>
  <c r="C37" i="143" s="1"/>
  <c r="H37" i="143" s="1"/>
  <c r="J36" i="137"/>
  <c r="I35" i="109"/>
  <c r="I32" i="109"/>
  <c r="J44" i="133"/>
  <c r="J36" i="127"/>
  <c r="I25" i="109"/>
  <c r="J36" i="126"/>
  <c r="J44" i="126"/>
  <c r="I20" i="109"/>
  <c r="G19" i="109"/>
  <c r="D50" i="119"/>
  <c r="F50" i="119" s="1"/>
  <c r="I18" i="109"/>
  <c r="C17" i="109"/>
  <c r="J20" i="118"/>
  <c r="I16" i="109"/>
  <c r="J36" i="114"/>
  <c r="J20" i="114"/>
  <c r="G12" i="109"/>
  <c r="B65" i="112"/>
  <c r="B71" i="112" s="1"/>
  <c r="J44" i="112"/>
  <c r="J44" i="111"/>
  <c r="G10" i="109"/>
  <c r="J36" i="110"/>
  <c r="G37" i="109"/>
  <c r="G36" i="109"/>
  <c r="T98" i="134"/>
  <c r="J20" i="133"/>
  <c r="G52" i="132"/>
  <c r="L52" i="132" s="1"/>
  <c r="J44" i="130"/>
  <c r="I26" i="109"/>
  <c r="G26" i="109"/>
  <c r="J44" i="127"/>
  <c r="J44" i="125"/>
  <c r="J36" i="125"/>
  <c r="J44" i="123"/>
  <c r="G22" i="109"/>
  <c r="B65" i="123"/>
  <c r="B71" i="123" s="1"/>
  <c r="I22" i="109"/>
  <c r="J36" i="123"/>
  <c r="I21" i="109"/>
  <c r="D51" i="120"/>
  <c r="F51" i="120" s="1"/>
  <c r="J36" i="120"/>
  <c r="J36" i="117"/>
  <c r="I12" i="109"/>
  <c r="D51" i="112"/>
  <c r="F51" i="112" s="1"/>
  <c r="J36" i="112"/>
  <c r="I11" i="109"/>
  <c r="G54" i="111"/>
  <c r="X75" i="111"/>
  <c r="G29" i="109"/>
  <c r="G52" i="124"/>
  <c r="D50" i="121"/>
  <c r="F50" i="121" s="1"/>
  <c r="G52" i="117"/>
  <c r="L52" i="117" s="1"/>
  <c r="I13" i="109"/>
  <c r="J44" i="113"/>
  <c r="G54" i="112"/>
  <c r="G53" i="135"/>
  <c r="L53" i="135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C29" i="140" s="1"/>
  <c r="H29" i="140" s="1"/>
  <c r="G56" i="122"/>
  <c r="L56" i="122" s="1"/>
  <c r="B65" i="118"/>
  <c r="B71" i="118" s="1"/>
  <c r="D51" i="117"/>
  <c r="F51" i="117" s="1"/>
  <c r="G56" i="116"/>
  <c r="C16" i="143" s="1"/>
  <c r="H16" i="143" s="1"/>
  <c r="B65" i="116"/>
  <c r="B71" i="116" s="1"/>
  <c r="B65" i="110"/>
  <c r="B71" i="110" s="1"/>
  <c r="D51" i="138"/>
  <c r="F51" i="138" s="1"/>
  <c r="D51" i="137"/>
  <c r="F51" i="137" s="1"/>
  <c r="D50" i="137"/>
  <c r="F50" i="137" s="1"/>
  <c r="B65" i="137"/>
  <c r="B71" i="137" s="1"/>
  <c r="G56" i="127"/>
  <c r="C27" i="143" s="1"/>
  <c r="H27" i="143" s="1"/>
  <c r="D51" i="121"/>
  <c r="F51" i="121" s="1"/>
  <c r="G58" i="118"/>
  <c r="L58" i="118" s="1"/>
  <c r="D51" i="118"/>
  <c r="F51" i="118" s="1"/>
  <c r="B65" i="113"/>
  <c r="B71" i="113" s="1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L54" i="114" s="1"/>
  <c r="G54" i="115"/>
  <c r="G58" i="116"/>
  <c r="L58" i="116" s="1"/>
  <c r="G54" i="119"/>
  <c r="L54" i="119" s="1"/>
  <c r="G54" i="120"/>
  <c r="G54" i="121"/>
  <c r="L54" i="121" s="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L56" i="110" s="1"/>
  <c r="G56" i="111"/>
  <c r="L56" i="111" s="1"/>
  <c r="G55" i="111"/>
  <c r="G58" i="112"/>
  <c r="L58" i="112" s="1"/>
  <c r="G56" i="112"/>
  <c r="L56" i="112" s="1"/>
  <c r="G55" i="112"/>
  <c r="D12" i="141" s="1"/>
  <c r="J12" i="141" s="1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D34" i="141" s="1"/>
  <c r="J34" i="141" s="1"/>
  <c r="G54" i="134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G53" i="139"/>
  <c r="C39" i="140" s="1"/>
  <c r="H39" i="140" s="1"/>
  <c r="X75" i="139"/>
  <c r="D50" i="139"/>
  <c r="F50" i="139" s="1"/>
  <c r="G47" i="139"/>
  <c r="L47" i="139" s="1"/>
  <c r="D51" i="139"/>
  <c r="F51" i="139" s="1"/>
  <c r="B65" i="139"/>
  <c r="G51" i="139"/>
  <c r="C39" i="141" s="1"/>
  <c r="G56" i="138"/>
  <c r="C38" i="143" s="1"/>
  <c r="H38" i="143" s="1"/>
  <c r="G54" i="138"/>
  <c r="G53" i="138"/>
  <c r="L53" i="138" s="1"/>
  <c r="X75" i="138"/>
  <c r="G48" i="138"/>
  <c r="B38" i="142" s="1"/>
  <c r="G47" i="138"/>
  <c r="L47" i="138" s="1"/>
  <c r="G56" i="123"/>
  <c r="L56" i="123" s="1"/>
  <c r="G55" i="130"/>
  <c r="D30" i="141" s="1"/>
  <c r="J30" i="141" s="1"/>
  <c r="G54" i="130"/>
  <c r="X75" i="135"/>
  <c r="G49" i="136"/>
  <c r="B36" i="143" s="1"/>
  <c r="G48" i="136"/>
  <c r="B36" i="142" s="1"/>
  <c r="G58" i="139"/>
  <c r="L58" i="139" s="1"/>
  <c r="G54" i="117"/>
  <c r="L54" i="117" s="1"/>
  <c r="X75" i="117"/>
  <c r="G58" i="120"/>
  <c r="L58" i="120" s="1"/>
  <c r="G56" i="120"/>
  <c r="L56" i="120" s="1"/>
  <c r="G55" i="120"/>
  <c r="D20" i="141" s="1"/>
  <c r="J20" i="141" s="1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L54" i="129" s="1"/>
  <c r="G58" i="138"/>
  <c r="L58" i="138" s="1"/>
  <c r="G54" i="137"/>
  <c r="L54" i="137" s="1"/>
  <c r="X75" i="137"/>
  <c r="G49" i="137"/>
  <c r="B37" i="143" s="1"/>
  <c r="G48" i="137"/>
  <c r="L48" i="137" s="1"/>
  <c r="G47" i="137"/>
  <c r="L47" i="137" s="1"/>
  <c r="G50" i="136"/>
  <c r="L50" i="136" s="1"/>
  <c r="G47" i="136"/>
  <c r="B36" i="140" s="1"/>
  <c r="G56" i="136"/>
  <c r="L56" i="136" s="1"/>
  <c r="G54" i="136"/>
  <c r="L54" i="136" s="1"/>
  <c r="G53" i="136"/>
  <c r="L53" i="136" s="1"/>
  <c r="D50" i="135"/>
  <c r="F50" i="135" s="1"/>
  <c r="B65" i="135"/>
  <c r="G55" i="133"/>
  <c r="G54" i="133"/>
  <c r="L54" i="133" s="1"/>
  <c r="G53" i="133"/>
  <c r="L53" i="133" s="1"/>
  <c r="G55" i="131"/>
  <c r="L55" i="131" s="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B28" i="142" s="1"/>
  <c r="G47" i="128"/>
  <c r="B28" i="140" s="1"/>
  <c r="G51" i="127"/>
  <c r="C27" i="141" s="1"/>
  <c r="G54" i="127"/>
  <c r="C27" i="142" s="1"/>
  <c r="H27" i="142" s="1"/>
  <c r="G53" i="127"/>
  <c r="L53" i="127" s="1"/>
  <c r="X75" i="127"/>
  <c r="G50" i="127"/>
  <c r="B27" i="141" s="1"/>
  <c r="G48" i="127"/>
  <c r="B27" i="142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D10" i="141" s="1"/>
  <c r="J10" i="141" s="1"/>
  <c r="G54" i="110"/>
  <c r="G53" i="110"/>
  <c r="L53" i="110" s="1"/>
  <c r="G49" i="111"/>
  <c r="L49" i="111" s="1"/>
  <c r="G48" i="111"/>
  <c r="B11" i="142" s="1"/>
  <c r="G55" i="113"/>
  <c r="G54" i="113"/>
  <c r="L54" i="113" s="1"/>
  <c r="G58" i="117"/>
  <c r="L58" i="117" s="1"/>
  <c r="G56" i="117"/>
  <c r="C17" i="143" s="1"/>
  <c r="H17" i="143" s="1"/>
  <c r="G55" i="117"/>
  <c r="G48" i="120"/>
  <c r="L48" i="120" s="1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L56" i="134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D16" i="141" s="1"/>
  <c r="J16" i="141" s="1"/>
  <c r="G54" i="116"/>
  <c r="G53" i="121"/>
  <c r="L53" i="121" s="1"/>
  <c r="G55" i="125"/>
  <c r="G54" i="125"/>
  <c r="L54" i="125" s="1"/>
  <c r="G53" i="125"/>
  <c r="C25" i="140" s="1"/>
  <c r="H25" i="140" s="1"/>
  <c r="G49" i="125"/>
  <c r="L49" i="125" s="1"/>
  <c r="G48" i="125"/>
  <c r="L48" i="125" s="1"/>
  <c r="G47" i="125"/>
  <c r="B25" i="140" s="1"/>
  <c r="G56" i="124"/>
  <c r="L56" i="124" s="1"/>
  <c r="G55" i="124"/>
  <c r="D24" i="141" s="1"/>
  <c r="J24" i="141" s="1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1" i="123"/>
  <c r="L51" i="123" s="1"/>
  <c r="G55" i="123"/>
  <c r="D23" i="141" s="1"/>
  <c r="J23" i="141" s="1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C22" i="142" s="1"/>
  <c r="H22" i="142" s="1"/>
  <c r="G53" i="122"/>
  <c r="C22" i="140" s="1"/>
  <c r="H22" i="140" s="1"/>
  <c r="G48" i="122"/>
  <c r="L48" i="122" s="1"/>
  <c r="G47" i="122"/>
  <c r="B22" i="140" s="1"/>
  <c r="B65" i="122"/>
  <c r="B71" i="122" s="1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G53" i="120"/>
  <c r="X75" i="120"/>
  <c r="G49" i="120"/>
  <c r="B20" i="143" s="1"/>
  <c r="G47" i="120"/>
  <c r="L47" i="120" s="1"/>
  <c r="G53" i="119"/>
  <c r="L53" i="119" s="1"/>
  <c r="X75" i="119"/>
  <c r="G49" i="119"/>
  <c r="L49" i="119" s="1"/>
  <c r="G48" i="119"/>
  <c r="L48" i="119" s="1"/>
  <c r="G47" i="119"/>
  <c r="L47" i="119" s="1"/>
  <c r="G56" i="119"/>
  <c r="C19" i="143" s="1"/>
  <c r="H19" i="143" s="1"/>
  <c r="G55" i="119"/>
  <c r="L55" i="119" s="1"/>
  <c r="G53" i="118"/>
  <c r="C18" i="140" s="1"/>
  <c r="H18" i="140" s="1"/>
  <c r="X75" i="118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B15" i="142" s="1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L48" i="114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C11" i="140"/>
  <c r="H11" i="140" s="1"/>
  <c r="C16" i="140"/>
  <c r="H16" i="140" s="1"/>
  <c r="L53" i="118"/>
  <c r="L53" i="120"/>
  <c r="C20" i="140"/>
  <c r="H20" i="140" s="1"/>
  <c r="L53" i="123"/>
  <c r="C24" i="140"/>
  <c r="H24" i="140" s="1"/>
  <c r="L53" i="125"/>
  <c r="C27" i="140"/>
  <c r="H27" i="140" s="1"/>
  <c r="L53" i="128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C33" i="142"/>
  <c r="H33" i="142" s="1"/>
  <c r="L54" i="134"/>
  <c r="C34" i="142"/>
  <c r="H34" i="142" s="1"/>
  <c r="C36" i="140"/>
  <c r="H36" i="140" s="1"/>
  <c r="L53" i="139"/>
  <c r="L55" i="110"/>
  <c r="L55" i="111"/>
  <c r="D11" i="141"/>
  <c r="J11" i="141" s="1"/>
  <c r="L55" i="112"/>
  <c r="L55" i="113"/>
  <c r="D13" i="141"/>
  <c r="J13" i="141" s="1"/>
  <c r="L55" i="114"/>
  <c r="D14" i="141"/>
  <c r="J14" i="141" s="1"/>
  <c r="L55" i="115"/>
  <c r="D15" i="141"/>
  <c r="J15" i="141" s="1"/>
  <c r="L55" i="116"/>
  <c r="L55" i="117"/>
  <c r="D17" i="141"/>
  <c r="J17" i="141" s="1"/>
  <c r="L55" i="118"/>
  <c r="D18" i="141"/>
  <c r="J18" i="141" s="1"/>
  <c r="D19" i="141"/>
  <c r="J19" i="141" s="1"/>
  <c r="L55" i="120"/>
  <c r="L55" i="121"/>
  <c r="D21" i="141"/>
  <c r="J21" i="141" s="1"/>
  <c r="L55" i="122"/>
  <c r="D22" i="141"/>
  <c r="J22" i="141" s="1"/>
  <c r="L55" i="123"/>
  <c r="L55" i="124"/>
  <c r="L55" i="125"/>
  <c r="D25" i="141"/>
  <c r="J25" i="141" s="1"/>
  <c r="D26" i="141"/>
  <c r="J26" i="141" s="1"/>
  <c r="D27" i="141"/>
  <c r="J27" i="141" s="1"/>
  <c r="L56" i="130"/>
  <c r="C34" i="143"/>
  <c r="H34" i="143" s="1"/>
  <c r="D36" i="141"/>
  <c r="J36" i="141" s="1"/>
  <c r="L55" i="138"/>
  <c r="D38" i="141"/>
  <c r="J38" i="141" s="1"/>
  <c r="D39" i="141"/>
  <c r="J39" i="141" s="1"/>
  <c r="C21" i="142"/>
  <c r="H21" i="142" s="1"/>
  <c r="L54" i="123"/>
  <c r="C23" i="142"/>
  <c r="H23" i="142" s="1"/>
  <c r="L54" i="124"/>
  <c r="C24" i="142"/>
  <c r="H24" i="142" s="1"/>
  <c r="C25" i="142"/>
  <c r="H25" i="142" s="1"/>
  <c r="L54" i="126"/>
  <c r="C26" i="142"/>
  <c r="H26" i="142" s="1"/>
  <c r="L54" i="127"/>
  <c r="L54" i="128"/>
  <c r="C28" i="142"/>
  <c r="H28" i="142" s="1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C37" i="142"/>
  <c r="H37" i="142" s="1"/>
  <c r="B37" i="142"/>
  <c r="L54" i="138"/>
  <c r="C38" i="142"/>
  <c r="H38" i="142" s="1"/>
  <c r="L54" i="139"/>
  <c r="C39" i="142"/>
  <c r="H39" i="142" s="1"/>
  <c r="L54" i="110"/>
  <c r="C10" i="142"/>
  <c r="H10" i="142" s="1"/>
  <c r="L54" i="111"/>
  <c r="C11" i="142"/>
  <c r="H11" i="142" s="1"/>
  <c r="C12" i="143"/>
  <c r="H12" i="143" s="1"/>
  <c r="L54" i="112"/>
  <c r="C12" i="142"/>
  <c r="H12" i="142" s="1"/>
  <c r="C13" i="142"/>
  <c r="H13" i="142" s="1"/>
  <c r="C14" i="142"/>
  <c r="H14" i="142" s="1"/>
  <c r="L54" i="115"/>
  <c r="C15" i="142"/>
  <c r="H15" i="142" s="1"/>
  <c r="L54" i="116"/>
  <c r="C16" i="142"/>
  <c r="H16" i="142" s="1"/>
  <c r="C17" i="142"/>
  <c r="H17" i="142" s="1"/>
  <c r="L54" i="118"/>
  <c r="C18" i="142"/>
  <c r="H18" i="142" s="1"/>
  <c r="C19" i="142"/>
  <c r="H19" i="142" s="1"/>
  <c r="L54" i="120"/>
  <c r="C20" i="142"/>
  <c r="H20" i="142" s="1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5" i="130"/>
  <c r="C30" i="140"/>
  <c r="H30" i="140" s="1"/>
  <c r="D31" i="141"/>
  <c r="J31" i="141" s="1"/>
  <c r="L55" i="132"/>
  <c r="D32" i="141"/>
  <c r="J32" i="141" s="1"/>
  <c r="L53" i="132"/>
  <c r="C32" i="140"/>
  <c r="H32" i="140" s="1"/>
  <c r="L55" i="133"/>
  <c r="D33" i="141"/>
  <c r="J33" i="141" s="1"/>
  <c r="L55" i="134"/>
  <c r="L53" i="134"/>
  <c r="L55" i="135"/>
  <c r="D35" i="141"/>
  <c r="J35" i="141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3" i="40"/>
  <c r="L34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B48" i="40" s="1"/>
  <c r="J48" i="40" s="1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B38" i="40"/>
  <c r="B43" i="40"/>
  <c r="L43" i="40" s="1"/>
  <c r="B35" i="40"/>
  <c r="L35" i="40" s="1"/>
  <c r="B34" i="40"/>
  <c r="J34" i="40" s="1"/>
  <c r="B32" i="40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B39" i="140" l="1"/>
  <c r="G51" i="138"/>
  <c r="L51" i="138" s="1"/>
  <c r="L56" i="139"/>
  <c r="G51" i="136"/>
  <c r="C36" i="141" s="1"/>
  <c r="G49" i="132"/>
  <c r="L49" i="132" s="1"/>
  <c r="L56" i="129"/>
  <c r="D61" i="116"/>
  <c r="G51" i="116"/>
  <c r="L51" i="116" s="1"/>
  <c r="G51" i="115"/>
  <c r="C15" i="141" s="1"/>
  <c r="J32" i="40"/>
  <c r="L32" i="40"/>
  <c r="G49" i="138"/>
  <c r="B38" i="143" s="1"/>
  <c r="D38" i="143" s="1"/>
  <c r="C35" i="140"/>
  <c r="H35" i="140" s="1"/>
  <c r="C35" i="142"/>
  <c r="H35" i="142" s="1"/>
  <c r="L54" i="122"/>
  <c r="L48" i="121"/>
  <c r="C20" i="143"/>
  <c r="H20" i="143" s="1"/>
  <c r="L56" i="118"/>
  <c r="G50" i="118"/>
  <c r="L50" i="118" s="1"/>
  <c r="F61" i="116"/>
  <c r="G51" i="133"/>
  <c r="C33" i="141" s="1"/>
  <c r="D61" i="127"/>
  <c r="G49" i="127"/>
  <c r="B27" i="143" s="1"/>
  <c r="D27" i="143" s="1"/>
  <c r="L56" i="125"/>
  <c r="B25" i="142"/>
  <c r="D25" i="142" s="1"/>
  <c r="C24" i="143"/>
  <c r="H24" i="143" s="1"/>
  <c r="L56" i="114"/>
  <c r="C10" i="140"/>
  <c r="H10" i="140" s="1"/>
  <c r="L48" i="138"/>
  <c r="L56" i="137"/>
  <c r="C32" i="34"/>
  <c r="H32" i="34" s="1"/>
  <c r="L53" i="129"/>
  <c r="L56" i="128"/>
  <c r="L48" i="127"/>
  <c r="C23" i="143"/>
  <c r="H23" i="143" s="1"/>
  <c r="G49" i="122"/>
  <c r="B22" i="143" s="1"/>
  <c r="G22" i="143" s="1"/>
  <c r="G51" i="121"/>
  <c r="C21" i="141" s="1"/>
  <c r="G50" i="121"/>
  <c r="L50" i="121" s="1"/>
  <c r="G51" i="120"/>
  <c r="C20" i="141" s="1"/>
  <c r="G51" i="119"/>
  <c r="L51" i="119" s="1"/>
  <c r="G50" i="119"/>
  <c r="B19" i="141" s="1"/>
  <c r="I19" i="141" s="1"/>
  <c r="G51" i="118"/>
  <c r="C18" i="141" s="1"/>
  <c r="G50" i="117"/>
  <c r="L50" i="117" s="1"/>
  <c r="G51" i="117"/>
  <c r="L51" i="117" s="1"/>
  <c r="C13" i="143"/>
  <c r="H13" i="143" s="1"/>
  <c r="G51" i="112"/>
  <c r="C12" i="141" s="1"/>
  <c r="G51" i="111"/>
  <c r="L51" i="111" s="1"/>
  <c r="L48" i="110"/>
  <c r="J38" i="40"/>
  <c r="L38" i="40"/>
  <c r="L48" i="139"/>
  <c r="C37" i="140"/>
  <c r="H37" i="140" s="1"/>
  <c r="L53" i="137"/>
  <c r="L48" i="136"/>
  <c r="L56" i="135"/>
  <c r="L48" i="128"/>
  <c r="L47" i="126"/>
  <c r="C26" i="140"/>
  <c r="H26" i="140" s="1"/>
  <c r="L48" i="118"/>
  <c r="B16" i="140"/>
  <c r="D16" i="140" s="1"/>
  <c r="L49" i="116"/>
  <c r="F61" i="134"/>
  <c r="L49" i="127"/>
  <c r="L56" i="127"/>
  <c r="B23" i="142"/>
  <c r="D23" i="142" s="1"/>
  <c r="L48" i="115"/>
  <c r="B14" i="142"/>
  <c r="G14" i="142" s="1"/>
  <c r="L53" i="114"/>
  <c r="L48" i="113"/>
  <c r="F61" i="112"/>
  <c r="D61" i="112"/>
  <c r="L48" i="111"/>
  <c r="L52" i="136"/>
  <c r="L52" i="135"/>
  <c r="J71" i="136"/>
  <c r="L53" i="131"/>
  <c r="L48" i="116"/>
  <c r="C15" i="143"/>
  <c r="H15" i="143" s="1"/>
  <c r="B38" i="140"/>
  <c r="G38" i="140" s="1"/>
  <c r="L49" i="138"/>
  <c r="C36" i="143"/>
  <c r="H36" i="143" s="1"/>
  <c r="C26" i="143"/>
  <c r="H26" i="143" s="1"/>
  <c r="D37" i="141"/>
  <c r="J37" i="141" s="1"/>
  <c r="D28" i="141"/>
  <c r="J28" i="141" s="1"/>
  <c r="C21" i="140"/>
  <c r="H21" i="140" s="1"/>
  <c r="C17" i="140"/>
  <c r="H17" i="140" s="1"/>
  <c r="B26" i="142"/>
  <c r="G26" i="142" s="1"/>
  <c r="G50" i="125"/>
  <c r="L50" i="125" s="1"/>
  <c r="D61" i="125"/>
  <c r="G51" i="125"/>
  <c r="B24" i="142"/>
  <c r="G24" i="142" s="1"/>
  <c r="B22" i="142"/>
  <c r="D22" i="142" s="1"/>
  <c r="B20" i="142"/>
  <c r="G20" i="142" s="1"/>
  <c r="C17" i="34"/>
  <c r="H17" i="34" s="1"/>
  <c r="B17" i="142"/>
  <c r="D17" i="142" s="1"/>
  <c r="D61" i="115"/>
  <c r="L51" i="115"/>
  <c r="C12" i="140"/>
  <c r="H12" i="140" s="1"/>
  <c r="H74" i="110"/>
  <c r="C33" i="140"/>
  <c r="H33" i="140" s="1"/>
  <c r="L56" i="132"/>
  <c r="G51" i="130"/>
  <c r="C30" i="141" s="1"/>
  <c r="L51" i="127"/>
  <c r="F61" i="125"/>
  <c r="B24" i="140"/>
  <c r="D24" i="140" s="1"/>
  <c r="L49" i="124"/>
  <c r="B23" i="143"/>
  <c r="D23" i="143" s="1"/>
  <c r="L53" i="122"/>
  <c r="B21" i="140"/>
  <c r="D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L56" i="116"/>
  <c r="F61" i="115"/>
  <c r="F61" i="114"/>
  <c r="B14" i="143"/>
  <c r="D14" i="143" s="1"/>
  <c r="D61" i="114"/>
  <c r="G51" i="114"/>
  <c r="L50" i="114"/>
  <c r="L53" i="113"/>
  <c r="L47" i="113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L49" i="128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J71" i="137"/>
  <c r="D61" i="135"/>
  <c r="H74" i="135"/>
  <c r="F61" i="135"/>
  <c r="L52" i="134"/>
  <c r="L52" i="133"/>
  <c r="G46" i="133"/>
  <c r="B33" i="34" s="1"/>
  <c r="G33" i="34" s="1"/>
  <c r="L52" i="13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E39" i="109" s="1"/>
  <c r="B58" i="40"/>
  <c r="J58" i="40" s="1"/>
  <c r="G20" i="143"/>
  <c r="G18" i="140"/>
  <c r="D18" i="140"/>
  <c r="G18" i="142"/>
  <c r="D18" i="142"/>
  <c r="G16" i="140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I14" i="141"/>
  <c r="E14" i="141"/>
  <c r="G13" i="140"/>
  <c r="D13" i="140"/>
  <c r="G13" i="142"/>
  <c r="D13" i="142"/>
  <c r="I13" i="141"/>
  <c r="E13" i="141"/>
  <c r="G12" i="140"/>
  <c r="D12" i="140"/>
  <c r="G12" i="143"/>
  <c r="D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G38" i="142"/>
  <c r="D38" i="142"/>
  <c r="G38" i="143"/>
  <c r="G37" i="142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51" i="13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5" i="140"/>
  <c r="D25" i="140"/>
  <c r="G25" i="142"/>
  <c r="G24" i="140"/>
  <c r="G24" i="143"/>
  <c r="D24" i="143"/>
  <c r="I24" i="141"/>
  <c r="E24" i="141"/>
  <c r="G23" i="140"/>
  <c r="D23" i="140"/>
  <c r="G22" i="140"/>
  <c r="D22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A80" i="40"/>
  <c r="AA81" i="40"/>
  <c r="AA82" i="40"/>
  <c r="AA83" i="40"/>
  <c r="AA84" i="40"/>
  <c r="AA85" i="40"/>
  <c r="AA86" i="40"/>
  <c r="AA87" i="40"/>
  <c r="AA88" i="40"/>
  <c r="AA89" i="40"/>
  <c r="AA90" i="40"/>
  <c r="AA91" i="40"/>
  <c r="AA92" i="40"/>
  <c r="AA93" i="40"/>
  <c r="AA94" i="40"/>
  <c r="AA95" i="40"/>
  <c r="AA96" i="40"/>
  <c r="AA97" i="40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D38" i="140" l="1"/>
  <c r="B32" i="143"/>
  <c r="B40" i="143" s="1"/>
  <c r="D20" i="143"/>
  <c r="G27" i="143"/>
  <c r="G22" i="142"/>
  <c r="D17" i="140"/>
  <c r="C17" i="141"/>
  <c r="C11" i="141"/>
  <c r="D36" i="143"/>
  <c r="D32" i="34"/>
  <c r="B21" i="141"/>
  <c r="E21" i="141" s="1"/>
  <c r="L51" i="120"/>
  <c r="L50" i="119"/>
  <c r="B17" i="141"/>
  <c r="I17" i="141" s="1"/>
  <c r="D15" i="143"/>
  <c r="D14" i="142"/>
  <c r="L51" i="112"/>
  <c r="D10" i="140"/>
  <c r="L50" i="128"/>
  <c r="B25" i="141"/>
  <c r="I25" i="141" s="1"/>
  <c r="C25" i="141"/>
  <c r="L51" i="125"/>
  <c r="G23" i="142"/>
  <c r="L49" i="122"/>
  <c r="L51" i="121"/>
  <c r="C19" i="141"/>
  <c r="E19" i="141"/>
  <c r="L51" i="118"/>
  <c r="G17" i="140"/>
  <c r="G10" i="34"/>
  <c r="D39" i="143"/>
  <c r="L46" i="127"/>
  <c r="G64" i="127"/>
  <c r="G61" i="127"/>
  <c r="D22" i="143"/>
  <c r="G61" i="112"/>
  <c r="L61" i="112" s="1"/>
  <c r="G32" i="34"/>
  <c r="G23" i="143"/>
  <c r="G18" i="143"/>
  <c r="D17" i="34"/>
  <c r="H74" i="137"/>
  <c r="L46" i="136"/>
  <c r="J71" i="135"/>
  <c r="L46" i="135"/>
  <c r="D33" i="34"/>
  <c r="L50" i="133"/>
  <c r="AC97" i="40"/>
  <c r="AC95" i="40"/>
  <c r="AC93" i="40"/>
  <c r="AC91" i="40"/>
  <c r="AC89" i="40"/>
  <c r="AC87" i="40"/>
  <c r="AC85" i="40"/>
  <c r="AC83" i="40"/>
  <c r="AC81" i="40"/>
  <c r="AC79" i="40"/>
  <c r="I71" i="135"/>
  <c r="G21" i="140"/>
  <c r="D24" i="142"/>
  <c r="D26" i="142"/>
  <c r="G17" i="142"/>
  <c r="I18" i="141"/>
  <c r="D19" i="140"/>
  <c r="D20" i="142"/>
  <c r="L46" i="132"/>
  <c r="L51" i="132"/>
  <c r="G74" i="131"/>
  <c r="G31" i="34"/>
  <c r="L51" i="130"/>
  <c r="C22" i="141"/>
  <c r="G14" i="34"/>
  <c r="C13" i="141"/>
  <c r="D12" i="142"/>
  <c r="J71" i="110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L61" i="127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D12" i="34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6"/>
  <c r="I71" i="136"/>
  <c r="G74" i="135"/>
  <c r="G74" i="134"/>
  <c r="G74" i="132"/>
  <c r="I71" i="132"/>
  <c r="G74" i="128"/>
  <c r="I71" i="128"/>
  <c r="G74" i="126"/>
  <c r="G74" i="124"/>
  <c r="I71" i="124"/>
  <c r="G74" i="122"/>
  <c r="I71" i="119"/>
  <c r="G74" i="118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G64" i="138" l="1"/>
  <c r="L64" i="138" s="1"/>
  <c r="G64" i="137"/>
  <c r="L64" i="137" s="1"/>
  <c r="G64" i="136"/>
  <c r="L64" i="136" s="1"/>
  <c r="G32" i="143"/>
  <c r="D32" i="143"/>
  <c r="G58" i="40"/>
  <c r="L58" i="40" s="1"/>
  <c r="G64" i="112"/>
  <c r="L64" i="112" s="1"/>
  <c r="AC98" i="40"/>
  <c r="I71" i="131"/>
  <c r="G74" i="127"/>
  <c r="G64" i="124"/>
  <c r="L64" i="124" s="1"/>
  <c r="G18" i="34"/>
  <c r="D16" i="34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L64" i="127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D9" i="143"/>
  <c r="F52" i="40"/>
  <c r="F61" i="40" s="1"/>
  <c r="B65" i="40"/>
  <c r="B71" i="40" s="1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D40" i="143" l="1"/>
  <c r="L50" i="40"/>
  <c r="B9" i="141"/>
  <c r="B40" i="141" s="1"/>
  <c r="D40" i="141"/>
  <c r="J9" i="141"/>
  <c r="C40" i="142"/>
  <c r="H9" i="142"/>
  <c r="L51" i="40"/>
  <c r="C9" i="141"/>
  <c r="C40" i="141" s="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0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12.00 RECARGA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112.20 pago sr alirio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 Alirio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289.98 pago sr Alirio</t>
        </r>
      </text>
    </comment>
    <comment ref="R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177.78 pago sr alirio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140.40págo sr Alirio//
 600 recargas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170.40 pago sr Alirio</t>
        </r>
      </text>
    </comment>
    <comment ref="R73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170.40 pago sr Alirio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5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452.94
pago xiomara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sin cierre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sra xiomara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452.94 pago sra xuiomara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7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3000 pago cristobal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de cristobal
</t>
        </r>
      </text>
    </comment>
    <comment ref="J49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sr Cristobal 3.000 /*/ pago sr Alirio 142.50</t>
        </r>
      </text>
    </comment>
    <comment ref="R73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142.50 pago sr Alirio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fondo</t>
        </r>
      </text>
    </comment>
    <comment ref="Q103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24.00 recarga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 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</t>
        </r>
      </text>
    </comment>
    <comment ref="R72" authorId="1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257.85 pago sr Alirio 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hay un faltante de 20$ en caja 8t y sobran en la caja 1m un pago de cristobal de 3000u uno del sr alirio de 260.10</t>
        </r>
      </text>
    </comment>
    <comment ref="R74" authorId="2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araastro el pin pap del dia anterios
=2309.69 buscar este monto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cristobal 3.100.00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0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18 recarga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Tesoreria-pc</author>
    <author>NEW-PC</author>
    <author>Usuario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3.500 bs pago cristobal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 cristobal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de 3.500 pago de cristobal</t>
        </r>
      </text>
    </comment>
    <comment ref="Q102" authorId="0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14.00 recarga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Tesoreria-pc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0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74.50 pago sra xiomara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pagos de sra brenda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74.50 pago sra xiomara //  280.94
pago sra brenda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1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pago de la sra brenda y sra xiomara 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<sst xmlns="http://schemas.openxmlformats.org/spreadsheetml/2006/main" count="7269" uniqueCount="292">
  <si>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</si>
  <si>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</si>
  <si>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</si>
  <si>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</si>
  <si>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</si>
  <si>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</si>
  <si>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</si>
  <si>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</si>
  <si>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</si>
  <si>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</si>
  <si>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</si>
  <si>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</si>
  <si>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</si>
  <si>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</si>
  <si>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</si>
  <si>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</si>
  <si>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</si>
  <si>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</si>
  <si>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</si>
  <si>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</si>
  <si>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</si>
  <si>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</si>
  <si>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</si>
  <si>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</si>
  <si>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</si>
  <si>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</si>
  <si>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</si>
  <si>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</si>
  <si>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</si>
  <si>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</si>
  <si>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</si>
  <si>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</si>
  <si>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</si>
  <si>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</si>
  <si>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</si>
  <si>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</si>
  <si>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</si>
  <si>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</si>
  <si>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</si>
  <si>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</si>
  <si>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</si>
  <si>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</si>
  <si>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</si>
  <si>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</si>
  <si>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</si>
  <si>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</si>
  <si>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</si>
  <si>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</si>
  <si>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</si>
  <si>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</si>
  <si>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</si>
  <si>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</si>
  <si>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</si>
  <si>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</si>
  <si>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</si>
  <si>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</si>
  <si>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</si>
  <si>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</si>
  <si>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</si>
  <si>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</si>
  <si>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</si>
  <si>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</si>
  <si>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</si>
  <si>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</si>
  <si>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</si>
  <si>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</si>
  <si>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</si>
  <si>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</si>
  <si>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</si>
  <si>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</si>
  <si>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</si>
  <si>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</si>
  <si>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</si>
  <si>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</si>
  <si>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</si>
  <si>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</si>
  <si>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</si>
  <si>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</si>
  <si>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</si>
  <si>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</si>
  <si>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</si>
  <si>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</si>
  <si>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</si>
  <si>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</si>
  <si>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</si>
  <si>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</si>
  <si>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</si>
  <si>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</si>
  <si>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</si>
  <si>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</si>
  <si>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</si>
  <si>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</si>
  <si>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</si>
  <si>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</si>
  <si>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</si>
  <si>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</si>
  <si>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</si>
  <si>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</si>
  <si>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</si>
  <si>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</si>
  <si>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</si>
  <si>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</si>
  <si>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</si>
  <si>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</si>
  <si>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</si>
  <si>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</si>
  <si>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</si>
  <si>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</si>
  <si>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</si>
  <si>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</si>
  <si>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</si>
  <si>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</si>
  <si>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</si>
  <si>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</si>
  <si>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</si>
  <si>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</si>
  <si>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</si>
  <si>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</si>
  <si>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</si>
  <si>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</si>
  <si>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</si>
  <si>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</si>
  <si>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</si>
  <si>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</si>
  <si>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</si>
  <si>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</si>
  <si>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</si>
  <si>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</si>
  <si>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</si>
  <si>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</si>
  <si>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</si>
  <si>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</si>
  <si>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</si>
  <si>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</si>
  <si>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</si>
  <si>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</si>
  <si>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</si>
  <si>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</si>
  <si>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</si>
  <si>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</si>
  <si>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</si>
  <si>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</si>
  <si>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</si>
  <si>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</si>
  <si>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</si>
  <si>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</si>
  <si>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</si>
  <si>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</si>
  <si>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</si>
  <si>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</si>
  <si>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</si>
  <si>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</si>
  <si>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</si>
  <si>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</si>
  <si>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</si>
  <si>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</si>
  <si>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</si>
  <si>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</si>
  <si>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</si>
  <si>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</si>
  <si>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</si>
  <si>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</si>
  <si>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</si>
  <si>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</si>
  <si>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</si>
  <si>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</si>
  <si>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</si>
  <si>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 xml:space="preserve">BANCRECER EVORA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</si>
  <si>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</si>
  <si>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</si>
  <si>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</si>
  <si>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</si>
  <si>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</si>
  <si>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</si>
  <si>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</si>
  <si>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</si>
  <si>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</si>
  <si>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</si>
  <si>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</si>
  <si>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</si>
  <si>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 xml:space="preserve">CRED.BANCAMIGA </t>
  </si>
  <si>
    <t>VENEZUELA MODELO</t>
  </si>
  <si>
    <t xml:space="preserve">bancrecer evora </t>
  </si>
  <si>
    <t>RESUMEN BANCRECER</t>
  </si>
  <si>
    <t>CRE.BANCRECER</t>
  </si>
  <si>
    <t xml:space="preserve">pago movil </t>
  </si>
  <si>
    <t>BANESCO express.</t>
  </si>
  <si>
    <t>DEB. Bancrecer</t>
  </si>
  <si>
    <t xml:space="preserve">DEB.BANCAMIGA </t>
  </si>
  <si>
    <t>BANESCO express</t>
  </si>
  <si>
    <t>PROVINCIAL MODELO</t>
  </si>
  <si>
    <t>HIPERMODELO</t>
  </si>
  <si>
    <t>hipermodelo</t>
  </si>
  <si>
    <t>PAGO MOVIL BANCRECER</t>
  </si>
  <si>
    <t xml:space="preserve">PROVINCIAL </t>
  </si>
  <si>
    <t>TOTAL Pago movil</t>
  </si>
  <si>
    <t xml:space="preserve">TOTAL bancrecer </t>
  </si>
  <si>
    <t>pago m bancrecer modelo</t>
  </si>
  <si>
    <t>PAGO M bancrecer mode.</t>
  </si>
  <si>
    <t>BANCamiga modelo</t>
  </si>
  <si>
    <t>DEB. Bancamiga</t>
  </si>
  <si>
    <t>PAGO MOVIL bancrecer</t>
  </si>
  <si>
    <t>p.movil bancrecer modelo</t>
  </si>
  <si>
    <t xml:space="preserve">DEB.BANCamiga </t>
  </si>
  <si>
    <t>CRED. BANCamiga</t>
  </si>
  <si>
    <t>DEB.BANCAMIGA</t>
  </si>
  <si>
    <t>PAGPO MOVIL</t>
  </si>
  <si>
    <t>BANCAMIGA</t>
  </si>
  <si>
    <t>pago movil BANCRECER</t>
  </si>
  <si>
    <t>CRED. BANCAMIGA</t>
  </si>
  <si>
    <t>BANCAMIGA MODELO</t>
  </si>
  <si>
    <t>pago movil MODELO</t>
  </si>
  <si>
    <t xml:space="preserve">CRED. BANCAMIGA </t>
  </si>
  <si>
    <t>DEB. BANCAMIGA</t>
  </si>
  <si>
    <t>BANCAMIGA modelo</t>
  </si>
  <si>
    <t>CRED.BANCAMIGA</t>
  </si>
  <si>
    <t>PAGO M BCRECER MODELO</t>
  </si>
  <si>
    <t>bancamiga modelo</t>
  </si>
  <si>
    <t>PAGO m bancrecer modelo</t>
  </si>
  <si>
    <t>CRED. Bancamiga</t>
  </si>
  <si>
    <t>pago m. bancrecer modelo</t>
  </si>
  <si>
    <t>PAGO M EXPRESS modelo</t>
  </si>
  <si>
    <t>PROVINCIAL modelo</t>
  </si>
  <si>
    <t>PAGO MOVIL MODELO</t>
  </si>
  <si>
    <t>pago mBANCRECEF MODELO</t>
  </si>
  <si>
    <t>pago m bcrecer modelo</t>
  </si>
  <si>
    <t>PAGO m bcrecer modelo</t>
  </si>
  <si>
    <t xml:space="preserve">BANCamiga modelo </t>
  </si>
  <si>
    <t>PAGO M bcrecer modelo</t>
  </si>
  <si>
    <t xml:space="preserve">BCAMIGA HIPERMODELO </t>
  </si>
  <si>
    <t>Bancamiga modelo</t>
  </si>
  <si>
    <t>pmovil bcrecer modelo</t>
  </si>
  <si>
    <t>DEB. BANcamiga</t>
  </si>
  <si>
    <t xml:space="preserve">hipermercado </t>
  </si>
  <si>
    <t>pago movil hipermodelo</t>
  </si>
  <si>
    <t>pago movil bancrecer</t>
  </si>
  <si>
    <t>BANCamiga hipermodelo</t>
  </si>
  <si>
    <t xml:space="preserve">DEB. BANCAMIGA </t>
  </si>
  <si>
    <t xml:space="preserve">CRED. Bancamiga </t>
  </si>
  <si>
    <t xml:space="preserve">PAGO MOVIL BCRCER </t>
  </si>
  <si>
    <t>PAGO MOVIL modelo</t>
  </si>
  <si>
    <t>PERIODICO</t>
  </si>
  <si>
    <t>pago movil modelo bcrecer</t>
  </si>
  <si>
    <t>pago m express</t>
  </si>
  <si>
    <t>PAGO M express</t>
  </si>
  <si>
    <t>PAGO m banesco</t>
  </si>
  <si>
    <t>bancrecer modelo modelo</t>
  </si>
  <si>
    <t>bancrecer MODELO</t>
  </si>
  <si>
    <t xml:space="preserve">bancamiga </t>
  </si>
  <si>
    <t>pago movil bancrecer m</t>
  </si>
  <si>
    <t xml:space="preserve">HIPERMODELO </t>
  </si>
  <si>
    <t>pago m. BANCRECER MODELO</t>
  </si>
  <si>
    <t>RECARGAS</t>
  </si>
  <si>
    <t>PAGO MOVIL BANCRECER M</t>
  </si>
  <si>
    <t>recargas</t>
  </si>
  <si>
    <t>PROVINCIAL express</t>
  </si>
  <si>
    <t>BANCrecer modelo</t>
  </si>
  <si>
    <t>periodico</t>
  </si>
  <si>
    <t>recarga</t>
  </si>
  <si>
    <t>periodicos</t>
  </si>
  <si>
    <t>PAGO M EXPRESS BANESCO</t>
  </si>
  <si>
    <t>PAGO MOVIL BANESCO</t>
  </si>
  <si>
    <t>pago m banesco</t>
  </si>
  <si>
    <t>Recargas</t>
  </si>
  <si>
    <t>136//85</t>
  </si>
  <si>
    <t>133//16</t>
  </si>
  <si>
    <t>20//129</t>
  </si>
  <si>
    <t>66//138</t>
  </si>
  <si>
    <t>21//144</t>
  </si>
  <si>
    <t>2465//5088</t>
  </si>
  <si>
    <t>146//92</t>
  </si>
  <si>
    <t>91/153</t>
  </si>
  <si>
    <t>98//99</t>
  </si>
  <si>
    <t>1//163</t>
  </si>
  <si>
    <t>101//166</t>
  </si>
  <si>
    <t>167//102</t>
  </si>
  <si>
    <t>161//103</t>
  </si>
  <si>
    <t>170//171</t>
  </si>
  <si>
    <t>24//172</t>
  </si>
  <si>
    <t>25//167</t>
  </si>
  <si>
    <t>4//17</t>
  </si>
  <si>
    <t>169//176</t>
  </si>
  <si>
    <t>170//177</t>
  </si>
  <si>
    <t>172//108</t>
  </si>
  <si>
    <t>26//174</t>
  </si>
  <si>
    <t>109//181</t>
  </si>
  <si>
    <t>182//183</t>
  </si>
  <si>
    <t>7//29</t>
  </si>
  <si>
    <t>keyla rangel</t>
  </si>
  <si>
    <t>6880/1803</t>
  </si>
  <si>
    <t>3070/4573</t>
  </si>
  <si>
    <t>Pago 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</si>
</sst>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  <numFmt numFmtId="172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4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3" borderId="1" xfId="2" applyFont="1" applyFill="1" applyBorder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3" borderId="1" xfId="2" applyFont="1" applyFill="1" applyBorder="1" applyProtection="1"/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172" fontId="0" fillId="0" borderId="1" xfId="2" applyNumberFormat="1" applyFont="1" applyBorder="1" applyProtection="1">
      <protection locked="0"/>
    </xf>
    <xf numFmtId="0" fontId="0" fillId="6" borderId="1" xfId="0" applyFill="1" applyBorder="1" applyProtection="1">
      <protection locked="0"/>
    </xf>
    <xf numFmtId="43" fontId="0" fillId="3" borderId="0" xfId="2" applyFont="1" applyFill="1" applyProtection="1">
      <protection locked="0"/>
    </xf>
    <xf numFmtId="169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14" fillId="6" borderId="1" xfId="2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  <xf numFmtId="43" fontId="0" fillId="10" borderId="1" xfId="2" applyFont="1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16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43" fontId="0" fillId="3" borderId="0" xfId="2" applyFont="1" applyFill="1" applyProtection="1"/>
    <xf numFmtId="0" fontId="9" fillId="0" borderId="0" xfId="0" applyFont="1" applyProtection="1">
      <protection locked="0"/>
    </xf>
    <xf numFmtId="43" fontId="0" fillId="15" borderId="1" xfId="2" applyFont="1" applyFill="1" applyBorder="1" applyProtection="1"/>
    <xf numFmtId="0" fontId="16" fillId="13" borderId="1" xfId="0" applyFont="1" applyFill="1" applyBorder="1" applyAlignment="1" applyProtection="1">
      <alignment horizontal="center"/>
      <protection locked="0"/>
    </xf>
    <xf numFmtId="43" fontId="0" fillId="13" borderId="1" xfId="2" applyFont="1" applyFill="1" applyBorder="1" applyProtection="1">
      <protection locked="0"/>
    </xf>
    <xf numFmtId="0" fontId="0" fillId="0" borderId="1" xfId="0" applyNumberFormat="1" applyBorder="1" applyProtection="1"/>
    <xf numFmtId="43" fontId="0" fillId="16" borderId="1" xfId="2" applyFont="1" applyFill="1" applyBorder="1" applyProtection="1"/>
    <xf numFmtId="43" fontId="0" fillId="0" borderId="0" xfId="2" applyFont="1" applyProtection="1">
      <protection locked="0"/>
    </xf>
    <xf numFmtId="0" fontId="16" fillId="15" borderId="1" xfId="0" applyFon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/>
      <protection locked="0"/>
    </xf>
    <xf numFmtId="43" fontId="11" fillId="15" borderId="1" xfId="2" applyFont="1" applyFill="1" applyBorder="1" applyProtection="1"/>
    <xf numFmtId="43" fontId="11" fillId="7" borderId="1" xfId="2" applyFont="1" applyFill="1" applyBorder="1" applyProtection="1"/>
    <xf numFmtId="0" fontId="0" fillId="15" borderId="1" xfId="0" applyFill="1" applyBorder="1" applyProtection="1"/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35564.019999999997</c:v>
                </c:pt>
                <c:pt idx="1">
                  <c:v>38695.120000000003</c:v>
                </c:pt>
                <c:pt idx="2">
                  <c:v>33840.01</c:v>
                </c:pt>
                <c:pt idx="3">
                  <c:v>25358.2</c:v>
                </c:pt>
                <c:pt idx="4">
                  <c:v>28651.53</c:v>
                </c:pt>
                <c:pt idx="5">
                  <c:v>23693.97</c:v>
                </c:pt>
                <c:pt idx="6">
                  <c:v>26079.83</c:v>
                </c:pt>
                <c:pt idx="7">
                  <c:v>37</c:v>
                </c:pt>
                <c:pt idx="8">
                  <c:v>41624.949999999997</c:v>
                </c:pt>
                <c:pt idx="9">
                  <c:v>33849.21</c:v>
                </c:pt>
                <c:pt idx="10">
                  <c:v>26696.85</c:v>
                </c:pt>
                <c:pt idx="11">
                  <c:v>23914.78</c:v>
                </c:pt>
                <c:pt idx="12">
                  <c:v>23638.89</c:v>
                </c:pt>
                <c:pt idx="13">
                  <c:v>29198.07</c:v>
                </c:pt>
                <c:pt idx="14">
                  <c:v>37909.4</c:v>
                </c:pt>
                <c:pt idx="15">
                  <c:v>42833.86</c:v>
                </c:pt>
                <c:pt idx="16">
                  <c:v>36551.360000000001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28678.77</c:v>
                </c:pt>
                <c:pt idx="28">
                  <c:v>41466.720000000001</c:v>
                </c:pt>
                <c:pt idx="29">
                  <c:v>42114.86</c:v>
                </c:pt>
                <c:pt idx="30">
                  <c:v>34058.67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823488"/>
        <c:axId val="153825280"/>
        <c:axId val="0"/>
      </c:bar3DChart>
      <c:catAx>
        <c:axId val="15382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825280"/>
        <c:crosses val="autoZero"/>
        <c:auto val="1"/>
        <c:lblAlgn val="ctr"/>
        <c:lblOffset val="100"/>
        <c:noMultiLvlLbl val="0"/>
      </c:catAx>
      <c:valAx>
        <c:axId val="153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35564.019999999997</c:v>
                </c:pt>
                <c:pt idx="1">
                  <c:v>38695.120000000003</c:v>
                </c:pt>
                <c:pt idx="2">
                  <c:v>33840.01</c:v>
                </c:pt>
                <c:pt idx="3">
                  <c:v>25358.2</c:v>
                </c:pt>
                <c:pt idx="4">
                  <c:v>28651.53</c:v>
                </c:pt>
                <c:pt idx="5">
                  <c:v>23693.97</c:v>
                </c:pt>
                <c:pt idx="6">
                  <c:v>26079.83</c:v>
                </c:pt>
                <c:pt idx="7">
                  <c:v>37</c:v>
                </c:pt>
                <c:pt idx="8">
                  <c:v>41624.949999999997</c:v>
                </c:pt>
                <c:pt idx="9">
                  <c:v>33849.21</c:v>
                </c:pt>
                <c:pt idx="10">
                  <c:v>26696.85</c:v>
                </c:pt>
                <c:pt idx="11">
                  <c:v>23914.78</c:v>
                </c:pt>
                <c:pt idx="12">
                  <c:v>23638.89</c:v>
                </c:pt>
                <c:pt idx="13">
                  <c:v>29198.07</c:v>
                </c:pt>
                <c:pt idx="14">
                  <c:v>37909.4</c:v>
                </c:pt>
                <c:pt idx="15">
                  <c:v>42833.86</c:v>
                </c:pt>
                <c:pt idx="16">
                  <c:v>36551.360000000001</c:v>
                </c:pt>
                <c:pt idx="17">
                  <c:v>21858.13</c:v>
                </c:pt>
                <c:pt idx="18">
                  <c:v>24736.87</c:v>
                </c:pt>
                <c:pt idx="19">
                  <c:v>27600.240000000002</c:v>
                </c:pt>
                <c:pt idx="20">
                  <c:v>30931.919999999998</c:v>
                </c:pt>
                <c:pt idx="21">
                  <c:v>67088.73</c:v>
                </c:pt>
                <c:pt idx="22">
                  <c:v>37876.82</c:v>
                </c:pt>
                <c:pt idx="23">
                  <c:v>0</c:v>
                </c:pt>
                <c:pt idx="24">
                  <c:v>26359.52</c:v>
                </c:pt>
                <c:pt idx="25">
                  <c:v>0</c:v>
                </c:pt>
                <c:pt idx="26">
                  <c:v>25380.71</c:v>
                </c:pt>
                <c:pt idx="27">
                  <c:v>28678.77</c:v>
                </c:pt>
                <c:pt idx="28">
                  <c:v>41466.720000000001</c:v>
                </c:pt>
                <c:pt idx="29">
                  <c:v>42114.86</c:v>
                </c:pt>
                <c:pt idx="30">
                  <c:v>34058.67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858816"/>
        <c:axId val="153860736"/>
      </c:lineChart>
      <c:catAx>
        <c:axId val="1538588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860736"/>
        <c:crosses val="autoZero"/>
        <c:auto val="1"/>
        <c:lblAlgn val="ctr"/>
        <c:lblOffset val="100"/>
        <c:noMultiLvlLbl val="0"/>
      </c:catAx>
      <c:valAx>
        <c:axId val="15386073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385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959040"/>
        <c:axId val="181223808"/>
        <c:axId val="0"/>
      </c:bar3DChart>
      <c:catAx>
        <c:axId val="1539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23808"/>
        <c:crosses val="autoZero"/>
        <c:auto val="1"/>
        <c:lblAlgn val="ctr"/>
        <c:lblOffset val="100"/>
        <c:noMultiLvlLbl val="0"/>
      </c:catAx>
      <c:valAx>
        <c:axId val="1812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395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502656"/>
        <c:axId val="154504576"/>
      </c:lineChart>
      <c:catAx>
        <c:axId val="15450265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4504576"/>
        <c:crosses val="autoZero"/>
        <c:auto val="1"/>
        <c:lblAlgn val="ctr"/>
        <c:lblOffset val="100"/>
        <c:noMultiLvlLbl val="0"/>
      </c:catAx>
      <c:valAx>
        <c:axId val="154504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450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278208"/>
        <c:axId val="181279744"/>
        <c:axId val="0"/>
      </c:bar3DChart>
      <c:catAx>
        <c:axId val="181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79744"/>
        <c:crosses val="autoZero"/>
        <c:auto val="1"/>
        <c:lblAlgn val="ctr"/>
        <c:lblOffset val="100"/>
        <c:noMultiLvlLbl val="0"/>
      </c:catAx>
      <c:valAx>
        <c:axId val="18127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78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95360"/>
        <c:axId val="181305344"/>
      </c:barChart>
      <c:catAx>
        <c:axId val="18129536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305344"/>
        <c:crosses val="autoZero"/>
        <c:auto val="1"/>
        <c:lblAlgn val="ctr"/>
        <c:lblOffset val="100"/>
        <c:tickMarkSkip val="1"/>
        <c:noMultiLvlLbl val="0"/>
      </c:catAx>
      <c:valAx>
        <c:axId val="18130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129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65"/>
      <c r="B1" s="268"/>
      <c r="C1" s="269"/>
      <c r="D1" s="269"/>
      <c r="E1" s="269"/>
      <c r="F1" s="269"/>
      <c r="G1" s="270"/>
    </row>
    <row r="2" spans="1:9" s="43" customFormat="1" ht="16.5" customHeight="1" x14ac:dyDescent="0.35">
      <c r="A2" s="266"/>
      <c r="B2" s="271" t="s">
        <v>11</v>
      </c>
      <c r="C2" s="272"/>
      <c r="D2" s="272"/>
      <c r="E2" s="272"/>
      <c r="F2" s="272"/>
      <c r="G2" s="273"/>
    </row>
    <row r="3" spans="1:9" s="43" customFormat="1" ht="16.5" customHeight="1" x14ac:dyDescent="0.25">
      <c r="A3" s="267"/>
      <c r="B3" s="274" t="s">
        <v>33</v>
      </c>
      <c r="C3" s="275"/>
      <c r="D3" s="275"/>
      <c r="E3" s="275"/>
      <c r="F3" s="275"/>
      <c r="G3" s="276"/>
    </row>
    <row r="4" spans="1:9" x14ac:dyDescent="0.25">
      <c r="A4" s="277" t="s">
        <v>50</v>
      </c>
      <c r="B4" s="277"/>
      <c r="C4" s="277"/>
      <c r="D4" s="277"/>
      <c r="E4" s="277"/>
      <c r="F4" s="277"/>
      <c r="G4" s="277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>
        <f>'DIA 1'!B$6</f>
        <v>44743</v>
      </c>
      <c r="B8" s="199">
        <f>'DIA 1'!B68</f>
        <v>35564.019999999997</v>
      </c>
      <c r="C8" s="199">
        <f>'DIA 1'!B69</f>
        <v>35936.160000000003</v>
      </c>
      <c r="D8" s="199">
        <f>C8-B8</f>
        <v>372.14000000000669</v>
      </c>
    </row>
    <row r="9" spans="1:9" x14ac:dyDescent="0.25">
      <c r="A9" s="46">
        <f>'DIA 2'!B$6</f>
        <v>44744</v>
      </c>
      <c r="B9" s="199">
        <f>'DIA 2'!B$68</f>
        <v>38695.120000000003</v>
      </c>
      <c r="C9" s="199">
        <f>'DIA 2'!B$69</f>
        <v>39134.720000000001</v>
      </c>
      <c r="D9" s="199">
        <f t="shared" ref="D9:D38" si="0">C9-B9</f>
        <v>439.59999999999854</v>
      </c>
    </row>
    <row r="10" spans="1:9" x14ac:dyDescent="0.25">
      <c r="A10" s="46">
        <f>'DIA 3'!B$6</f>
        <v>44745</v>
      </c>
      <c r="B10" s="199">
        <f>'DIA 3'!B$68</f>
        <v>33840.01</v>
      </c>
      <c r="C10" s="199">
        <f>'DIA 3'!B$69</f>
        <v>34242.9</v>
      </c>
      <c r="D10" s="199">
        <f t="shared" si="0"/>
        <v>402.88999999999942</v>
      </c>
    </row>
    <row r="11" spans="1:9" x14ac:dyDescent="0.25">
      <c r="A11" s="46">
        <f>'DIA 4'!B$6</f>
        <v>44746</v>
      </c>
      <c r="B11" s="199">
        <f>'DIA 4'!B$68</f>
        <v>25358.2</v>
      </c>
      <c r="C11" s="199">
        <f>'DIA 4'!B$69</f>
        <v>25637.68</v>
      </c>
      <c r="D11" s="199">
        <f t="shared" si="0"/>
        <v>279.47999999999956</v>
      </c>
    </row>
    <row r="12" spans="1:9" x14ac:dyDescent="0.25">
      <c r="A12" s="46">
        <f>'DIA 5'!B$6</f>
        <v>44747</v>
      </c>
      <c r="B12" s="199">
        <f>'DIA 5'!B$68</f>
        <v>28651.53</v>
      </c>
      <c r="C12" s="199">
        <f>'DIA 5'!B$69</f>
        <v>29023.73</v>
      </c>
      <c r="D12" s="199">
        <f t="shared" si="0"/>
        <v>372.20000000000073</v>
      </c>
    </row>
    <row r="13" spans="1:9" x14ac:dyDescent="0.25">
      <c r="A13" s="46">
        <f>'DIA 6'!B$6</f>
        <v>44748</v>
      </c>
      <c r="B13" s="199">
        <f>'DIA 6'!B$68</f>
        <v>23693.97</v>
      </c>
      <c r="C13" s="199">
        <f>'DIA 6'!B$69</f>
        <v>23951.85</v>
      </c>
      <c r="D13" s="199">
        <f t="shared" si="0"/>
        <v>257.87999999999738</v>
      </c>
    </row>
    <row r="14" spans="1:9" x14ac:dyDescent="0.25">
      <c r="A14" s="46">
        <f>'DIA 7'!B$6</f>
        <v>44749</v>
      </c>
      <c r="B14" s="199">
        <f>'DIA 7'!B$68</f>
        <v>26079.83</v>
      </c>
      <c r="C14" s="199">
        <f>'DIA 7'!B$69</f>
        <v>26342.97</v>
      </c>
      <c r="D14" s="199">
        <f t="shared" si="0"/>
        <v>263.13999999999942</v>
      </c>
    </row>
    <row r="15" spans="1:9" x14ac:dyDescent="0.25">
      <c r="A15" s="46">
        <f>'DIA 8'!B$6</f>
        <v>44750</v>
      </c>
      <c r="B15" s="199">
        <f>'DIA 8'!B$68</f>
        <v>37</v>
      </c>
      <c r="C15" s="199">
        <f>'DIA 8'!B$69</f>
        <v>37942.35</v>
      </c>
      <c r="D15" s="199">
        <f t="shared" si="0"/>
        <v>37905.35</v>
      </c>
    </row>
    <row r="16" spans="1:9" x14ac:dyDescent="0.25">
      <c r="A16" s="46">
        <f>'DIA 9'!B$6</f>
        <v>44751</v>
      </c>
      <c r="B16" s="199">
        <f>'DIA 9'!B$68</f>
        <v>41624.949999999997</v>
      </c>
      <c r="C16" s="199">
        <f>'DIA 9'!B$69</f>
        <v>42134.16</v>
      </c>
      <c r="D16" s="199">
        <f t="shared" si="0"/>
        <v>509.2100000000064</v>
      </c>
    </row>
    <row r="17" spans="1:4" x14ac:dyDescent="0.25">
      <c r="A17" s="46">
        <f>'DIA 10'!B$6</f>
        <v>44752</v>
      </c>
      <c r="B17" s="199">
        <f>'DIA 10'!B$68</f>
        <v>33849.21</v>
      </c>
      <c r="C17" s="199">
        <f>'DIA 10'!B$69</f>
        <v>34225.42</v>
      </c>
      <c r="D17" s="199">
        <f t="shared" si="0"/>
        <v>376.20999999999913</v>
      </c>
    </row>
    <row r="18" spans="1:4" x14ac:dyDescent="0.25">
      <c r="A18" s="46">
        <f>'DIA 11'!B$6</f>
        <v>44753</v>
      </c>
      <c r="B18" s="199">
        <f>'DIA 11'!B$68</f>
        <v>26696.85</v>
      </c>
      <c r="C18" s="199">
        <f>'DIA 11'!B$69</f>
        <v>27008.9</v>
      </c>
      <c r="D18" s="199">
        <f t="shared" si="0"/>
        <v>312.05000000000291</v>
      </c>
    </row>
    <row r="19" spans="1:4" x14ac:dyDescent="0.25">
      <c r="A19" s="46">
        <f>'DIA 12'!B$6</f>
        <v>44754</v>
      </c>
      <c r="B19" s="199">
        <f>'DIA 12'!B$68</f>
        <v>23914.78</v>
      </c>
      <c r="C19" s="199">
        <f>'DIA 12'!B$69</f>
        <v>24183.75</v>
      </c>
      <c r="D19" s="199">
        <f t="shared" si="0"/>
        <v>268.97000000000116</v>
      </c>
    </row>
    <row r="20" spans="1:4" x14ac:dyDescent="0.25">
      <c r="A20" s="46">
        <f>'DIA 13'!B$6</f>
        <v>44755</v>
      </c>
      <c r="B20" s="199">
        <f>'DIA 13'!B$68</f>
        <v>23638.89</v>
      </c>
      <c r="C20" s="199">
        <f>'DIA 13'!B$69</f>
        <v>23862.28</v>
      </c>
      <c r="D20" s="199">
        <f t="shared" si="0"/>
        <v>223.38999999999942</v>
      </c>
    </row>
    <row r="21" spans="1:4" x14ac:dyDescent="0.25">
      <c r="A21" s="46">
        <f>'DIA 14'!B$6</f>
        <v>44756</v>
      </c>
      <c r="B21" s="199">
        <f>'DIA 14'!B$68</f>
        <v>29198.07</v>
      </c>
      <c r="C21" s="199">
        <f>'DIA 14'!B$69</f>
        <v>29487.16</v>
      </c>
      <c r="D21" s="199">
        <f t="shared" si="0"/>
        <v>289.09000000000015</v>
      </c>
    </row>
    <row r="22" spans="1:4" x14ac:dyDescent="0.25">
      <c r="A22" s="46">
        <f>'DIA 15'!B$6</f>
        <v>44757</v>
      </c>
      <c r="B22" s="199">
        <f>'DIA 15'!B$68</f>
        <v>37909.4</v>
      </c>
      <c r="C22" s="199">
        <f>'DIA 15'!B$69</f>
        <v>38289.56</v>
      </c>
      <c r="D22" s="199">
        <f t="shared" si="0"/>
        <v>380.15999999999622</v>
      </c>
    </row>
    <row r="23" spans="1:4" x14ac:dyDescent="0.25">
      <c r="A23" s="46">
        <f>'DIA 16'!B$6</f>
        <v>44728</v>
      </c>
      <c r="B23" s="199">
        <f>'DIA 16'!B$68</f>
        <v>42833.86</v>
      </c>
      <c r="C23" s="199">
        <f>'DIA 16'!B$69</f>
        <v>43394.68</v>
      </c>
      <c r="D23" s="199">
        <f t="shared" si="0"/>
        <v>560.81999999999971</v>
      </c>
    </row>
    <row r="24" spans="1:4" x14ac:dyDescent="0.25">
      <c r="A24" s="46">
        <f>'DIA 17'!B$6</f>
        <v>44759</v>
      </c>
      <c r="B24" s="199">
        <f>'DIA 17'!B$68</f>
        <v>36551.360000000001</v>
      </c>
      <c r="C24" s="199">
        <f>'DIA 17'!B$69</f>
        <v>36995.19</v>
      </c>
      <c r="D24" s="199">
        <f t="shared" si="0"/>
        <v>443.83000000000175</v>
      </c>
    </row>
    <row r="25" spans="1:4" x14ac:dyDescent="0.25">
      <c r="A25" s="46">
        <f>'DIA 18'!B$6</f>
        <v>44760</v>
      </c>
      <c r="B25" s="199">
        <f>'DIA 18'!B$68</f>
        <v>21858.13</v>
      </c>
      <c r="C25" s="199">
        <f>'DIA 18'!B$69</f>
        <v>22070.98</v>
      </c>
      <c r="D25" s="199">
        <f t="shared" si="0"/>
        <v>212.84999999999854</v>
      </c>
    </row>
    <row r="26" spans="1:4" x14ac:dyDescent="0.25">
      <c r="A26" s="46">
        <f>'DIA 19'!B$6</f>
        <v>44761</v>
      </c>
      <c r="B26" s="199">
        <f>'DIA 19'!B$68</f>
        <v>24736.87</v>
      </c>
      <c r="C26" s="199">
        <f>'DIA 19'!B$69</f>
        <v>25037.98</v>
      </c>
      <c r="D26" s="199">
        <f t="shared" si="0"/>
        <v>301.11000000000058</v>
      </c>
    </row>
    <row r="27" spans="1:4" x14ac:dyDescent="0.25">
      <c r="A27" s="46">
        <f>'DIA 20'!B$6</f>
        <v>44762</v>
      </c>
      <c r="B27" s="199">
        <f>'DIA 20'!B$68</f>
        <v>27600.240000000002</v>
      </c>
      <c r="C27" s="199">
        <f>'DIA 20'!B$69</f>
        <v>27933.8</v>
      </c>
      <c r="D27" s="199">
        <f t="shared" si="0"/>
        <v>333.55999999999767</v>
      </c>
    </row>
    <row r="28" spans="1:4" x14ac:dyDescent="0.25">
      <c r="A28" s="46">
        <f>'DIA 21'!B$6</f>
        <v>44763</v>
      </c>
      <c r="B28" s="199">
        <f>'DIA 21'!B$68</f>
        <v>30931.919999999998</v>
      </c>
      <c r="C28" s="199">
        <f>'DIA 21'!B$69</f>
        <v>31289.17</v>
      </c>
      <c r="D28" s="199">
        <f t="shared" si="0"/>
        <v>357.25</v>
      </c>
    </row>
    <row r="29" spans="1:4" x14ac:dyDescent="0.25">
      <c r="A29" s="46">
        <f>'DIA 22'!B$6</f>
        <v>44399</v>
      </c>
      <c r="B29" s="199">
        <f>'DIA 22'!B$68</f>
        <v>67088.73</v>
      </c>
      <c r="C29" s="199">
        <f>'DIA 22'!B$69</f>
        <v>37384.06</v>
      </c>
      <c r="D29" s="199">
        <f t="shared" si="0"/>
        <v>-29704.67</v>
      </c>
    </row>
    <row r="30" spans="1:4" x14ac:dyDescent="0.25">
      <c r="A30" s="46">
        <f>'DIA 23'!B$6</f>
        <v>44765</v>
      </c>
      <c r="B30" s="199">
        <f>'DIA 23'!B$68</f>
        <v>37876.82</v>
      </c>
      <c r="C30" s="199">
        <f>'DIA 23'!B$69</f>
        <v>38302.33</v>
      </c>
      <c r="D30" s="199">
        <f t="shared" si="0"/>
        <v>425.51000000000204</v>
      </c>
    </row>
    <row r="31" spans="1:4" x14ac:dyDescent="0.25">
      <c r="A31" s="46">
        <f>'DIA 24'!B$6</f>
        <v>44766</v>
      </c>
      <c r="B31" s="199">
        <f>'DIA 24'!B$68</f>
        <v>0</v>
      </c>
      <c r="C31" s="199">
        <f>'DIA 24'!B$69</f>
        <v>32765.88</v>
      </c>
      <c r="D31" s="199">
        <f t="shared" si="0"/>
        <v>32765.88</v>
      </c>
    </row>
    <row r="32" spans="1:4" x14ac:dyDescent="0.25">
      <c r="A32" s="46">
        <f>'DIA 25'!B$6</f>
        <v>44767</v>
      </c>
      <c r="B32" s="199">
        <f>'DIA 25'!B$68</f>
        <v>26359.52</v>
      </c>
      <c r="C32" s="199">
        <f>'DIA 25'!B$69</f>
        <v>26625.85</v>
      </c>
      <c r="D32" s="199">
        <f t="shared" si="0"/>
        <v>266.32999999999811</v>
      </c>
    </row>
    <row r="33" spans="1:6" x14ac:dyDescent="0.25">
      <c r="A33" s="46">
        <f>'DIA 26'!B$6</f>
        <v>44738</v>
      </c>
      <c r="B33" s="199">
        <f>'DIA 26'!B$68</f>
        <v>0</v>
      </c>
      <c r="C33" s="199">
        <f>'DIA 26'!B$69</f>
        <v>28021.040000000001</v>
      </c>
      <c r="D33" s="199">
        <f t="shared" si="0"/>
        <v>28021.040000000001</v>
      </c>
    </row>
    <row r="34" spans="1:6" x14ac:dyDescent="0.25">
      <c r="A34" s="46">
        <f>'DIA 27'!B$6</f>
        <v>44769</v>
      </c>
      <c r="B34" s="199">
        <f>'DIA 27'!B$68</f>
        <v>25380.71</v>
      </c>
      <c r="C34" s="199">
        <f>'DIA 27'!B$69</f>
        <v>25647.43</v>
      </c>
      <c r="D34" s="199">
        <f t="shared" si="0"/>
        <v>266.72000000000116</v>
      </c>
    </row>
    <row r="35" spans="1:6" x14ac:dyDescent="0.25">
      <c r="A35" s="46">
        <f>'DIA 28'!B$6</f>
        <v>44770</v>
      </c>
      <c r="B35" s="199">
        <f>'DIA 28'!B$68</f>
        <v>28678.77</v>
      </c>
      <c r="C35" s="199">
        <f>'DIA 28'!B$69</f>
        <v>28972.33</v>
      </c>
      <c r="D35" s="199">
        <f t="shared" si="0"/>
        <v>293.56000000000131</v>
      </c>
    </row>
    <row r="36" spans="1:6" x14ac:dyDescent="0.25">
      <c r="A36" s="46">
        <f>'DIA 29'!B$6</f>
        <v>44771</v>
      </c>
      <c r="B36" s="199">
        <f>'DIA 29'!B$68</f>
        <v>41466.720000000001</v>
      </c>
      <c r="C36" s="199">
        <f>'DIA 29'!B$69</f>
        <v>41086.949999999997</v>
      </c>
      <c r="D36" s="199">
        <f t="shared" si="0"/>
        <v>-379.77000000000407</v>
      </c>
    </row>
    <row r="37" spans="1:6" x14ac:dyDescent="0.25">
      <c r="A37" s="46">
        <f>'DIA 30'!B$6</f>
        <v>44772</v>
      </c>
      <c r="B37" s="199">
        <f>'DIA 30'!B$68</f>
        <v>42114.86</v>
      </c>
      <c r="C37" s="199">
        <f>'DIA 30'!B$69</f>
        <v>41692.879999999997</v>
      </c>
      <c r="D37" s="199">
        <f t="shared" si="0"/>
        <v>-421.9800000000032</v>
      </c>
    </row>
    <row r="38" spans="1:6" x14ac:dyDescent="0.25">
      <c r="A38" s="46">
        <f>'DIA 31'!B$6</f>
        <v>44773</v>
      </c>
      <c r="B38" s="199">
        <f>'DIA 31'!B$68</f>
        <v>34058.67</v>
      </c>
      <c r="C38" s="199">
        <f>'DIA 31'!B$69</f>
        <v>33669.339999999997</v>
      </c>
      <c r="D38" s="199">
        <f t="shared" si="0"/>
        <v>-389.33000000000175</v>
      </c>
    </row>
    <row r="39" spans="1:6" x14ac:dyDescent="0.25">
      <c r="A39" s="47" t="s">
        <v>37</v>
      </c>
      <c r="B39" s="30">
        <f>SUM(B8:B38)</f>
        <v>916289.00999999989</v>
      </c>
      <c r="C39" s="30">
        <f>SUM(C8:C38)</f>
        <v>992293.47999999986</v>
      </c>
      <c r="D39" s="29">
        <f>SUM(D8:D38)</f>
        <v>76004.470000000016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67088.73</v>
      </c>
      <c r="C41" s="200">
        <f>MAX(C8:C38)</f>
        <v>43394.68</v>
      </c>
      <c r="D41" s="200">
        <f>MAX(D8:D38)</f>
        <v>37905.35</v>
      </c>
    </row>
    <row r="42" spans="1:6" x14ac:dyDescent="0.25">
      <c r="A42" s="48" t="s">
        <v>40</v>
      </c>
      <c r="B42" s="200">
        <f>DMIN(B7:B38,B7,B44:B45)</f>
        <v>37</v>
      </c>
      <c r="C42" s="200">
        <f>DMIN(C7:C38,C7,C44:C45)</f>
        <v>22070.98</v>
      </c>
      <c r="D42" s="200">
        <f>MIN(D8:D38)</f>
        <v>-29704.67</v>
      </c>
    </row>
    <row r="43" spans="1:6" x14ac:dyDescent="0.25">
      <c r="A43" s="48" t="s">
        <v>41</v>
      </c>
      <c r="B43" s="200">
        <f>AVERAGE(B8:B38)</f>
        <v>29557.709999999995</v>
      </c>
      <c r="C43" s="200">
        <f>AVERAGE(C8:C38)</f>
        <v>32009.467096774188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4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1349.5</v>
      </c>
      <c r="C12" s="15"/>
      <c r="D12" s="56"/>
      <c r="E12" s="16"/>
      <c r="F12" s="56"/>
      <c r="G12" s="56"/>
      <c r="H12" s="17"/>
      <c r="I12" s="83">
        <v>1349.5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149</v>
      </c>
      <c r="Q12" s="158">
        <v>11</v>
      </c>
      <c r="R12" s="159">
        <v>1344.94</v>
      </c>
      <c r="S12" s="160"/>
      <c r="T12" s="160">
        <v>145.16999999999999</v>
      </c>
      <c r="U12" s="189">
        <f>((T12/U$10)*U$9)</f>
        <v>6.2573275862068973</v>
      </c>
      <c r="V12" s="189">
        <f>R12*V$10</f>
        <v>10.08705</v>
      </c>
      <c r="W12" s="189">
        <f>+S12*V$10</f>
        <v>0</v>
      </c>
      <c r="X12" s="189">
        <f>+T12*X$10</f>
        <v>3.6292499999999999</v>
      </c>
      <c r="Y12" s="189">
        <f>R12-V12</f>
        <v>1334.85295</v>
      </c>
      <c r="Z12" s="189">
        <f>S12-W12</f>
        <v>0</v>
      </c>
      <c r="AA12" s="189">
        <f>T12-U12-X12</f>
        <v>135.28342241379309</v>
      </c>
      <c r="AB12" s="156"/>
    </row>
    <row r="13" spans="1:28" ht="15.75" x14ac:dyDescent="0.25">
      <c r="A13" s="86" t="s">
        <v>74</v>
      </c>
      <c r="B13" s="89">
        <v>2817</v>
      </c>
      <c r="C13" s="15"/>
      <c r="D13" s="56"/>
      <c r="E13" s="16"/>
      <c r="F13" s="56"/>
      <c r="G13" s="56"/>
      <c r="H13" s="17"/>
      <c r="I13" s="83">
        <v>2817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150</v>
      </c>
      <c r="Q13" s="158">
        <v>11</v>
      </c>
      <c r="R13" s="159">
        <v>1126.96</v>
      </c>
      <c r="S13" s="160"/>
      <c r="T13" s="161">
        <v>167.86</v>
      </c>
      <c r="U13" s="189">
        <f t="shared" ref="U13:U41" si="2">((T13/U$10)*U$9)</f>
        <v>7.235344827586208</v>
      </c>
      <c r="V13" s="189">
        <f t="shared" ref="V13:V41" si="3">R13*V$10</f>
        <v>8.4521999999999995</v>
      </c>
      <c r="W13" s="189">
        <f t="shared" ref="W13:W41" si="4">+S13*V$10</f>
        <v>0</v>
      </c>
      <c r="X13" s="189">
        <f t="shared" ref="X13:X41" si="5">+T13*X$10</f>
        <v>4.1965000000000003</v>
      </c>
      <c r="Y13" s="189">
        <f t="shared" ref="Y13:Z41" si="6">R13-V13</f>
        <v>1118.5078000000001</v>
      </c>
      <c r="Z13" s="189">
        <f t="shared" si="6"/>
        <v>0</v>
      </c>
      <c r="AA13" s="189">
        <f t="shared" ref="AA13:AA41" si="7">T13-U13-X13</f>
        <v>156.42815517241382</v>
      </c>
      <c r="AB13" s="156"/>
    </row>
    <row r="14" spans="1:28" ht="15.75" x14ac:dyDescent="0.25">
      <c r="A14" s="86" t="s">
        <v>81</v>
      </c>
      <c r="B14" s="57">
        <f>B13*B8</f>
        <v>15662.519999999999</v>
      </c>
      <c r="C14" s="15"/>
      <c r="D14" s="56"/>
      <c r="E14" s="16"/>
      <c r="F14" s="56"/>
      <c r="G14" s="56"/>
      <c r="H14" s="17"/>
      <c r="I14" s="83">
        <v>15662.52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534</v>
      </c>
      <c r="Q14" s="158">
        <v>2</v>
      </c>
      <c r="R14" s="159">
        <v>1216.74</v>
      </c>
      <c r="S14" s="160"/>
      <c r="T14" s="161"/>
      <c r="U14" s="189">
        <f t="shared" si="2"/>
        <v>0</v>
      </c>
      <c r="V14" s="189">
        <f t="shared" si="3"/>
        <v>9.1255500000000005</v>
      </c>
      <c r="W14" s="189">
        <f t="shared" si="4"/>
        <v>0</v>
      </c>
      <c r="X14" s="189">
        <f t="shared" si="5"/>
        <v>0</v>
      </c>
      <c r="Y14" s="189">
        <f t="shared" si="6"/>
        <v>1207.61445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535</v>
      </c>
      <c r="Q15" s="158">
        <v>2</v>
      </c>
      <c r="R15" s="159">
        <v>2006.5</v>
      </c>
      <c r="S15" s="160"/>
      <c r="T15" s="161">
        <v>23.53</v>
      </c>
      <c r="U15" s="189">
        <f t="shared" si="2"/>
        <v>1.0142241379310346</v>
      </c>
      <c r="V15" s="189">
        <f t="shared" si="3"/>
        <v>15.04875</v>
      </c>
      <c r="W15" s="189">
        <f t="shared" si="4"/>
        <v>0</v>
      </c>
      <c r="X15" s="189">
        <f t="shared" si="5"/>
        <v>0.58825000000000005</v>
      </c>
      <c r="Y15" s="189">
        <f t="shared" si="6"/>
        <v>1991.4512500000001</v>
      </c>
      <c r="Z15" s="189">
        <f t="shared" si="6"/>
        <v>0</v>
      </c>
      <c r="AA15" s="189">
        <f t="shared" si="7"/>
        <v>21.927525862068968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515</v>
      </c>
      <c r="Q16" s="158">
        <v>4</v>
      </c>
      <c r="R16" s="159">
        <v>994.99</v>
      </c>
      <c r="S16" s="160"/>
      <c r="T16" s="161"/>
      <c r="U16" s="189">
        <f t="shared" si="2"/>
        <v>0</v>
      </c>
      <c r="V16" s="189">
        <f t="shared" si="3"/>
        <v>7.4624249999999996</v>
      </c>
      <c r="W16" s="189">
        <f t="shared" si="4"/>
        <v>0</v>
      </c>
      <c r="X16" s="189">
        <f t="shared" si="5"/>
        <v>0</v>
      </c>
      <c r="Y16" s="189">
        <f t="shared" si="6"/>
        <v>987.52757499999996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516</v>
      </c>
      <c r="Q17" s="158">
        <v>4</v>
      </c>
      <c r="R17" s="159">
        <v>2321.85</v>
      </c>
      <c r="S17" s="160"/>
      <c r="T17" s="161"/>
      <c r="U17" s="189">
        <f t="shared" si="2"/>
        <v>0</v>
      </c>
      <c r="V17" s="189">
        <f t="shared" si="3"/>
        <v>17.413874999999997</v>
      </c>
      <c r="W17" s="189">
        <f t="shared" si="4"/>
        <v>0</v>
      </c>
      <c r="X17" s="189">
        <f t="shared" si="5"/>
        <v>0</v>
      </c>
      <c r="Y17" s="189">
        <f t="shared" si="6"/>
        <v>2304.4361249999997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538</v>
      </c>
      <c r="Q18" s="158">
        <v>14</v>
      </c>
      <c r="R18" s="244">
        <v>184.22</v>
      </c>
      <c r="S18" s="160"/>
      <c r="T18" s="161"/>
      <c r="U18" s="189">
        <f t="shared" si="2"/>
        <v>0</v>
      </c>
      <c r="V18" s="189">
        <f t="shared" si="3"/>
        <v>1.38165</v>
      </c>
      <c r="W18" s="189">
        <f t="shared" si="4"/>
        <v>0</v>
      </c>
      <c r="X18" s="189">
        <f t="shared" si="5"/>
        <v>0</v>
      </c>
      <c r="Y18" s="189">
        <f t="shared" si="6"/>
        <v>182.83834999999999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2817</v>
      </c>
      <c r="C19" s="95"/>
      <c r="D19" s="94"/>
      <c r="E19" s="96"/>
      <c r="F19" s="94"/>
      <c r="G19" s="94"/>
      <c r="H19" s="98"/>
      <c r="I19" s="99">
        <v>2817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163</v>
      </c>
      <c r="Q19" s="158">
        <v>10</v>
      </c>
      <c r="R19" s="244">
        <v>580.78</v>
      </c>
      <c r="S19" s="160"/>
      <c r="T19" s="161"/>
      <c r="U19" s="189">
        <f t="shared" si="2"/>
        <v>0</v>
      </c>
      <c r="V19" s="189">
        <f t="shared" si="3"/>
        <v>4.3558499999999993</v>
      </c>
      <c r="W19" s="189">
        <f t="shared" si="4"/>
        <v>0</v>
      </c>
      <c r="X19" s="189">
        <f t="shared" si="5"/>
        <v>0</v>
      </c>
      <c r="Y19" s="189">
        <f t="shared" si="6"/>
        <v>576.42414999999994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15662.519999999999</v>
      </c>
      <c r="C20" s="95"/>
      <c r="D20" s="94"/>
      <c r="E20" s="96"/>
      <c r="F20" s="94"/>
      <c r="G20" s="94"/>
      <c r="H20" s="98"/>
      <c r="I20" s="99">
        <v>15662.52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598</v>
      </c>
      <c r="Q20" s="158">
        <v>18</v>
      </c>
      <c r="R20" s="159">
        <v>1228.79</v>
      </c>
      <c r="S20" s="160"/>
      <c r="T20" s="161"/>
      <c r="U20" s="189">
        <f t="shared" si="2"/>
        <v>0</v>
      </c>
      <c r="V20" s="189">
        <f t="shared" si="3"/>
        <v>9.2159249999999986</v>
      </c>
      <c r="W20" s="189">
        <f t="shared" si="4"/>
        <v>0</v>
      </c>
      <c r="X20" s="189">
        <f t="shared" si="5"/>
        <v>0</v>
      </c>
      <c r="Y20" s="189">
        <f t="shared" si="6"/>
        <v>1219.574075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599</v>
      </c>
      <c r="Q21" s="158">
        <v>18</v>
      </c>
      <c r="R21" s="159">
        <v>1785.44</v>
      </c>
      <c r="S21" s="160"/>
      <c r="T21" s="161">
        <v>4</v>
      </c>
      <c r="U21" s="189">
        <f t="shared" si="2"/>
        <v>0.17241379310344829</v>
      </c>
      <c r="V21" s="189">
        <f t="shared" si="3"/>
        <v>13.3908</v>
      </c>
      <c r="W21" s="189">
        <f t="shared" si="4"/>
        <v>0</v>
      </c>
      <c r="X21" s="189">
        <f t="shared" si="5"/>
        <v>0.1</v>
      </c>
      <c r="Y21" s="189">
        <f t="shared" si="6"/>
        <v>1772.0492000000002</v>
      </c>
      <c r="Z21" s="189">
        <f t="shared" si="6"/>
        <v>0</v>
      </c>
      <c r="AA21" s="189">
        <f t="shared" si="7"/>
        <v>3.7275862068965515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164</v>
      </c>
      <c r="Q22" s="158">
        <v>10</v>
      </c>
      <c r="R22" s="162">
        <v>1803.84</v>
      </c>
      <c r="S22" s="160"/>
      <c r="T22" s="160">
        <v>58.07</v>
      </c>
      <c r="U22" s="189">
        <f t="shared" si="2"/>
        <v>2.503017241379311</v>
      </c>
      <c r="V22" s="189">
        <f t="shared" si="3"/>
        <v>13.528799999999999</v>
      </c>
      <c r="W22" s="189">
        <f t="shared" si="4"/>
        <v>0</v>
      </c>
      <c r="X22" s="189">
        <f t="shared" si="5"/>
        <v>1.4517500000000001</v>
      </c>
      <c r="Y22" s="189">
        <f t="shared" si="6"/>
        <v>1790.3111999999999</v>
      </c>
      <c r="Z22" s="189">
        <f t="shared" si="6"/>
        <v>0</v>
      </c>
      <c r="AA22" s="189">
        <f t="shared" si="7"/>
        <v>54.115232758620692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67.180000000000007</v>
      </c>
      <c r="C29" s="100"/>
      <c r="D29" s="66"/>
      <c r="E29" s="67"/>
      <c r="F29" s="66"/>
      <c r="G29" s="66"/>
      <c r="H29" s="102"/>
      <c r="I29" s="79">
        <v>67.180000000000007</v>
      </c>
      <c r="J29" s="81">
        <f t="shared" si="0"/>
        <v>0</v>
      </c>
      <c r="K29" s="80">
        <f>12.31+5.88+18.99+30</f>
        <v>67.180000000000007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373.52080000000001</v>
      </c>
      <c r="C30" s="100"/>
      <c r="D30" s="66"/>
      <c r="E30" s="67"/>
      <c r="F30" s="66"/>
      <c r="G30" s="66"/>
      <c r="H30" s="102"/>
      <c r="I30" s="79">
        <v>373.52</v>
      </c>
      <c r="J30" s="81">
        <f t="shared" si="0"/>
        <v>8.0000000002655725E-4</v>
      </c>
      <c r="K30" s="80">
        <v>373.52</v>
      </c>
      <c r="L30" s="186">
        <f>K30-B30</f>
        <v>-8.0000000002655725E-4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67.180000000000007</v>
      </c>
      <c r="C35" s="95"/>
      <c r="D35" s="94"/>
      <c r="E35" s="96"/>
      <c r="F35" s="94"/>
      <c r="G35" s="94"/>
      <c r="H35" s="98"/>
      <c r="I35" s="99">
        <v>67.180000000000007</v>
      </c>
      <c r="J35" s="185">
        <f t="shared" si="0"/>
        <v>0</v>
      </c>
      <c r="K35" s="99">
        <v>67.180000000000007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373.52080000000001</v>
      </c>
      <c r="C36" s="95"/>
      <c r="D36" s="94"/>
      <c r="E36" s="96"/>
      <c r="F36" s="94"/>
      <c r="G36" s="94"/>
      <c r="H36" s="98"/>
      <c r="I36" s="99">
        <v>373.52</v>
      </c>
      <c r="J36" s="185">
        <f t="shared" si="0"/>
        <v>8.0000000002655725E-4</v>
      </c>
      <c r="K36" s="99">
        <v>373.52</v>
      </c>
      <c r="L36" s="187">
        <f>K36-B36</f>
        <v>-8.0000000002655725E-4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74.319999999999993</v>
      </c>
      <c r="C37" s="100"/>
      <c r="D37" s="66"/>
      <c r="E37" s="67"/>
      <c r="F37" s="66"/>
      <c r="G37" s="66"/>
      <c r="H37" s="102"/>
      <c r="I37" s="79">
        <v>74.319999999999993</v>
      </c>
      <c r="J37" s="81">
        <f t="shared" si="0"/>
        <v>0</v>
      </c>
      <c r="K37" s="80">
        <f>5+27.63+14.45+12.92+10.45+3.87</f>
        <v>74.320000000000007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413.21919999999994</v>
      </c>
      <c r="C38" s="100"/>
      <c r="D38" s="66"/>
      <c r="E38" s="67"/>
      <c r="F38" s="66"/>
      <c r="G38" s="66"/>
      <c r="H38" s="102"/>
      <c r="I38" s="79">
        <v>413.27</v>
      </c>
      <c r="J38" s="81">
        <f t="shared" si="0"/>
        <v>-5.0800000000037926E-2</v>
      </c>
      <c r="K38" s="80">
        <v>413.22</v>
      </c>
      <c r="L38" s="186">
        <f>K38-B38</f>
        <v>8.0000000008340066E-4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14595.050000000001</v>
      </c>
      <c r="S42" s="190">
        <f t="shared" si="8"/>
        <v>0</v>
      </c>
      <c r="T42" s="190">
        <f t="shared" si="8"/>
        <v>398.62999999999994</v>
      </c>
      <c r="U42" s="190">
        <f t="shared" si="8"/>
        <v>17.182327586206899</v>
      </c>
      <c r="V42" s="190">
        <f t="shared" si="8"/>
        <v>109.46287499999998</v>
      </c>
      <c r="W42" s="190">
        <f t="shared" si="8"/>
        <v>0</v>
      </c>
      <c r="X42" s="190">
        <f t="shared" si="8"/>
        <v>9.9657499999999999</v>
      </c>
      <c r="Y42" s="190">
        <f t="shared" si="8"/>
        <v>14485.587125</v>
      </c>
      <c r="Z42" s="190">
        <f t="shared" si="8"/>
        <v>0</v>
      </c>
      <c r="AA42" s="190">
        <f t="shared" si="8"/>
        <v>371.48192241379309</v>
      </c>
      <c r="AB42" s="166"/>
    </row>
    <row r="43" spans="1:28" ht="15.75" x14ac:dyDescent="0.25">
      <c r="A43" s="93" t="s">
        <v>101</v>
      </c>
      <c r="B43" s="97">
        <f>+B37+B39+B41</f>
        <v>74.319999999999993</v>
      </c>
      <c r="C43" s="95"/>
      <c r="D43" s="94"/>
      <c r="E43" s="96"/>
      <c r="F43" s="94"/>
      <c r="G43" s="94"/>
      <c r="H43" s="98"/>
      <c r="I43" s="99">
        <v>74.319999999999993</v>
      </c>
      <c r="J43" s="185">
        <f t="shared" si="0"/>
        <v>0</v>
      </c>
      <c r="K43" s="99">
        <v>74.319999999999993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413.21919999999994</v>
      </c>
      <c r="C44" s="95"/>
      <c r="D44" s="94"/>
      <c r="E44" s="96"/>
      <c r="F44" s="94"/>
      <c r="G44" s="94"/>
      <c r="H44" s="98"/>
      <c r="I44" s="99">
        <v>413.27</v>
      </c>
      <c r="J44" s="185">
        <f t="shared" si="0"/>
        <v>-5.0800000000037926E-2</v>
      </c>
      <c r="K44" s="99">
        <v>413.22</v>
      </c>
      <c r="L44" s="187">
        <f>K44-B44</f>
        <v>8.0000000008340066E-4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14595.050000000001</v>
      </c>
      <c r="C46" s="116">
        <v>7.4999999999999997E-3</v>
      </c>
      <c r="D46" s="117">
        <f>B46*C46</f>
        <v>109.46287500000001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14485.587125000002</v>
      </c>
      <c r="H46" s="173">
        <f>B$6+1</f>
        <v>44745</v>
      </c>
      <c r="I46" s="174">
        <v>14595.05</v>
      </c>
      <c r="J46" s="81">
        <f t="shared" si="0"/>
        <v>0</v>
      </c>
      <c r="K46" s="80">
        <v>14848.36</v>
      </c>
      <c r="L46" s="186">
        <f t="shared" ref="L46:L64" si="17">+G46-K46</f>
        <v>-362.77287499999875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174.94</v>
      </c>
      <c r="C48" s="116">
        <v>7.4999999999999997E-3</v>
      </c>
      <c r="D48" s="117">
        <f t="shared" si="18"/>
        <v>1.3120499999999999</v>
      </c>
      <c r="E48" s="172">
        <v>0</v>
      </c>
      <c r="F48" s="117">
        <f t="shared" si="15"/>
        <v>0</v>
      </c>
      <c r="G48" s="117">
        <f t="shared" si="16"/>
        <v>173.62795</v>
      </c>
      <c r="H48" s="173">
        <f t="shared" ref="H48:H61" si="19">B$6+1</f>
        <v>44745</v>
      </c>
      <c r="I48" s="176">
        <v>174.94</v>
      </c>
      <c r="J48" s="81">
        <f t="shared" si="0"/>
        <v>0</v>
      </c>
      <c r="K48" s="80"/>
      <c r="L48" s="186">
        <f t="shared" si="17"/>
        <v>173.62795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3009.18</v>
      </c>
      <c r="C49" s="116">
        <v>7.4999999999999997E-3</v>
      </c>
      <c r="D49" s="117">
        <f t="shared" si="18"/>
        <v>22.568849999999998</v>
      </c>
      <c r="E49" s="172">
        <v>0</v>
      </c>
      <c r="F49" s="117">
        <f t="shared" si="15"/>
        <v>0</v>
      </c>
      <c r="G49" s="117">
        <f t="shared" si="16"/>
        <v>2986.6111499999997</v>
      </c>
      <c r="H49" s="173">
        <f t="shared" si="19"/>
        <v>44745</v>
      </c>
      <c r="I49" s="176">
        <v>2659.18</v>
      </c>
      <c r="J49" s="81">
        <f t="shared" si="0"/>
        <v>350</v>
      </c>
      <c r="K49" s="80"/>
      <c r="L49" s="186">
        <f t="shared" si="17"/>
        <v>2986.6111499999997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2922.7300000000005</v>
      </c>
      <c r="C50" s="116">
        <v>7.4999999999999997E-3</v>
      </c>
      <c r="D50" s="117">
        <f t="shared" si="18"/>
        <v>21.920475000000003</v>
      </c>
      <c r="E50" s="172">
        <v>0</v>
      </c>
      <c r="F50" s="117">
        <f t="shared" si="15"/>
        <v>0</v>
      </c>
      <c r="G50" s="117">
        <f t="shared" si="16"/>
        <v>2900.8095250000006</v>
      </c>
      <c r="H50" s="173">
        <f t="shared" si="19"/>
        <v>44745</v>
      </c>
      <c r="I50" s="175">
        <v>3690.14</v>
      </c>
      <c r="J50" s="81">
        <f t="shared" si="0"/>
        <v>-767.4099999999994</v>
      </c>
      <c r="K50" s="80"/>
      <c r="L50" s="186">
        <f t="shared" si="17"/>
        <v>2900.8095250000006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791.31999999999994</v>
      </c>
      <c r="C51" s="116">
        <v>1.4999999999999999E-2</v>
      </c>
      <c r="D51" s="117">
        <f>+B51*C51</f>
        <v>11.869799999999998</v>
      </c>
      <c r="E51" s="172">
        <v>0</v>
      </c>
      <c r="F51" s="117">
        <f>D51*E51</f>
        <v>0</v>
      </c>
      <c r="G51" s="117">
        <f t="shared" si="16"/>
        <v>779.4502</v>
      </c>
      <c r="H51" s="173">
        <f t="shared" si="19"/>
        <v>44745</v>
      </c>
      <c r="I51" s="175"/>
      <c r="J51" s="81">
        <f t="shared" si="0"/>
        <v>791.31999999999994</v>
      </c>
      <c r="K51" s="80"/>
      <c r="L51" s="186">
        <f t="shared" si="17"/>
        <v>779.4502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398.62999999999994</v>
      </c>
      <c r="C52" s="116">
        <v>2.5000000000000001E-2</v>
      </c>
      <c r="D52" s="117">
        <f>B52*C52</f>
        <v>9.9657499999999999</v>
      </c>
      <c r="E52" s="172">
        <v>0.05</v>
      </c>
      <c r="F52" s="117">
        <f>(B52/E$10)*E52</f>
        <v>17.182327586206895</v>
      </c>
      <c r="G52" s="117">
        <f>B52-D52-F52</f>
        <v>371.48192241379303</v>
      </c>
      <c r="H52" s="188">
        <f t="shared" si="19"/>
        <v>44745</v>
      </c>
      <c r="I52" s="176">
        <v>398.63</v>
      </c>
      <c r="J52" s="81">
        <f t="shared" si="0"/>
        <v>0</v>
      </c>
      <c r="K52" s="80">
        <v>30.79</v>
      </c>
      <c r="L52" s="186">
        <f t="shared" si="17"/>
        <v>340.69192241379301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82.949999999999989</v>
      </c>
      <c r="C56" s="116">
        <v>2.5000000000000001E-2</v>
      </c>
      <c r="D56" s="117">
        <f t="shared" si="20"/>
        <v>2.07375</v>
      </c>
      <c r="E56" s="172">
        <v>0.05</v>
      </c>
      <c r="F56" s="117">
        <f t="shared" si="21"/>
        <v>3.5754310344827589</v>
      </c>
      <c r="G56" s="117">
        <f t="shared" si="22"/>
        <v>77.300818965517223</v>
      </c>
      <c r="H56" s="173">
        <f t="shared" si="19"/>
        <v>44745</v>
      </c>
      <c r="I56" s="176">
        <v>82.95</v>
      </c>
      <c r="J56" s="81">
        <f t="shared" si="0"/>
        <v>0</v>
      </c>
      <c r="K56" s="80"/>
      <c r="L56" s="186">
        <f t="shared" si="17"/>
        <v>77.300818965517223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241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179.17355000000001</v>
      </c>
      <c r="E61" s="177"/>
      <c r="F61" s="57">
        <f>SUM(F46:F58)</f>
        <v>20.757758620689653</v>
      </c>
      <c r="G61" s="57">
        <f>SUM(G46:G58)</f>
        <v>21774.86869137931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21774.86869137931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f>24+350</f>
        <v>374</v>
      </c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374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43549.73738275862</v>
      </c>
      <c r="H64" s="184"/>
      <c r="I64" s="175"/>
      <c r="J64" s="81">
        <f t="shared" si="0"/>
        <v>0</v>
      </c>
      <c r="K64" s="80"/>
      <c r="L64" s="186">
        <f t="shared" si="17"/>
        <v>43549.73738275862</v>
      </c>
      <c r="M64" s="130"/>
      <c r="N64" s="87">
        <v>1</v>
      </c>
      <c r="O64" s="122" t="s">
        <v>201</v>
      </c>
      <c r="P64" s="225"/>
      <c r="Q64" s="225"/>
      <c r="R64" s="236">
        <v>12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0.09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11.91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39399.55999999999</v>
      </c>
      <c r="G65" s="22"/>
      <c r="L65" s="132"/>
      <c r="M65" s="131"/>
      <c r="N65" s="87">
        <v>2</v>
      </c>
      <c r="O65" s="122" t="s">
        <v>201</v>
      </c>
      <c r="P65" s="225"/>
      <c r="Q65" s="225"/>
      <c r="R65" s="236">
        <f>20.16+106.86+12.26</f>
        <v>139.28</v>
      </c>
      <c r="S65" s="87"/>
      <c r="T65" s="87"/>
      <c r="U65" s="189">
        <f t="shared" si="27"/>
        <v>0</v>
      </c>
      <c r="V65" s="189">
        <f t="shared" si="28"/>
        <v>1.0446</v>
      </c>
      <c r="W65" s="189">
        <f t="shared" si="29"/>
        <v>0</v>
      </c>
      <c r="X65" s="189">
        <f t="shared" si="30"/>
        <v>0</v>
      </c>
      <c r="Y65" s="189">
        <f t="shared" si="31"/>
        <v>138.2354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5"/>
      <c r="Q66" s="225"/>
      <c r="R66" s="225">
        <v>23.66</v>
      </c>
      <c r="S66" s="87"/>
      <c r="T66" s="87"/>
      <c r="U66" s="189">
        <f t="shared" si="27"/>
        <v>0</v>
      </c>
      <c r="V66" s="189">
        <f t="shared" si="28"/>
        <v>0.17745</v>
      </c>
      <c r="W66" s="189">
        <f t="shared" si="29"/>
        <v>0</v>
      </c>
      <c r="X66" s="189">
        <f t="shared" si="30"/>
        <v>0</v>
      </c>
      <c r="Y66" s="189">
        <f t="shared" si="31"/>
        <v>23.48255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38695.120000000003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5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39134.720000000001</v>
      </c>
      <c r="C69" s="59"/>
      <c r="F69" s="87" t="s">
        <v>127</v>
      </c>
      <c r="G69" s="22"/>
      <c r="H69" s="89"/>
      <c r="I69" s="136"/>
      <c r="J69" s="136">
        <f>K52</f>
        <v>30.79</v>
      </c>
      <c r="N69" s="301" t="s">
        <v>108</v>
      </c>
      <c r="O69" s="301"/>
      <c r="P69" s="302"/>
      <c r="Q69" s="302"/>
      <c r="R69" s="192">
        <f>SUM(R64:R68)</f>
        <v>174.94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1.3120500000000002</v>
      </c>
      <c r="W69" s="192">
        <f t="shared" si="33"/>
        <v>0</v>
      </c>
      <c r="X69" s="192">
        <f t="shared" si="33"/>
        <v>0</v>
      </c>
      <c r="Y69" s="192">
        <f t="shared" si="33"/>
        <v>173.62795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-439.59999999999854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 t="s">
        <v>266</v>
      </c>
      <c r="Q70" s="225">
        <v>1001</v>
      </c>
      <c r="R70" s="221">
        <v>436.48</v>
      </c>
      <c r="S70" s="225"/>
      <c r="T70" s="225">
        <v>11.29</v>
      </c>
      <c r="U70" s="189">
        <f t="shared" ref="U70:U74" si="34">((T70/U$10)*U$9)</f>
        <v>0.48663793103448277</v>
      </c>
      <c r="V70" s="189">
        <f t="shared" ref="V70:V74" si="35">R70*V$10</f>
        <v>3.2736000000000001</v>
      </c>
      <c r="W70" s="189">
        <f t="shared" ref="W70:W74" si="36">+S70*V$10</f>
        <v>0</v>
      </c>
      <c r="X70" s="189">
        <f t="shared" ref="X70:X74" si="37">+T70*X$10</f>
        <v>0.28225</v>
      </c>
      <c r="Y70" s="189">
        <f t="shared" ref="Y70:Z74" si="38">R70-V70</f>
        <v>433.20640000000003</v>
      </c>
      <c r="Z70" s="189">
        <f t="shared" si="38"/>
        <v>0</v>
      </c>
      <c r="AA70" s="189">
        <f t="shared" ref="AA70:AA74" si="39">T70-U70-X70</f>
        <v>10.521112068965516</v>
      </c>
      <c r="AB70" s="87"/>
    </row>
    <row r="71" spans="1:30" ht="28.5" customHeight="1" thickBot="1" x14ac:dyDescent="0.3">
      <c r="A71" s="25" t="s">
        <v>56</v>
      </c>
      <c r="B71" s="70">
        <f>(B65-B69)-B72</f>
        <v>264.83999999998923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30.79</v>
      </c>
      <c r="N71" s="87">
        <v>2</v>
      </c>
      <c r="O71" s="122" t="s">
        <v>199</v>
      </c>
      <c r="P71" s="225" t="s">
        <v>267</v>
      </c>
      <c r="Q71" s="225">
        <v>2001</v>
      </c>
      <c r="R71" s="221">
        <f>69.78+2044.95</f>
        <v>2114.73</v>
      </c>
      <c r="S71" s="225"/>
      <c r="T71" s="221">
        <v>71.66</v>
      </c>
      <c r="U71" s="189">
        <f t="shared" si="34"/>
        <v>3.0887931034482761</v>
      </c>
      <c r="V71" s="189">
        <f t="shared" si="35"/>
        <v>15.860474999999999</v>
      </c>
      <c r="W71" s="189">
        <f t="shared" si="36"/>
        <v>0</v>
      </c>
      <c r="X71" s="189">
        <f t="shared" si="37"/>
        <v>1.7915000000000001</v>
      </c>
      <c r="Y71" s="189">
        <f t="shared" si="38"/>
        <v>2098.8695250000001</v>
      </c>
      <c r="Z71" s="189">
        <f t="shared" si="38"/>
        <v>0</v>
      </c>
      <c r="AA71" s="189">
        <f t="shared" si="39"/>
        <v>66.779706896551716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51">
        <v>137</v>
      </c>
      <c r="Q72" s="225">
        <v>2001</v>
      </c>
      <c r="R72" s="221">
        <v>107.97</v>
      </c>
      <c r="S72" s="225"/>
      <c r="T72" s="225"/>
      <c r="U72" s="189">
        <f t="shared" si="34"/>
        <v>0</v>
      </c>
      <c r="V72" s="189">
        <f t="shared" si="35"/>
        <v>0.80977499999999991</v>
      </c>
      <c r="W72" s="189">
        <f t="shared" si="36"/>
        <v>0</v>
      </c>
      <c r="X72" s="189">
        <f t="shared" si="37"/>
        <v>0</v>
      </c>
      <c r="Y72" s="189">
        <f t="shared" si="38"/>
        <v>107.160225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90+80+90+10+80</f>
        <v>350</v>
      </c>
      <c r="S74" s="225"/>
      <c r="T74" s="225"/>
      <c r="U74" s="189">
        <f t="shared" si="34"/>
        <v>0</v>
      </c>
      <c r="V74" s="189">
        <f t="shared" si="35"/>
        <v>2.625</v>
      </c>
      <c r="W74" s="189">
        <f t="shared" si="36"/>
        <v>0</v>
      </c>
      <c r="X74" s="189">
        <f t="shared" si="37"/>
        <v>0</v>
      </c>
      <c r="Y74" s="189">
        <f t="shared" si="38"/>
        <v>347.375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3009.18</v>
      </c>
      <c r="S75" s="192"/>
      <c r="T75" s="192">
        <f>SUM(T70:T74)</f>
        <v>82.949999999999989</v>
      </c>
      <c r="U75" s="192">
        <f>SUM(U70:U74)</f>
        <v>3.5754310344827589</v>
      </c>
      <c r="V75" s="192">
        <f t="shared" ref="V75:AA75" si="41">SUM(V70:V74)</f>
        <v>22.568849999999998</v>
      </c>
      <c r="W75" s="192">
        <f t="shared" si="41"/>
        <v>0</v>
      </c>
      <c r="X75" s="192">
        <f t="shared" si="41"/>
        <v>2.07375</v>
      </c>
      <c r="Y75" s="192">
        <f t="shared" si="41"/>
        <v>2986.6111500000002</v>
      </c>
      <c r="Z75" s="192">
        <f t="shared" si="41"/>
        <v>0</v>
      </c>
      <c r="AA75" s="193">
        <f t="shared" si="41"/>
        <v>77.300818965517237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223.9</v>
      </c>
      <c r="Q78" s="137">
        <v>120.84</v>
      </c>
      <c r="R78" s="82">
        <v>7.4999999999999997E-3</v>
      </c>
      <c r="S78" s="194">
        <f>+(P78+Q78)*R78</f>
        <v>2.58555</v>
      </c>
      <c r="T78" s="219">
        <f>+(P78+Q78)-S78</f>
        <v>342.15445</v>
      </c>
      <c r="U78" s="211">
        <v>105.23</v>
      </c>
      <c r="V78" s="112"/>
      <c r="W78" s="113">
        <v>1.4999999999999999E-2</v>
      </c>
      <c r="X78" s="196">
        <f>+(U78+V78)*W78</f>
        <v>1.5784499999999999</v>
      </c>
      <c r="Y78" s="217">
        <f>+(U78+V78)-X78</f>
        <v>103.65155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639.14</v>
      </c>
      <c r="Q79" s="87">
        <v>6.85</v>
      </c>
      <c r="R79" s="82">
        <v>7.4999999999999997E-3</v>
      </c>
      <c r="S79" s="194">
        <f t="shared" ref="S79:S97" si="43">+(P79+Q79)*R79</f>
        <v>4.8449249999999999</v>
      </c>
      <c r="T79" s="219">
        <f t="shared" ref="T79:T97" si="44">+(P79+Q79)-S79</f>
        <v>641.14507500000002</v>
      </c>
      <c r="U79" s="211">
        <v>137.72999999999999</v>
      </c>
      <c r="V79" s="112"/>
      <c r="W79" s="113">
        <v>1.4999999999999999E-2</v>
      </c>
      <c r="X79" s="196">
        <f t="shared" ref="X79:X97" si="45">+(U79+V79)*W79</f>
        <v>2.06595</v>
      </c>
      <c r="Y79" s="217">
        <f t="shared" ref="Y79:Y97" si="46">+(U79+V79)-X79</f>
        <v>135.66405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180.75</v>
      </c>
      <c r="Q80" s="87">
        <v>20</v>
      </c>
      <c r="R80" s="82">
        <v>7.4999999999999997E-3</v>
      </c>
      <c r="S80" s="194">
        <f t="shared" si="43"/>
        <v>1.505625</v>
      </c>
      <c r="T80" s="219">
        <f t="shared" si="44"/>
        <v>199.24437499999999</v>
      </c>
      <c r="U80" s="211">
        <v>113.08</v>
      </c>
      <c r="V80" s="112"/>
      <c r="W80" s="113">
        <v>1.4999999999999999E-2</v>
      </c>
      <c r="X80" s="196">
        <f t="shared" si="45"/>
        <v>1.6961999999999999</v>
      </c>
      <c r="Y80" s="217">
        <f t="shared" si="46"/>
        <v>111.38379999999999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133.22999999999999</v>
      </c>
      <c r="Q81" s="137">
        <v>117.1</v>
      </c>
      <c r="R81" s="82">
        <v>7.4999999999999997E-3</v>
      </c>
      <c r="S81" s="194">
        <f t="shared" si="43"/>
        <v>1.8774749999999998</v>
      </c>
      <c r="T81" s="219">
        <f t="shared" si="44"/>
        <v>248.45252499999998</v>
      </c>
      <c r="U81" s="211">
        <v>105.34</v>
      </c>
      <c r="V81" s="112"/>
      <c r="W81" s="113">
        <v>1.4999999999999999E-2</v>
      </c>
      <c r="X81" s="196">
        <f t="shared" si="45"/>
        <v>1.5801000000000001</v>
      </c>
      <c r="Y81" s="217">
        <f t="shared" si="46"/>
        <v>103.7599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43.78</v>
      </c>
      <c r="Q82" s="137">
        <v>27.5</v>
      </c>
      <c r="R82" s="82">
        <v>7.4999999999999997E-3</v>
      </c>
      <c r="S82" s="194">
        <f t="shared" si="43"/>
        <v>0.53459999999999996</v>
      </c>
      <c r="T82" s="213">
        <f t="shared" si="44"/>
        <v>70.745400000000004</v>
      </c>
      <c r="U82" s="112">
        <v>29.41</v>
      </c>
      <c r="V82" s="112"/>
      <c r="W82" s="113">
        <v>1.4999999999999999E-2</v>
      </c>
      <c r="X82" s="196">
        <f t="shared" si="45"/>
        <v>0.44114999999999999</v>
      </c>
      <c r="Y82" s="254">
        <f t="shared" si="46"/>
        <v>28.96885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591.20000000000005</v>
      </c>
      <c r="Q83" s="87">
        <v>48.3</v>
      </c>
      <c r="R83" s="82">
        <v>7.4999999999999997E-3</v>
      </c>
      <c r="S83" s="194">
        <f t="shared" si="43"/>
        <v>4.7962499999999997</v>
      </c>
      <c r="T83" s="213">
        <f t="shared" si="44"/>
        <v>634.70375000000001</v>
      </c>
      <c r="U83" s="112">
        <v>65.489999999999995</v>
      </c>
      <c r="V83" s="112"/>
      <c r="W83" s="113">
        <v>1.4999999999999999E-2</v>
      </c>
      <c r="X83" s="196">
        <f t="shared" si="45"/>
        <v>0.98234999999999983</v>
      </c>
      <c r="Y83" s="254">
        <f t="shared" si="46"/>
        <v>64.507649999999998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13.41</v>
      </c>
      <c r="Q84" s="87"/>
      <c r="R84" s="82">
        <v>7.4999999999999997E-3</v>
      </c>
      <c r="S84" s="194">
        <f t="shared" si="43"/>
        <v>0.100575</v>
      </c>
      <c r="T84" s="254">
        <f t="shared" si="44"/>
        <v>13.309425000000001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294.66000000000003</v>
      </c>
      <c r="Q85" s="87">
        <v>155.63</v>
      </c>
      <c r="R85" s="82">
        <v>7.4999999999999997E-3</v>
      </c>
      <c r="S85" s="194">
        <f t="shared" si="43"/>
        <v>3.3771749999999998</v>
      </c>
      <c r="T85" s="254">
        <f t="shared" si="44"/>
        <v>446.912825</v>
      </c>
      <c r="U85" s="112">
        <v>49.37</v>
      </c>
      <c r="V85" s="112"/>
      <c r="W85" s="113">
        <v>1.4999999999999999E-2</v>
      </c>
      <c r="X85" s="196">
        <f t="shared" si="45"/>
        <v>0.74054999999999993</v>
      </c>
      <c r="Y85" s="254">
        <f t="shared" si="46"/>
        <v>48.629449999999999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167.88</v>
      </c>
      <c r="Q87" s="87">
        <v>138.56</v>
      </c>
      <c r="R87" s="82">
        <v>7.4999999999999997E-3</v>
      </c>
      <c r="S87" s="194">
        <f t="shared" si="43"/>
        <v>2.2982999999999998</v>
      </c>
      <c r="T87" s="219">
        <f t="shared" si="44"/>
        <v>304.14170000000001</v>
      </c>
      <c r="U87" s="112">
        <v>185.67</v>
      </c>
      <c r="V87" s="112"/>
      <c r="W87" s="113">
        <v>1.4999999999999999E-2</v>
      </c>
      <c r="X87" s="196">
        <f t="shared" si="45"/>
        <v>2.7850499999999996</v>
      </c>
      <c r="Y87" s="217">
        <f t="shared" si="46"/>
        <v>182.88494999999998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2287.9500000000003</v>
      </c>
      <c r="Q98" s="195">
        <f>SUM(Q78:Q97)</f>
        <v>634.78</v>
      </c>
      <c r="R98" s="111"/>
      <c r="S98" s="195">
        <f>SUM(S78:S97)</f>
        <v>21.920475</v>
      </c>
      <c r="T98" s="195">
        <f>SUM(T78:T97)</f>
        <v>2900.8095250000001</v>
      </c>
      <c r="U98" s="114">
        <f>SUM(U78:U97)</f>
        <v>791.31999999999994</v>
      </c>
      <c r="V98" s="114">
        <f>SUM(V78:V97)</f>
        <v>0</v>
      </c>
      <c r="W98" s="112"/>
      <c r="X98" s="197">
        <f>SUM(X78:X97)</f>
        <v>11.869800000000001</v>
      </c>
      <c r="Y98" s="197">
        <f>SUM(Y78:Y97)</f>
        <v>779.4502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P78+U78+Q78</f>
        <v>449.97</v>
      </c>
    </row>
    <row r="102" spans="14:30" x14ac:dyDescent="0.25">
      <c r="N102" s="85"/>
      <c r="Q102" s="215">
        <f>P79+U79+Q79</f>
        <v>783.72</v>
      </c>
    </row>
    <row r="103" spans="14:30" x14ac:dyDescent="0.25">
      <c r="N103" s="85"/>
      <c r="Q103" s="215">
        <f>P80+Q80+U80</f>
        <v>313.83</v>
      </c>
    </row>
    <row r="104" spans="14:30" x14ac:dyDescent="0.25">
      <c r="N104" s="85"/>
      <c r="Q104" s="215">
        <f>P81+Q81+U81</f>
        <v>355.66999999999996</v>
      </c>
    </row>
    <row r="105" spans="14:30" x14ac:dyDescent="0.25">
      <c r="N105" s="85"/>
      <c r="Q105" s="215">
        <f>P82+Q82+U82</f>
        <v>100.69</v>
      </c>
    </row>
    <row r="106" spans="14:30" x14ac:dyDescent="0.25">
      <c r="N106" s="85"/>
      <c r="Q106" s="215">
        <f>P83+U83+Q83</f>
        <v>704.99</v>
      </c>
    </row>
    <row r="107" spans="14:30" x14ac:dyDescent="0.25">
      <c r="N107" s="85"/>
      <c r="Q107" s="84">
        <f>P84+Q84+U84</f>
        <v>13.41</v>
      </c>
    </row>
    <row r="108" spans="14:30" x14ac:dyDescent="0.25">
      <c r="N108" s="85"/>
      <c r="Q108" s="84">
        <f>P85+Q85+U85</f>
        <v>499.66</v>
      </c>
    </row>
    <row r="109" spans="14:30" x14ac:dyDescent="0.25">
      <c r="N109" s="85"/>
      <c r="Q109" s="246">
        <f>P86+Q86+U86</f>
        <v>0</v>
      </c>
    </row>
    <row r="110" spans="14:30" x14ac:dyDescent="0.25">
      <c r="N110" s="85"/>
      <c r="Q110" s="84">
        <f>P87+Q87+U87</f>
        <v>492.11</v>
      </c>
    </row>
    <row r="111" spans="14:30" x14ac:dyDescent="0.25">
      <c r="N111" s="85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K46" sqref="K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1285.5999999999999</v>
      </c>
      <c r="C12" s="15"/>
      <c r="D12" s="56"/>
      <c r="E12" s="16"/>
      <c r="F12" s="56"/>
      <c r="G12" s="56"/>
      <c r="H12" s="17"/>
      <c r="I12" s="83">
        <v>1285.5999999999999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152</v>
      </c>
      <c r="Q12" s="158">
        <v>11</v>
      </c>
      <c r="R12" s="159">
        <v>1281.18</v>
      </c>
      <c r="S12" s="160"/>
      <c r="T12" s="160">
        <v>75.02</v>
      </c>
      <c r="U12" s="189">
        <f>((T12/U$10)*U$9)</f>
        <v>3.2336206896551722</v>
      </c>
      <c r="V12" s="189">
        <f>R12*V$10</f>
        <v>9.6088500000000003</v>
      </c>
      <c r="W12" s="189">
        <f>+S12*V$10</f>
        <v>0</v>
      </c>
      <c r="X12" s="189">
        <f>+T12*X$10</f>
        <v>1.8754999999999999</v>
      </c>
      <c r="Y12" s="189">
        <f>R12-V12</f>
        <v>1271.57115</v>
      </c>
      <c r="Z12" s="189">
        <f>S12-W12</f>
        <v>0</v>
      </c>
      <c r="AA12" s="189">
        <f>T12-U12-X12</f>
        <v>69.910879310344825</v>
      </c>
      <c r="AB12" s="156"/>
    </row>
    <row r="13" spans="1:28" ht="15.75" x14ac:dyDescent="0.25">
      <c r="A13" s="86" t="s">
        <v>74</v>
      </c>
      <c r="B13" s="89">
        <v>2570</v>
      </c>
      <c r="C13" s="15"/>
      <c r="D13" s="56"/>
      <c r="E13" s="16"/>
      <c r="F13" s="56"/>
      <c r="G13" s="56"/>
      <c r="H13" s="17"/>
      <c r="I13" s="83">
        <v>2570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151</v>
      </c>
      <c r="Q13" s="158">
        <v>11</v>
      </c>
      <c r="R13" s="159">
        <v>1399</v>
      </c>
      <c r="S13" s="160"/>
      <c r="T13" s="161">
        <v>4.87</v>
      </c>
      <c r="U13" s="189">
        <f t="shared" ref="U13:U41" si="2">((T13/U$10)*U$9)</f>
        <v>0.20991379310344832</v>
      </c>
      <c r="V13" s="189">
        <f t="shared" ref="V13:V41" si="3">R13*V$10</f>
        <v>10.4925</v>
      </c>
      <c r="W13" s="189">
        <f t="shared" ref="W13:W41" si="4">+S13*V$10</f>
        <v>0</v>
      </c>
      <c r="X13" s="189">
        <f t="shared" ref="X13:X41" si="5">+T13*X$10</f>
        <v>0.12175000000000001</v>
      </c>
      <c r="Y13" s="189">
        <f t="shared" ref="Y13:Z41" si="6">R13-V13</f>
        <v>1388.5074999999999</v>
      </c>
      <c r="Z13" s="189">
        <f t="shared" si="6"/>
        <v>0</v>
      </c>
      <c r="AA13" s="189">
        <f t="shared" ref="AA13:AA41" si="7">T13-U13-X13</f>
        <v>4.5383362068965525</v>
      </c>
      <c r="AB13" s="156"/>
    </row>
    <row r="14" spans="1:28" ht="15.75" x14ac:dyDescent="0.25">
      <c r="A14" s="86" t="s">
        <v>81</v>
      </c>
      <c r="B14" s="57">
        <f>B13*B8</f>
        <v>14289.199999999999</v>
      </c>
      <c r="C14" s="15"/>
      <c r="D14" s="56"/>
      <c r="E14" s="16"/>
      <c r="F14" s="56"/>
      <c r="G14" s="56"/>
      <c r="H14" s="17"/>
      <c r="I14" s="83">
        <v>14289.2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537</v>
      </c>
      <c r="Q14" s="158">
        <v>2</v>
      </c>
      <c r="R14" s="159">
        <v>1737.7</v>
      </c>
      <c r="S14" s="160"/>
      <c r="T14" s="161">
        <v>152.41999999999999</v>
      </c>
      <c r="U14" s="189">
        <f t="shared" si="2"/>
        <v>6.5698275862068973</v>
      </c>
      <c r="V14" s="189">
        <f t="shared" si="3"/>
        <v>13.03275</v>
      </c>
      <c r="W14" s="189">
        <f t="shared" si="4"/>
        <v>0</v>
      </c>
      <c r="X14" s="189">
        <f t="shared" si="5"/>
        <v>3.8104999999999998</v>
      </c>
      <c r="Y14" s="189">
        <f t="shared" si="6"/>
        <v>1724.66725</v>
      </c>
      <c r="Z14" s="189">
        <f t="shared" si="6"/>
        <v>0</v>
      </c>
      <c r="AA14" s="189">
        <f t="shared" si="7"/>
        <v>142.03967241379311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536</v>
      </c>
      <c r="Q15" s="158">
        <v>2</v>
      </c>
      <c r="R15" s="159">
        <v>1011.87</v>
      </c>
      <c r="S15" s="160"/>
      <c r="T15" s="161">
        <v>214.15</v>
      </c>
      <c r="U15" s="189">
        <f t="shared" si="2"/>
        <v>9.230603448275863</v>
      </c>
      <c r="V15" s="189">
        <f t="shared" si="3"/>
        <v>7.5890249999999995</v>
      </c>
      <c r="W15" s="189">
        <f t="shared" si="4"/>
        <v>0</v>
      </c>
      <c r="X15" s="189">
        <f t="shared" si="5"/>
        <v>5.3537500000000007</v>
      </c>
      <c r="Y15" s="189">
        <f t="shared" si="6"/>
        <v>1004.280975</v>
      </c>
      <c r="Z15" s="189">
        <f t="shared" si="6"/>
        <v>0</v>
      </c>
      <c r="AA15" s="189">
        <f t="shared" si="7"/>
        <v>199.56564655172414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517</v>
      </c>
      <c r="Q16" s="158">
        <v>4</v>
      </c>
      <c r="R16" s="159">
        <v>1578.52</v>
      </c>
      <c r="S16" s="160"/>
      <c r="T16" s="161">
        <v>99.65</v>
      </c>
      <c r="U16" s="189">
        <f t="shared" si="2"/>
        <v>4.2952586206896557</v>
      </c>
      <c r="V16" s="189">
        <f t="shared" si="3"/>
        <v>11.838899999999999</v>
      </c>
      <c r="W16" s="189">
        <f t="shared" si="4"/>
        <v>0</v>
      </c>
      <c r="X16" s="189">
        <f t="shared" si="5"/>
        <v>2.4912500000000004</v>
      </c>
      <c r="Y16" s="189">
        <f t="shared" si="6"/>
        <v>1566.6811</v>
      </c>
      <c r="Z16" s="189">
        <f t="shared" si="6"/>
        <v>0</v>
      </c>
      <c r="AA16" s="189">
        <f t="shared" si="7"/>
        <v>92.863491379310361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518</v>
      </c>
      <c r="Q17" s="158">
        <v>4</v>
      </c>
      <c r="R17" s="159">
        <v>1509.22</v>
      </c>
      <c r="S17" s="160"/>
      <c r="T17" s="161">
        <v>54.5</v>
      </c>
      <c r="U17" s="189">
        <f t="shared" si="2"/>
        <v>2.3491379310344831</v>
      </c>
      <c r="V17" s="189">
        <f t="shared" si="3"/>
        <v>11.31915</v>
      </c>
      <c r="W17" s="189">
        <f t="shared" si="4"/>
        <v>0</v>
      </c>
      <c r="X17" s="189">
        <f t="shared" si="5"/>
        <v>1.3625</v>
      </c>
      <c r="Y17" s="189">
        <f t="shared" si="6"/>
        <v>1497.90085</v>
      </c>
      <c r="Z17" s="189">
        <f t="shared" si="6"/>
        <v>0</v>
      </c>
      <c r="AA17" s="189">
        <f t="shared" si="7"/>
        <v>50.788362068965519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539</v>
      </c>
      <c r="Q18" s="158">
        <v>14</v>
      </c>
      <c r="R18" s="159">
        <v>779.18</v>
      </c>
      <c r="S18" s="160"/>
      <c r="T18" s="161">
        <v>20.07</v>
      </c>
      <c r="U18" s="189">
        <f t="shared" si="2"/>
        <v>0.8650862068965518</v>
      </c>
      <c r="V18" s="189">
        <f t="shared" si="3"/>
        <v>5.8438499999999998</v>
      </c>
      <c r="W18" s="189">
        <f t="shared" si="4"/>
        <v>0</v>
      </c>
      <c r="X18" s="189">
        <f t="shared" si="5"/>
        <v>0.50175000000000003</v>
      </c>
      <c r="Y18" s="189">
        <f t="shared" si="6"/>
        <v>773.33614999999998</v>
      </c>
      <c r="Z18" s="189">
        <f t="shared" si="6"/>
        <v>0</v>
      </c>
      <c r="AA18" s="189">
        <f t="shared" si="7"/>
        <v>18.703163793103446</v>
      </c>
      <c r="AB18" s="156"/>
    </row>
    <row r="19" spans="1:28" ht="15.75" x14ac:dyDescent="0.25">
      <c r="A19" s="93" t="s">
        <v>79</v>
      </c>
      <c r="B19" s="97">
        <f>+B13+B15+B17</f>
        <v>2570</v>
      </c>
      <c r="C19" s="95"/>
      <c r="D19" s="94"/>
      <c r="E19" s="96"/>
      <c r="F19" s="94"/>
      <c r="G19" s="94"/>
      <c r="H19" s="98"/>
      <c r="I19" s="99">
        <v>2570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165</v>
      </c>
      <c r="Q19" s="158">
        <v>10</v>
      </c>
      <c r="R19" s="159">
        <v>641.16</v>
      </c>
      <c r="S19" s="160"/>
      <c r="T19" s="161"/>
      <c r="U19" s="189">
        <f t="shared" si="2"/>
        <v>0</v>
      </c>
      <c r="V19" s="189">
        <f t="shared" si="3"/>
        <v>4.8087</v>
      </c>
      <c r="W19" s="189">
        <f t="shared" si="4"/>
        <v>0</v>
      </c>
      <c r="X19" s="189">
        <f t="shared" si="5"/>
        <v>0</v>
      </c>
      <c r="Y19" s="189">
        <f t="shared" si="6"/>
        <v>636.35129999999992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14289.199999999999</v>
      </c>
      <c r="C20" s="95"/>
      <c r="D20" s="94"/>
      <c r="E20" s="96"/>
      <c r="F20" s="94"/>
      <c r="G20" s="94"/>
      <c r="H20" s="98"/>
      <c r="I20" s="99">
        <v>14289.2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166</v>
      </c>
      <c r="Q20" s="158">
        <v>10</v>
      </c>
      <c r="R20" s="159">
        <v>904.77</v>
      </c>
      <c r="S20" s="160"/>
      <c r="T20" s="161"/>
      <c r="U20" s="189">
        <f t="shared" si="2"/>
        <v>0</v>
      </c>
      <c r="V20" s="189">
        <f t="shared" si="3"/>
        <v>6.7857749999999992</v>
      </c>
      <c r="W20" s="189">
        <f t="shared" si="4"/>
        <v>0</v>
      </c>
      <c r="X20" s="189">
        <f t="shared" si="5"/>
        <v>0</v>
      </c>
      <c r="Y20" s="189">
        <f t="shared" si="6"/>
        <v>897.98422500000004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600</v>
      </c>
      <c r="Q21" s="158">
        <v>18</v>
      </c>
      <c r="R21" s="159">
        <v>399.11</v>
      </c>
      <c r="S21" s="160"/>
      <c r="T21" s="161">
        <v>49.97</v>
      </c>
      <c r="U21" s="189">
        <f t="shared" si="2"/>
        <v>2.1538793103448279</v>
      </c>
      <c r="V21" s="189">
        <f t="shared" si="3"/>
        <v>2.993325</v>
      </c>
      <c r="W21" s="189">
        <f t="shared" si="4"/>
        <v>0</v>
      </c>
      <c r="X21" s="189">
        <f t="shared" si="5"/>
        <v>1.24925</v>
      </c>
      <c r="Y21" s="189">
        <f t="shared" si="6"/>
        <v>396.11667499999999</v>
      </c>
      <c r="Z21" s="189">
        <f t="shared" si="6"/>
        <v>0</v>
      </c>
      <c r="AA21" s="189">
        <f t="shared" si="7"/>
        <v>46.566870689655175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601</v>
      </c>
      <c r="Q22" s="158">
        <v>18</v>
      </c>
      <c r="R22" s="162">
        <v>888.29</v>
      </c>
      <c r="S22" s="160"/>
      <c r="T22" s="160">
        <v>18.36</v>
      </c>
      <c r="U22" s="189">
        <f t="shared" si="2"/>
        <v>0.79137931034482767</v>
      </c>
      <c r="V22" s="189">
        <f t="shared" si="3"/>
        <v>6.6621749999999995</v>
      </c>
      <c r="W22" s="189">
        <f t="shared" si="4"/>
        <v>0</v>
      </c>
      <c r="X22" s="189">
        <f t="shared" si="5"/>
        <v>0.45900000000000002</v>
      </c>
      <c r="Y22" s="189">
        <f t="shared" si="6"/>
        <v>881.62782499999992</v>
      </c>
      <c r="Z22" s="189">
        <f t="shared" si="6"/>
        <v>0</v>
      </c>
      <c r="AA22" s="189">
        <f t="shared" si="7"/>
        <v>17.109620689655173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91.35</v>
      </c>
      <c r="C29" s="100"/>
      <c r="D29" s="66"/>
      <c r="E29" s="67"/>
      <c r="F29" s="66"/>
      <c r="G29" s="66"/>
      <c r="H29" s="102"/>
      <c r="I29" s="79">
        <v>91.35</v>
      </c>
      <c r="J29" s="81">
        <f t="shared" si="0"/>
        <v>0</v>
      </c>
      <c r="K29" s="80">
        <f>31.35+60</f>
        <v>91.35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507.90599999999995</v>
      </c>
      <c r="C30" s="100"/>
      <c r="D30" s="66"/>
      <c r="E30" s="67"/>
      <c r="F30" s="66"/>
      <c r="G30" s="66"/>
      <c r="H30" s="102"/>
      <c r="I30" s="79">
        <v>507.91</v>
      </c>
      <c r="J30" s="81">
        <f t="shared" si="0"/>
        <v>-4.0000000000759428E-3</v>
      </c>
      <c r="K30" s="80">
        <v>507.91</v>
      </c>
      <c r="L30" s="186">
        <f>K30-B30</f>
        <v>4.0000000000759428E-3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91.35</v>
      </c>
      <c r="C35" s="95"/>
      <c r="D35" s="94"/>
      <c r="E35" s="96"/>
      <c r="F35" s="94"/>
      <c r="G35" s="94"/>
      <c r="H35" s="98"/>
      <c r="I35" s="99">
        <v>91.35</v>
      </c>
      <c r="J35" s="185">
        <f t="shared" si="0"/>
        <v>0</v>
      </c>
      <c r="K35" s="99">
        <v>91.35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507.90599999999995</v>
      </c>
      <c r="C36" s="95"/>
      <c r="D36" s="94"/>
      <c r="E36" s="96"/>
      <c r="F36" s="94"/>
      <c r="G36" s="94"/>
      <c r="H36" s="98"/>
      <c r="I36" s="99"/>
      <c r="J36" s="185">
        <f t="shared" si="0"/>
        <v>507.90599999999995</v>
      </c>
      <c r="K36" s="99">
        <v>507.91</v>
      </c>
      <c r="L36" s="187">
        <f>K36-B36</f>
        <v>4.0000000000759428E-3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44.54</v>
      </c>
      <c r="C37" s="100"/>
      <c r="D37" s="66"/>
      <c r="E37" s="67"/>
      <c r="F37" s="66"/>
      <c r="G37" s="66"/>
      <c r="H37" s="102"/>
      <c r="I37" s="79">
        <v>44.54</v>
      </c>
      <c r="J37" s="81">
        <f t="shared" si="0"/>
        <v>0</v>
      </c>
      <c r="K37" s="80">
        <f>37.02+7.52</f>
        <v>44.540000000000006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247.64239999999998</v>
      </c>
      <c r="C38" s="100"/>
      <c r="D38" s="66"/>
      <c r="E38" s="67"/>
      <c r="F38" s="66"/>
      <c r="G38" s="66"/>
      <c r="H38" s="102"/>
      <c r="I38" s="79">
        <v>247.64</v>
      </c>
      <c r="J38" s="81">
        <f t="shared" si="0"/>
        <v>2.3999999999944066E-3</v>
      </c>
      <c r="K38" s="80">
        <v>247.64</v>
      </c>
      <c r="L38" s="186">
        <f>K38-B38</f>
        <v>-2.3999999999944066E-3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12130</v>
      </c>
      <c r="S42" s="190">
        <f t="shared" si="8"/>
        <v>0</v>
      </c>
      <c r="T42" s="190">
        <f t="shared" si="8"/>
        <v>689.0100000000001</v>
      </c>
      <c r="U42" s="190">
        <f t="shared" si="8"/>
        <v>29.698706896551727</v>
      </c>
      <c r="V42" s="190">
        <f t="shared" si="8"/>
        <v>90.975000000000009</v>
      </c>
      <c r="W42" s="190">
        <f t="shared" si="8"/>
        <v>0</v>
      </c>
      <c r="X42" s="190">
        <f t="shared" si="8"/>
        <v>17.225249999999999</v>
      </c>
      <c r="Y42" s="190">
        <f t="shared" si="8"/>
        <v>12039.024999999998</v>
      </c>
      <c r="Z42" s="190">
        <f t="shared" si="8"/>
        <v>0</v>
      </c>
      <c r="AA42" s="190">
        <f t="shared" si="8"/>
        <v>642.08604310344845</v>
      </c>
      <c r="AB42" s="166"/>
    </row>
    <row r="43" spans="1:28" ht="15.75" x14ac:dyDescent="0.25">
      <c r="A43" s="93" t="s">
        <v>101</v>
      </c>
      <c r="B43" s="97">
        <f>+B37+B39+B41</f>
        <v>44.54</v>
      </c>
      <c r="C43" s="95"/>
      <c r="D43" s="94"/>
      <c r="E43" s="96"/>
      <c r="F43" s="94"/>
      <c r="G43" s="94"/>
      <c r="H43" s="98"/>
      <c r="I43" s="99">
        <v>44.54</v>
      </c>
      <c r="J43" s="185">
        <f t="shared" si="0"/>
        <v>0</v>
      </c>
      <c r="K43" s="99">
        <v>44.64</v>
      </c>
      <c r="L43" s="187">
        <f>K43-B43</f>
        <v>0.10000000000000142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247.64239999999998</v>
      </c>
      <c r="C44" s="95"/>
      <c r="D44" s="94"/>
      <c r="E44" s="96"/>
      <c r="F44" s="94"/>
      <c r="G44" s="94"/>
      <c r="H44" s="98"/>
      <c r="I44" s="99">
        <v>247.64</v>
      </c>
      <c r="J44" s="185">
        <f t="shared" si="0"/>
        <v>2.3999999999944066E-3</v>
      </c>
      <c r="K44" s="99">
        <v>247.64</v>
      </c>
      <c r="L44" s="187">
        <f>K44-B44</f>
        <v>-2.3999999999944066E-3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12130</v>
      </c>
      <c r="C46" s="116">
        <v>7.4999999999999997E-3</v>
      </c>
      <c r="D46" s="117">
        <f>B46*C46</f>
        <v>90.974999999999994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12039.025</v>
      </c>
      <c r="H46" s="173">
        <f>B$6+1</f>
        <v>44746</v>
      </c>
      <c r="I46" s="174">
        <v>12130.09</v>
      </c>
      <c r="J46" s="81">
        <f t="shared" si="0"/>
        <v>-9.0000000000145519E-2</v>
      </c>
      <c r="K46" s="80">
        <v>12570.24</v>
      </c>
      <c r="L46" s="186">
        <f t="shared" ref="L46:L64" si="17">+G46-K46</f>
        <v>-531.21500000000015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459.63000000000005</v>
      </c>
      <c r="C48" s="116">
        <v>1.4999999999999999E-2</v>
      </c>
      <c r="D48" s="117">
        <f t="shared" si="18"/>
        <v>6.8944500000000009</v>
      </c>
      <c r="E48" s="172">
        <v>0</v>
      </c>
      <c r="F48" s="117">
        <f t="shared" si="15"/>
        <v>0</v>
      </c>
      <c r="G48" s="117">
        <f t="shared" si="16"/>
        <v>452.73555000000005</v>
      </c>
      <c r="H48" s="173">
        <f t="shared" ref="H48:H61" si="19">B$6+1</f>
        <v>44746</v>
      </c>
      <c r="I48" s="176">
        <v>459.63</v>
      </c>
      <c r="J48" s="81">
        <f t="shared" si="0"/>
        <v>0</v>
      </c>
      <c r="K48" s="80"/>
      <c r="L48" s="186">
        <f t="shared" si="17"/>
        <v>452.73555000000005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2903.2799999999997</v>
      </c>
      <c r="C49" s="116">
        <v>7.4999999999999997E-3</v>
      </c>
      <c r="D49" s="117">
        <f t="shared" si="18"/>
        <v>21.774599999999996</v>
      </c>
      <c r="E49" s="172">
        <v>0</v>
      </c>
      <c r="F49" s="117">
        <f t="shared" si="15"/>
        <v>0</v>
      </c>
      <c r="G49" s="117">
        <f t="shared" si="16"/>
        <v>2881.5053999999996</v>
      </c>
      <c r="H49" s="173">
        <f t="shared" si="19"/>
        <v>44746</v>
      </c>
      <c r="I49" s="176">
        <v>2633.28</v>
      </c>
      <c r="J49" s="81">
        <f t="shared" si="0"/>
        <v>269.99999999999955</v>
      </c>
      <c r="K49" s="80"/>
      <c r="L49" s="186">
        <f t="shared" si="17"/>
        <v>2881.5053999999996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1914.6099999999997</v>
      </c>
      <c r="C50" s="116">
        <v>7.4999999999999997E-3</v>
      </c>
      <c r="D50" s="117">
        <f t="shared" si="18"/>
        <v>14.359574999999998</v>
      </c>
      <c r="E50" s="172">
        <v>0</v>
      </c>
      <c r="F50" s="117">
        <f t="shared" si="15"/>
        <v>0</v>
      </c>
      <c r="G50" s="117">
        <f t="shared" si="16"/>
        <v>1900.2504249999997</v>
      </c>
      <c r="H50" s="173">
        <f t="shared" si="19"/>
        <v>44746</v>
      </c>
      <c r="I50" s="175">
        <v>2180.6799999999998</v>
      </c>
      <c r="J50" s="81">
        <f t="shared" si="0"/>
        <v>-266.07000000000016</v>
      </c>
      <c r="K50" s="80"/>
      <c r="L50" s="186">
        <f t="shared" si="17"/>
        <v>1900.2504249999997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266.07</v>
      </c>
      <c r="C51" s="116">
        <v>1.4999999999999999E-2</v>
      </c>
      <c r="D51" s="117">
        <f>+B51*C51</f>
        <v>3.9910499999999995</v>
      </c>
      <c r="E51" s="172">
        <v>0</v>
      </c>
      <c r="F51" s="117">
        <f>D51*E51</f>
        <v>0</v>
      </c>
      <c r="G51" s="117">
        <f t="shared" si="16"/>
        <v>262.07895000000002</v>
      </c>
      <c r="H51" s="173">
        <f t="shared" si="19"/>
        <v>44746</v>
      </c>
      <c r="I51" s="175"/>
      <c r="J51" s="81">
        <f t="shared" si="0"/>
        <v>266.07</v>
      </c>
      <c r="K51" s="80"/>
      <c r="L51" s="186">
        <f t="shared" si="17"/>
        <v>262.07895000000002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689.0100000000001</v>
      </c>
      <c r="C52" s="116">
        <v>2.5000000000000001E-2</v>
      </c>
      <c r="D52" s="117">
        <f>B52*C52</f>
        <v>17.225250000000003</v>
      </c>
      <c r="E52" s="172">
        <v>0.05</v>
      </c>
      <c r="F52" s="117">
        <f>(B52/E$10)*E52</f>
        <v>29.698706896551734</v>
      </c>
      <c r="G52" s="117">
        <f>B52-D52-F52</f>
        <v>642.08604310344845</v>
      </c>
      <c r="H52" s="188">
        <f t="shared" si="19"/>
        <v>44746</v>
      </c>
      <c r="I52" s="176">
        <v>689.81</v>
      </c>
      <c r="J52" s="81">
        <f t="shared" si="0"/>
        <v>-0.79999999999984084</v>
      </c>
      <c r="K52" s="80">
        <v>143.34</v>
      </c>
      <c r="L52" s="186">
        <f t="shared" si="17"/>
        <v>498.74604310344841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180</v>
      </c>
      <c r="B56" s="117">
        <f>T75</f>
        <v>34.42</v>
      </c>
      <c r="C56" s="116">
        <v>2.5000000000000001E-2</v>
      </c>
      <c r="D56" s="117">
        <f t="shared" si="20"/>
        <v>0.86050000000000004</v>
      </c>
      <c r="E56" s="172">
        <v>0.05</v>
      </c>
      <c r="F56" s="117">
        <f t="shared" si="21"/>
        <v>1.4836206896551727</v>
      </c>
      <c r="G56" s="117">
        <f t="shared" si="22"/>
        <v>32.075879310344824</v>
      </c>
      <c r="H56" s="173">
        <f t="shared" si="19"/>
        <v>44746</v>
      </c>
      <c r="I56" s="176">
        <v>34.42</v>
      </c>
      <c r="J56" s="81">
        <f t="shared" si="0"/>
        <v>0</v>
      </c>
      <c r="K56" s="80"/>
      <c r="L56" s="186">
        <f t="shared" si="17"/>
        <v>32.075879310344824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156.08042499999999</v>
      </c>
      <c r="E61" s="177"/>
      <c r="F61" s="57">
        <f>SUM(F46:F58)</f>
        <v>31.182327586206906</v>
      </c>
      <c r="G61" s="57">
        <f>SUM(G46:G58)</f>
        <v>18209.757247413792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7"/>
        <v>18209.757247413792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270</v>
      </c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270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36419.514494827585</v>
      </c>
      <c r="H64" s="184"/>
      <c r="I64" s="175"/>
      <c r="J64" s="81">
        <f t="shared" si="0"/>
        <v>0</v>
      </c>
      <c r="K64" s="80"/>
      <c r="L64" s="186">
        <f t="shared" si="17"/>
        <v>36419.514494827585</v>
      </c>
      <c r="M64" s="130"/>
      <c r="N64" s="87">
        <v>1</v>
      </c>
      <c r="O64" s="122" t="s">
        <v>178</v>
      </c>
      <c r="P64" s="87"/>
      <c r="Q64" s="225"/>
      <c r="R64" s="225">
        <v>193.12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1.4483999999999999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191.67160000000001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34457.368399999999</v>
      </c>
      <c r="G65" s="22"/>
      <c r="L65" s="132"/>
      <c r="M65" s="131"/>
      <c r="N65" s="87">
        <v>2</v>
      </c>
      <c r="O65" s="122" t="s">
        <v>178</v>
      </c>
      <c r="P65" s="87"/>
      <c r="Q65" s="225"/>
      <c r="R65" s="225">
        <v>220.08</v>
      </c>
      <c r="S65" s="225"/>
      <c r="T65" s="87"/>
      <c r="U65" s="189">
        <f t="shared" si="27"/>
        <v>0</v>
      </c>
      <c r="V65" s="189">
        <f t="shared" si="28"/>
        <v>1.6506000000000001</v>
      </c>
      <c r="W65" s="189">
        <f t="shared" si="29"/>
        <v>0</v>
      </c>
      <c r="X65" s="189">
        <f t="shared" si="30"/>
        <v>0</v>
      </c>
      <c r="Y65" s="189">
        <f t="shared" si="31"/>
        <v>218.42940000000002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178</v>
      </c>
      <c r="P66" s="87"/>
      <c r="Q66" s="225"/>
      <c r="R66" s="225">
        <v>46.43</v>
      </c>
      <c r="S66" s="225"/>
      <c r="T66" s="87"/>
      <c r="U66" s="189">
        <f t="shared" si="27"/>
        <v>0</v>
      </c>
      <c r="V66" s="189">
        <f t="shared" si="28"/>
        <v>0.34822500000000001</v>
      </c>
      <c r="W66" s="189">
        <f t="shared" si="29"/>
        <v>0</v>
      </c>
      <c r="X66" s="189">
        <f t="shared" si="30"/>
        <v>0</v>
      </c>
      <c r="Y66" s="189">
        <f t="shared" si="31"/>
        <v>46.081775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178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33840.01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34242.9</v>
      </c>
      <c r="C69" s="59"/>
      <c r="F69" s="87" t="s">
        <v>127</v>
      </c>
      <c r="G69" s="22"/>
      <c r="H69" s="89"/>
      <c r="I69" s="136"/>
      <c r="J69" s="136">
        <f>K52</f>
        <v>143.34</v>
      </c>
      <c r="N69" s="301" t="s">
        <v>179</v>
      </c>
      <c r="O69" s="301"/>
      <c r="P69" s="302"/>
      <c r="Q69" s="302"/>
      <c r="R69" s="192">
        <f>SUM(R64:R68)</f>
        <v>459.63000000000005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3.4472250000000004</v>
      </c>
      <c r="W69" s="192">
        <f t="shared" si="33"/>
        <v>0</v>
      </c>
      <c r="X69" s="192">
        <f t="shared" si="33"/>
        <v>0</v>
      </c>
      <c r="Y69" s="192">
        <f t="shared" si="33"/>
        <v>456.18277499999999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-402.88999999999942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>
        <v>130</v>
      </c>
      <c r="Q70" s="225">
        <v>2001</v>
      </c>
      <c r="R70" s="221">
        <v>2.78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2.0849999999999997E-2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2.75915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214.46839999999793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143.34</v>
      </c>
      <c r="N71" s="87">
        <v>2</v>
      </c>
      <c r="O71" s="122" t="s">
        <v>199</v>
      </c>
      <c r="P71" s="225">
        <v>68</v>
      </c>
      <c r="Q71" s="225">
        <v>2001</v>
      </c>
      <c r="R71" s="221">
        <v>0.71</v>
      </c>
      <c r="S71" s="225"/>
      <c r="T71" s="225">
        <v>34.42</v>
      </c>
      <c r="U71" s="189">
        <f t="shared" si="34"/>
        <v>1.4836206896551727</v>
      </c>
      <c r="V71" s="189">
        <f t="shared" si="35"/>
        <v>5.3249999999999999E-3</v>
      </c>
      <c r="W71" s="189">
        <f t="shared" si="36"/>
        <v>0</v>
      </c>
      <c r="X71" s="189">
        <f t="shared" si="37"/>
        <v>0.86050000000000004</v>
      </c>
      <c r="Y71" s="189">
        <f t="shared" si="38"/>
        <v>0.70467499999999994</v>
      </c>
      <c r="Z71" s="189">
        <f t="shared" si="38"/>
        <v>0</v>
      </c>
      <c r="AA71" s="189">
        <f t="shared" si="39"/>
        <v>32.075879310344824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25">
        <v>139</v>
      </c>
      <c r="Q72" s="225">
        <v>2001</v>
      </c>
      <c r="R72" s="221">
        <v>62.73</v>
      </c>
      <c r="S72" s="225"/>
      <c r="T72" s="221"/>
      <c r="U72" s="189">
        <f t="shared" si="34"/>
        <v>0</v>
      </c>
      <c r="V72" s="189">
        <f t="shared" si="35"/>
        <v>0.47047499999999998</v>
      </c>
      <c r="W72" s="189">
        <f t="shared" si="36"/>
        <v>0</v>
      </c>
      <c r="X72" s="189">
        <f t="shared" si="37"/>
        <v>0</v>
      </c>
      <c r="Y72" s="189">
        <f t="shared" si="38"/>
        <v>62.259524999999996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>
        <v>140</v>
      </c>
      <c r="Q73" s="225">
        <v>2001</v>
      </c>
      <c r="R73" s="221">
        <v>2567.06</v>
      </c>
      <c r="S73" s="225"/>
      <c r="T73" s="225"/>
      <c r="U73" s="189">
        <f t="shared" si="34"/>
        <v>0</v>
      </c>
      <c r="V73" s="189">
        <f t="shared" si="35"/>
        <v>19.252949999999998</v>
      </c>
      <c r="W73" s="189">
        <f t="shared" si="36"/>
        <v>0</v>
      </c>
      <c r="X73" s="189">
        <f t="shared" si="37"/>
        <v>0</v>
      </c>
      <c r="Y73" s="189">
        <f t="shared" si="38"/>
        <v>2547.8070499999999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15+95+40+115+5</f>
        <v>270</v>
      </c>
      <c r="S74" s="225"/>
      <c r="T74" s="221"/>
      <c r="U74" s="189">
        <f t="shared" si="34"/>
        <v>0</v>
      </c>
      <c r="V74" s="189">
        <f t="shared" si="35"/>
        <v>2.0249999999999999</v>
      </c>
      <c r="W74" s="189">
        <f t="shared" si="36"/>
        <v>0</v>
      </c>
      <c r="X74" s="189">
        <f t="shared" si="37"/>
        <v>0</v>
      </c>
      <c r="Y74" s="189">
        <f t="shared" si="38"/>
        <v>267.97500000000002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173</v>
      </c>
      <c r="O75" s="301"/>
      <c r="P75" s="302"/>
      <c r="Q75" s="302"/>
      <c r="R75" s="192">
        <f>SUM(R70:R74)</f>
        <v>2903.2799999999997</v>
      </c>
      <c r="S75" s="192"/>
      <c r="T75" s="192">
        <f>SUM(T70:T74)</f>
        <v>34.42</v>
      </c>
      <c r="U75" s="192">
        <f>SUM(U70:U74)</f>
        <v>1.4836206896551727</v>
      </c>
      <c r="V75" s="192">
        <f t="shared" ref="V75:AA75" si="41">SUM(V70:V74)</f>
        <v>21.774599999999996</v>
      </c>
      <c r="W75" s="192">
        <f t="shared" si="41"/>
        <v>0</v>
      </c>
      <c r="X75" s="192">
        <f t="shared" si="41"/>
        <v>0.86050000000000004</v>
      </c>
      <c r="Y75" s="192">
        <f t="shared" si="41"/>
        <v>2881.5054</v>
      </c>
      <c r="Z75" s="192">
        <f t="shared" si="41"/>
        <v>0</v>
      </c>
      <c r="AA75" s="193">
        <f t="shared" si="41"/>
        <v>32.075879310344824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220.18</v>
      </c>
      <c r="Q78" s="137">
        <v>37.33</v>
      </c>
      <c r="R78" s="82">
        <v>7.4999999999999997E-3</v>
      </c>
      <c r="S78" s="194">
        <f>+(P78+Q78)*R78</f>
        <v>1.931325</v>
      </c>
      <c r="T78" s="219">
        <f>+(P78+Q78)-S78</f>
        <v>255.578675</v>
      </c>
      <c r="U78" s="211">
        <v>24.82</v>
      </c>
      <c r="V78" s="112"/>
      <c r="W78" s="113">
        <v>1.4999999999999999E-2</v>
      </c>
      <c r="X78" s="196">
        <f>+(U78+V78)*W78</f>
        <v>0.37229999999999996</v>
      </c>
      <c r="Y78" s="254">
        <f>+(U78+V78)-X78</f>
        <v>24.447700000000001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87.36</v>
      </c>
      <c r="Q79" s="137"/>
      <c r="R79" s="82">
        <v>7.4999999999999997E-3</v>
      </c>
      <c r="S79" s="194">
        <f t="shared" ref="S79:S97" si="43">+(P79+Q79)*R79</f>
        <v>0.6552</v>
      </c>
      <c r="T79" s="219">
        <f t="shared" ref="T79:T97" si="44">+(P79+Q79)-S79</f>
        <v>86.704800000000006</v>
      </c>
      <c r="U79" s="211">
        <v>21.36</v>
      </c>
      <c r="V79" s="112"/>
      <c r="W79" s="113">
        <v>1.4999999999999999E-2</v>
      </c>
      <c r="X79" s="196">
        <f t="shared" ref="X79:X97" si="45">+(U79+V79)*W79</f>
        <v>0.32039999999999996</v>
      </c>
      <c r="Y79" s="254">
        <f t="shared" ref="Y79:Y97" si="46">+(U79+V79)-X79</f>
        <v>21.0396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102.35</v>
      </c>
      <c r="Q80" s="137">
        <v>182.85</v>
      </c>
      <c r="R80" s="82">
        <v>7.4999999999999997E-3</v>
      </c>
      <c r="S80" s="194">
        <f t="shared" si="43"/>
        <v>2.1389999999999998</v>
      </c>
      <c r="T80" s="219">
        <f t="shared" si="44"/>
        <v>283.06099999999998</v>
      </c>
      <c r="U80" s="211">
        <v>54.37</v>
      </c>
      <c r="V80" s="112">
        <v>0</v>
      </c>
      <c r="W80" s="113">
        <v>1.4999999999999999E-2</v>
      </c>
      <c r="X80" s="196">
        <f t="shared" si="45"/>
        <v>0.81554999999999989</v>
      </c>
      <c r="Y80" s="217">
        <f t="shared" si="46"/>
        <v>53.554449999999996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303.95999999999998</v>
      </c>
      <c r="Q81" s="137">
        <v>35.99</v>
      </c>
      <c r="R81" s="82">
        <v>7.4999999999999997E-3</v>
      </c>
      <c r="S81" s="194">
        <f t="shared" si="43"/>
        <v>2.5496249999999998</v>
      </c>
      <c r="T81" s="219">
        <f t="shared" si="44"/>
        <v>337.400375</v>
      </c>
      <c r="U81" s="211">
        <v>24.13</v>
      </c>
      <c r="V81" s="112"/>
      <c r="W81" s="113">
        <v>1.4999999999999999E-2</v>
      </c>
      <c r="X81" s="196">
        <f t="shared" si="45"/>
        <v>0.36194999999999999</v>
      </c>
      <c r="Y81" s="217">
        <f t="shared" si="46"/>
        <v>23.768049999999999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50.26</v>
      </c>
      <c r="Q82" s="137"/>
      <c r="R82" s="82">
        <v>7.4999999999999997E-3</v>
      </c>
      <c r="S82" s="194">
        <f t="shared" si="43"/>
        <v>0.37694999999999995</v>
      </c>
      <c r="T82" s="219">
        <f t="shared" si="44"/>
        <v>49.883049999999997</v>
      </c>
      <c r="U82" s="211">
        <v>39.619999999999997</v>
      </c>
      <c r="V82" s="112"/>
      <c r="W82" s="113">
        <v>1.4999999999999999E-2</v>
      </c>
      <c r="X82" s="196">
        <f t="shared" si="45"/>
        <v>0.59429999999999994</v>
      </c>
      <c r="Y82" s="254">
        <f t="shared" si="46"/>
        <v>39.025700000000001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202.27</v>
      </c>
      <c r="R83" s="82">
        <v>7.4999999999999997E-3</v>
      </c>
      <c r="S83" s="194">
        <f t="shared" si="43"/>
        <v>1.5170250000000001</v>
      </c>
      <c r="T83" s="219">
        <f t="shared" si="44"/>
        <v>200.75297500000002</v>
      </c>
      <c r="U83" s="211">
        <v>74.53</v>
      </c>
      <c r="V83" s="112"/>
      <c r="W83" s="113">
        <v>1.4999999999999999E-2</v>
      </c>
      <c r="X83" s="196">
        <f t="shared" si="45"/>
        <v>1.11795</v>
      </c>
      <c r="Y83" s="254">
        <f t="shared" si="46"/>
        <v>73.412050000000008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6</v>
      </c>
      <c r="Q84" s="137">
        <v>178.54</v>
      </c>
      <c r="R84" s="82">
        <v>7.4999999999999997E-3</v>
      </c>
      <c r="S84" s="194">
        <f t="shared" si="43"/>
        <v>1.3840499999999998</v>
      </c>
      <c r="T84" s="219">
        <f t="shared" si="44"/>
        <v>183.15594999999999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147.55000000000001</v>
      </c>
      <c r="Q85" s="87">
        <v>63.48</v>
      </c>
      <c r="R85" s="82">
        <v>7.4999999999999997E-3</v>
      </c>
      <c r="S85" s="194">
        <f t="shared" si="43"/>
        <v>1.5827249999999999</v>
      </c>
      <c r="T85" s="219">
        <f t="shared" si="44"/>
        <v>209.44727499999999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137.33000000000001</v>
      </c>
      <c r="Q86" s="87">
        <v>159.16</v>
      </c>
      <c r="R86" s="82">
        <v>7.4999999999999997E-3</v>
      </c>
      <c r="S86" s="194">
        <f t="shared" si="43"/>
        <v>2.2236750000000001</v>
      </c>
      <c r="T86" s="219">
        <f t="shared" si="44"/>
        <v>294.26632499999999</v>
      </c>
      <c r="U86" s="112">
        <v>27.24</v>
      </c>
      <c r="V86" s="112"/>
      <c r="W86" s="113">
        <v>1.4999999999999999E-2</v>
      </c>
      <c r="X86" s="196">
        <f t="shared" si="45"/>
        <v>0.40859999999999996</v>
      </c>
      <c r="Y86" s="217">
        <f t="shared" si="46"/>
        <v>26.831399999999999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1054.9899999999998</v>
      </c>
      <c r="Q98" s="195">
        <f>SUM(Q78:Q97)</f>
        <v>859.62</v>
      </c>
      <c r="R98" s="111"/>
      <c r="S98" s="195">
        <f>SUM(S78:S97)</f>
        <v>14.359575</v>
      </c>
      <c r="T98" s="195">
        <f>SUM(T78:T97)</f>
        <v>1900.2504250000002</v>
      </c>
      <c r="U98" s="114">
        <f>SUM(U78:U97)</f>
        <v>266.07</v>
      </c>
      <c r="V98" s="114">
        <f>SUM(V78:V97)</f>
        <v>0</v>
      </c>
      <c r="W98" s="112"/>
      <c r="X98" s="197">
        <f>SUM(X78:X97)</f>
        <v>3.9910499999999995</v>
      </c>
      <c r="Y98" s="197">
        <f>SUM(Y78:Y97)</f>
        <v>262.07895000000002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>P78+Q78+U78</f>
        <v>282.33</v>
      </c>
      <c r="R100" s="84"/>
    </row>
    <row r="101" spans="14:30" x14ac:dyDescent="0.25">
      <c r="N101" s="85"/>
      <c r="P101" s="84"/>
      <c r="Q101" s="215">
        <f>P79+Q79+U79</f>
        <v>108.72</v>
      </c>
      <c r="R101" s="84"/>
    </row>
    <row r="102" spans="14:30" x14ac:dyDescent="0.25">
      <c r="N102" s="85"/>
      <c r="P102" s="84"/>
      <c r="Q102" s="215">
        <f>P80+Q80+U80</f>
        <v>339.57</v>
      </c>
      <c r="R102" s="84"/>
    </row>
    <row r="103" spans="14:30" x14ac:dyDescent="0.25">
      <c r="N103" s="85"/>
      <c r="P103" s="84"/>
      <c r="Q103" s="215">
        <f>U81+Q81+P81+Z81</f>
        <v>364.08</v>
      </c>
      <c r="R103" s="84"/>
    </row>
    <row r="104" spans="14:30" x14ac:dyDescent="0.25">
      <c r="N104" s="85"/>
      <c r="P104" s="84"/>
      <c r="Q104" s="233">
        <f>P82+Q82+U82</f>
        <v>89.88</v>
      </c>
      <c r="R104" s="84"/>
      <c r="T104" s="85">
        <v>22</v>
      </c>
    </row>
    <row r="105" spans="14:30" x14ac:dyDescent="0.25">
      <c r="N105" s="85"/>
      <c r="P105" s="84"/>
      <c r="Q105" s="233">
        <f t="shared" ref="Q105:Q109" si="50">P83+Q83+U83</f>
        <v>276.8</v>
      </c>
      <c r="R105" s="84"/>
      <c r="T105" s="85">
        <v>7.5</v>
      </c>
    </row>
    <row r="106" spans="14:30" x14ac:dyDescent="0.25">
      <c r="N106" s="85"/>
      <c r="P106" s="84"/>
      <c r="Q106" s="233">
        <f t="shared" si="50"/>
        <v>184.54</v>
      </c>
      <c r="R106" s="84"/>
    </row>
    <row r="107" spans="14:30" x14ac:dyDescent="0.25">
      <c r="N107" s="85"/>
      <c r="P107" s="84"/>
      <c r="Q107" s="84">
        <f t="shared" si="50"/>
        <v>211.03</v>
      </c>
      <c r="R107" s="84"/>
    </row>
    <row r="108" spans="14:30" x14ac:dyDescent="0.25">
      <c r="N108" s="85"/>
      <c r="Q108" s="84">
        <f t="shared" si="50"/>
        <v>323.73</v>
      </c>
    </row>
    <row r="109" spans="14:30" x14ac:dyDescent="0.25">
      <c r="N109" s="85"/>
      <c r="Q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4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>
        <v>5.8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1889.5</v>
      </c>
      <c r="C12" s="15"/>
      <c r="D12" s="56"/>
      <c r="E12" s="16"/>
      <c r="F12" s="56"/>
      <c r="G12" s="56"/>
      <c r="H12" s="17"/>
      <c r="I12" s="83">
        <v>1889.5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153</v>
      </c>
      <c r="Q12" s="158">
        <v>11</v>
      </c>
      <c r="R12" s="159">
        <v>946.76</v>
      </c>
      <c r="S12" s="160"/>
      <c r="T12" s="160">
        <v>42.89</v>
      </c>
      <c r="U12" s="189">
        <f>((T12/U$10)*U$9)</f>
        <v>1.8487068965517244</v>
      </c>
      <c r="V12" s="189">
        <f>R12*V$10</f>
        <v>7.1006999999999998</v>
      </c>
      <c r="W12" s="189">
        <f>+S12*V$10</f>
        <v>0</v>
      </c>
      <c r="X12" s="189">
        <f>+T12*X$10</f>
        <v>1.0722500000000001</v>
      </c>
      <c r="Y12" s="189">
        <f>R12-V12</f>
        <v>939.65930000000003</v>
      </c>
      <c r="Z12" s="189">
        <f>S12-W12</f>
        <v>0</v>
      </c>
      <c r="AA12" s="189">
        <f>T12-U12-X12</f>
        <v>39.969043103448278</v>
      </c>
      <c r="AB12" s="156"/>
    </row>
    <row r="13" spans="1:28" ht="15.75" x14ac:dyDescent="0.25">
      <c r="A13" s="86" t="s">
        <v>74</v>
      </c>
      <c r="B13" s="89">
        <v>1832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1832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154</v>
      </c>
      <c r="Q13" s="158">
        <v>11</v>
      </c>
      <c r="R13" s="159">
        <v>66.8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0.501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66.298999999999992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10185.92</v>
      </c>
      <c r="C14" s="15"/>
      <c r="D14" s="56"/>
      <c r="E14" s="16"/>
      <c r="F14" s="56"/>
      <c r="G14" s="56"/>
      <c r="H14" s="17"/>
      <c r="I14" s="83"/>
      <c r="J14" s="81">
        <f t="shared" si="0"/>
        <v>10185.92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538</v>
      </c>
      <c r="Q14" s="158">
        <v>2</v>
      </c>
      <c r="R14" s="159">
        <v>1273.27</v>
      </c>
      <c r="S14" s="160"/>
      <c r="T14" s="161">
        <v>73.290000000000006</v>
      </c>
      <c r="U14" s="189">
        <f t="shared" si="2"/>
        <v>3.1590517241379317</v>
      </c>
      <c r="V14" s="189">
        <f t="shared" si="3"/>
        <v>9.5495249999999992</v>
      </c>
      <c r="W14" s="189">
        <f t="shared" si="4"/>
        <v>0</v>
      </c>
      <c r="X14" s="189">
        <f t="shared" si="5"/>
        <v>1.8322500000000002</v>
      </c>
      <c r="Y14" s="189">
        <f t="shared" si="6"/>
        <v>1263.7204750000001</v>
      </c>
      <c r="Z14" s="189">
        <f t="shared" si="6"/>
        <v>0</v>
      </c>
      <c r="AA14" s="189">
        <f t="shared" si="7"/>
        <v>68.298698275862066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539</v>
      </c>
      <c r="Q15" s="158">
        <v>2</v>
      </c>
      <c r="R15" s="159">
        <v>836.08</v>
      </c>
      <c r="S15" s="160"/>
      <c r="T15" s="161">
        <v>67.78</v>
      </c>
      <c r="U15" s="189">
        <f t="shared" si="2"/>
        <v>2.9215517241379314</v>
      </c>
      <c r="V15" s="189">
        <f t="shared" si="3"/>
        <v>6.2706</v>
      </c>
      <c r="W15" s="189">
        <f t="shared" si="4"/>
        <v>0</v>
      </c>
      <c r="X15" s="189">
        <f t="shared" si="5"/>
        <v>1.6945000000000001</v>
      </c>
      <c r="Y15" s="189">
        <f t="shared" si="6"/>
        <v>829.8094000000001</v>
      </c>
      <c r="Z15" s="189">
        <f t="shared" si="6"/>
        <v>0</v>
      </c>
      <c r="AA15" s="189">
        <f t="shared" si="7"/>
        <v>63.163948275862076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519</v>
      </c>
      <c r="Q16" s="158">
        <v>4</v>
      </c>
      <c r="R16" s="159">
        <v>1553.63</v>
      </c>
      <c r="S16" s="160"/>
      <c r="T16" s="161"/>
      <c r="U16" s="189">
        <f t="shared" si="2"/>
        <v>0</v>
      </c>
      <c r="V16" s="189">
        <f t="shared" si="3"/>
        <v>11.652225</v>
      </c>
      <c r="W16" s="189">
        <f t="shared" si="4"/>
        <v>0</v>
      </c>
      <c r="X16" s="189">
        <f t="shared" si="5"/>
        <v>0</v>
      </c>
      <c r="Y16" s="189">
        <f t="shared" si="6"/>
        <v>1541.9777750000001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540</v>
      </c>
      <c r="Q17" s="158">
        <v>14</v>
      </c>
      <c r="R17" s="159">
        <v>1232.6199999999999</v>
      </c>
      <c r="S17" s="160"/>
      <c r="T17" s="161"/>
      <c r="U17" s="189">
        <f t="shared" si="2"/>
        <v>0</v>
      </c>
      <c r="V17" s="189">
        <f t="shared" si="3"/>
        <v>9.2446499999999983</v>
      </c>
      <c r="W17" s="189">
        <f t="shared" si="4"/>
        <v>0</v>
      </c>
      <c r="X17" s="189">
        <f t="shared" si="5"/>
        <v>0</v>
      </c>
      <c r="Y17" s="189">
        <f t="shared" si="6"/>
        <v>1223.3753499999998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167</v>
      </c>
      <c r="Q18" s="158">
        <v>10</v>
      </c>
      <c r="R18" s="159">
        <v>690.32</v>
      </c>
      <c r="S18" s="160"/>
      <c r="T18" s="161">
        <v>6.12</v>
      </c>
      <c r="U18" s="189">
        <f t="shared" si="2"/>
        <v>0.26379310344827589</v>
      </c>
      <c r="V18" s="189">
        <f t="shared" si="3"/>
        <v>5.1774000000000004</v>
      </c>
      <c r="W18" s="189">
        <f t="shared" si="4"/>
        <v>0</v>
      </c>
      <c r="X18" s="189">
        <f t="shared" si="5"/>
        <v>0.15300000000000002</v>
      </c>
      <c r="Y18" s="189">
        <f t="shared" si="6"/>
        <v>685.14260000000002</v>
      </c>
      <c r="Z18" s="189">
        <f t="shared" si="6"/>
        <v>0</v>
      </c>
      <c r="AA18" s="189">
        <f t="shared" si="7"/>
        <v>5.7032068965517233</v>
      </c>
      <c r="AB18" s="156"/>
    </row>
    <row r="19" spans="1:28" ht="15.75" x14ac:dyDescent="0.25">
      <c r="A19" s="93" t="s">
        <v>79</v>
      </c>
      <c r="B19" s="97">
        <f>+B13+B15+B17</f>
        <v>1832</v>
      </c>
      <c r="C19" s="95"/>
      <c r="D19" s="94"/>
      <c r="E19" s="96"/>
      <c r="F19" s="94"/>
      <c r="G19" s="94"/>
      <c r="H19" s="98"/>
      <c r="I19" s="99"/>
      <c r="J19" s="185">
        <f>B19-I19</f>
        <v>1832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168</v>
      </c>
      <c r="Q19" s="158">
        <v>10</v>
      </c>
      <c r="R19" s="159">
        <v>814.02</v>
      </c>
      <c r="S19" s="160"/>
      <c r="T19" s="161"/>
      <c r="U19" s="189">
        <f t="shared" si="2"/>
        <v>0</v>
      </c>
      <c r="V19" s="189">
        <f t="shared" si="3"/>
        <v>6.1051500000000001</v>
      </c>
      <c r="W19" s="189">
        <f t="shared" si="4"/>
        <v>0</v>
      </c>
      <c r="X19" s="189">
        <f t="shared" si="5"/>
        <v>0</v>
      </c>
      <c r="Y19" s="189">
        <f t="shared" si="6"/>
        <v>807.91485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10185.92</v>
      </c>
      <c r="C20" s="95"/>
      <c r="D20" s="94"/>
      <c r="E20" s="96"/>
      <c r="F20" s="94"/>
      <c r="G20" s="94"/>
      <c r="H20" s="98"/>
      <c r="I20" s="99"/>
      <c r="J20" s="185">
        <f t="shared" si="0"/>
        <v>10185.92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602</v>
      </c>
      <c r="Q20" s="158">
        <v>18</v>
      </c>
      <c r="R20" s="159">
        <v>549.32000000000005</v>
      </c>
      <c r="S20" s="160"/>
      <c r="T20" s="161">
        <v>16.7</v>
      </c>
      <c r="U20" s="189">
        <f t="shared" si="2"/>
        <v>0.71982758620689657</v>
      </c>
      <c r="V20" s="189">
        <f t="shared" si="3"/>
        <v>4.1199000000000003</v>
      </c>
      <c r="W20" s="189">
        <f t="shared" si="4"/>
        <v>0</v>
      </c>
      <c r="X20" s="189">
        <f t="shared" si="5"/>
        <v>0.41749999999999998</v>
      </c>
      <c r="Y20" s="189">
        <f t="shared" si="6"/>
        <v>545.20010000000002</v>
      </c>
      <c r="Z20" s="189">
        <f t="shared" si="6"/>
        <v>0</v>
      </c>
      <c r="AA20" s="189">
        <f t="shared" si="7"/>
        <v>15.562672413793102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603</v>
      </c>
      <c r="Q21" s="158">
        <v>18</v>
      </c>
      <c r="R21" s="159">
        <v>621.91</v>
      </c>
      <c r="S21" s="160"/>
      <c r="T21" s="161"/>
      <c r="U21" s="189">
        <f t="shared" si="2"/>
        <v>0</v>
      </c>
      <c r="V21" s="189">
        <f t="shared" si="3"/>
        <v>4.6643249999999998</v>
      </c>
      <c r="W21" s="189">
        <f t="shared" si="4"/>
        <v>0</v>
      </c>
      <c r="X21" s="189">
        <f t="shared" si="5"/>
        <v>0</v>
      </c>
      <c r="Y21" s="189">
        <f t="shared" si="6"/>
        <v>617.24567500000001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58</v>
      </c>
      <c r="C22" s="100"/>
      <c r="D22" s="66"/>
      <c r="E22" s="67"/>
      <c r="F22" s="66"/>
      <c r="G22" s="66"/>
      <c r="H22" s="102"/>
      <c r="I22" s="79"/>
      <c r="J22" s="81">
        <f t="shared" si="0"/>
        <v>58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/>
      <c r="J27" s="185">
        <f t="shared" si="0"/>
        <v>10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58</v>
      </c>
      <c r="C28" s="95"/>
      <c r="D28" s="94"/>
      <c r="E28" s="96"/>
      <c r="F28" s="94"/>
      <c r="G28" s="94"/>
      <c r="H28" s="98"/>
      <c r="I28" s="99"/>
      <c r="J28" s="185">
        <f t="shared" si="0"/>
        <v>58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14.74</v>
      </c>
      <c r="C29" s="100"/>
      <c r="D29" s="66"/>
      <c r="E29" s="67"/>
      <c r="F29" s="66"/>
      <c r="G29" s="66"/>
      <c r="H29" s="102"/>
      <c r="I29" s="79">
        <v>14.74</v>
      </c>
      <c r="J29" s="81">
        <f t="shared" si="0"/>
        <v>0</v>
      </c>
      <c r="K29" s="80"/>
      <c r="L29" s="186">
        <f>K29-B29</f>
        <v>-14.74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81.954399999999993</v>
      </c>
      <c r="C30" s="100"/>
      <c r="D30" s="66"/>
      <c r="E30" s="67"/>
      <c r="F30" s="66"/>
      <c r="G30" s="66"/>
      <c r="H30" s="102"/>
      <c r="I30" s="79"/>
      <c r="J30" s="81">
        <f t="shared" si="0"/>
        <v>81.954399999999993</v>
      </c>
      <c r="K30" s="80"/>
      <c r="L30" s="186">
        <f>K30-B30</f>
        <v>-81.954399999999993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14.74</v>
      </c>
      <c r="C35" s="95"/>
      <c r="D35" s="94"/>
      <c r="E35" s="96"/>
      <c r="F35" s="94"/>
      <c r="G35" s="94"/>
      <c r="H35" s="98"/>
      <c r="I35" s="99"/>
      <c r="J35" s="185">
        <f t="shared" si="0"/>
        <v>14.74</v>
      </c>
      <c r="K35" s="99"/>
      <c r="L35" s="187">
        <f>K35-B35</f>
        <v>-14.74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81.954399999999993</v>
      </c>
      <c r="C36" s="95"/>
      <c r="D36" s="94"/>
      <c r="E36" s="96"/>
      <c r="F36" s="94"/>
      <c r="G36" s="94"/>
      <c r="H36" s="98"/>
      <c r="I36" s="99"/>
      <c r="J36" s="185">
        <f t="shared" si="0"/>
        <v>81.954399999999993</v>
      </c>
      <c r="K36" s="99"/>
      <c r="L36" s="187">
        <f>K36-B36</f>
        <v>-81.954399999999993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</v>
      </c>
      <c r="C37" s="100"/>
      <c r="D37" s="66"/>
      <c r="E37" s="67"/>
      <c r="F37" s="66"/>
      <c r="G37" s="66"/>
      <c r="H37" s="102"/>
      <c r="I37" s="79">
        <v>9</v>
      </c>
      <c r="J37" s="81">
        <f t="shared" si="0"/>
        <v>0</v>
      </c>
      <c r="K37" s="80"/>
      <c r="L37" s="186">
        <f>K37-B37</f>
        <v>-9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50.04</v>
      </c>
      <c r="C38" s="100"/>
      <c r="D38" s="66"/>
      <c r="E38" s="67"/>
      <c r="F38" s="66"/>
      <c r="G38" s="66"/>
      <c r="H38" s="102"/>
      <c r="I38" s="79"/>
      <c r="J38" s="81">
        <f t="shared" si="0"/>
        <v>50.04</v>
      </c>
      <c r="K38" s="80"/>
      <c r="L38" s="186">
        <f>K38-B38</f>
        <v>-50.04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8584.73</v>
      </c>
      <c r="S42" s="190">
        <f t="shared" si="8"/>
        <v>0</v>
      </c>
      <c r="T42" s="190">
        <f t="shared" si="8"/>
        <v>206.78</v>
      </c>
      <c r="U42" s="190">
        <f t="shared" si="8"/>
        <v>8.9129310344827601</v>
      </c>
      <c r="V42" s="190">
        <f t="shared" si="8"/>
        <v>64.385475</v>
      </c>
      <c r="W42" s="190">
        <f t="shared" si="8"/>
        <v>0</v>
      </c>
      <c r="X42" s="190">
        <f t="shared" si="8"/>
        <v>5.1695000000000011</v>
      </c>
      <c r="Y42" s="190">
        <f t="shared" si="8"/>
        <v>8520.3445250000004</v>
      </c>
      <c r="Z42" s="190">
        <f t="shared" si="8"/>
        <v>0</v>
      </c>
      <c r="AA42" s="190">
        <f t="shared" si="8"/>
        <v>192.69756896551726</v>
      </c>
      <c r="AB42" s="166"/>
    </row>
    <row r="43" spans="1:28" ht="15.75" x14ac:dyDescent="0.25">
      <c r="A43" s="93" t="s">
        <v>101</v>
      </c>
      <c r="B43" s="97">
        <f>+B37+B39+B41</f>
        <v>9</v>
      </c>
      <c r="C43" s="95"/>
      <c r="D43" s="94"/>
      <c r="E43" s="96"/>
      <c r="F43" s="94"/>
      <c r="G43" s="94"/>
      <c r="H43" s="98"/>
      <c r="I43" s="99"/>
      <c r="J43" s="185">
        <f t="shared" si="0"/>
        <v>9</v>
      </c>
      <c r="K43" s="99"/>
      <c r="L43" s="187">
        <f>K43-B43</f>
        <v>-9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50.04</v>
      </c>
      <c r="C44" s="95"/>
      <c r="D44" s="94"/>
      <c r="E44" s="96"/>
      <c r="F44" s="94"/>
      <c r="G44" s="94"/>
      <c r="H44" s="98"/>
      <c r="I44" s="99"/>
      <c r="J44" s="185">
        <f t="shared" si="0"/>
        <v>50.04</v>
      </c>
      <c r="K44" s="99"/>
      <c r="L44" s="187">
        <f>K44-B44</f>
        <v>-50.04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8584.73</v>
      </c>
      <c r="C46" s="116">
        <v>7.4999999999999997E-3</v>
      </c>
      <c r="D46" s="117">
        <f>B46*C46</f>
        <v>64.385475</v>
      </c>
      <c r="E46" s="172">
        <v>0</v>
      </c>
      <c r="F46" s="117">
        <f t="shared" ref="F46:F50" si="15">D46*E46</f>
        <v>0</v>
      </c>
      <c r="G46" s="117">
        <f t="shared" ref="G46:G51" si="16">B46-D46-F46</f>
        <v>8520.3445250000004</v>
      </c>
      <c r="H46" s="173">
        <f>B$6+1</f>
        <v>44747</v>
      </c>
      <c r="I46" s="174">
        <v>8584.73</v>
      </c>
      <c r="J46" s="81">
        <f t="shared" si="0"/>
        <v>0</v>
      </c>
      <c r="K46" s="80">
        <v>8637.09</v>
      </c>
      <c r="L46" s="186">
        <f>K46-G46</f>
        <v>116.74547499999971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128.61000000000001</v>
      </c>
      <c r="C48" s="116">
        <v>7.4999999999999997E-3</v>
      </c>
      <c r="D48" s="117">
        <f t="shared" si="17"/>
        <v>0.96457500000000007</v>
      </c>
      <c r="E48" s="172">
        <v>0</v>
      </c>
      <c r="F48" s="117">
        <f t="shared" si="15"/>
        <v>0</v>
      </c>
      <c r="G48" s="117">
        <f t="shared" si="16"/>
        <v>127.64542500000002</v>
      </c>
      <c r="H48" s="173">
        <f t="shared" ref="H48:H61" si="19">B$6+1</f>
        <v>44747</v>
      </c>
      <c r="I48" s="176">
        <v>128.61000000000001</v>
      </c>
      <c r="J48" s="81">
        <f t="shared" si="0"/>
        <v>0</v>
      </c>
      <c r="K48" s="80"/>
      <c r="L48" s="186">
        <f t="shared" si="18"/>
        <v>127.64542500000002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188</v>
      </c>
      <c r="B49" s="117">
        <f>R75</f>
        <v>2877.0299999999997</v>
      </c>
      <c r="C49" s="116">
        <v>7.4999999999999997E-3</v>
      </c>
      <c r="D49" s="117">
        <f t="shared" si="17"/>
        <v>21.577724999999997</v>
      </c>
      <c r="E49" s="172">
        <v>0</v>
      </c>
      <c r="F49" s="117">
        <f t="shared" si="15"/>
        <v>0</v>
      </c>
      <c r="G49" s="117">
        <f t="shared" si="16"/>
        <v>2855.4522749999996</v>
      </c>
      <c r="H49" s="173">
        <f t="shared" si="19"/>
        <v>44747</v>
      </c>
      <c r="I49" s="176">
        <v>2587.0300000000002</v>
      </c>
      <c r="J49" s="81">
        <f t="shared" si="0"/>
        <v>289.99999999999955</v>
      </c>
      <c r="K49" s="80"/>
      <c r="L49" s="186">
        <f t="shared" si="18"/>
        <v>2855.4522749999996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1144.29</v>
      </c>
      <c r="C50" s="116">
        <v>7.4999999999999997E-3</v>
      </c>
      <c r="D50" s="117">
        <f t="shared" si="17"/>
        <v>8.5821749999999994</v>
      </c>
      <c r="E50" s="172">
        <v>0</v>
      </c>
      <c r="F50" s="117">
        <f t="shared" si="15"/>
        <v>0</v>
      </c>
      <c r="G50" s="117">
        <f t="shared" si="16"/>
        <v>1135.707825</v>
      </c>
      <c r="H50" s="173">
        <f t="shared" si="19"/>
        <v>44747</v>
      </c>
      <c r="I50" s="175"/>
      <c r="J50" s="81">
        <f t="shared" si="0"/>
        <v>1144.29</v>
      </c>
      <c r="K50" s="80"/>
      <c r="L50" s="186">
        <f t="shared" si="18"/>
        <v>1135.707825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548.56000000000006</v>
      </c>
      <c r="C51" s="116">
        <v>1.4999999999999999E-2</v>
      </c>
      <c r="D51" s="117">
        <f>+B51*C51</f>
        <v>8.2284000000000006</v>
      </c>
      <c r="E51" s="172">
        <v>0</v>
      </c>
      <c r="F51" s="117">
        <f>D51*E51</f>
        <v>0</v>
      </c>
      <c r="G51" s="117">
        <f t="shared" si="16"/>
        <v>540.33160000000009</v>
      </c>
      <c r="H51" s="173">
        <f t="shared" si="19"/>
        <v>44747</v>
      </c>
      <c r="I51" s="175">
        <f>822.95+869.9</f>
        <v>1692.85</v>
      </c>
      <c r="J51" s="81">
        <f t="shared" si="0"/>
        <v>-1144.29</v>
      </c>
      <c r="K51" s="80"/>
      <c r="L51" s="186">
        <f t="shared" si="18"/>
        <v>540.33160000000009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206.78</v>
      </c>
      <c r="C52" s="116">
        <v>2.5000000000000001E-2</v>
      </c>
      <c r="D52" s="117">
        <f>B52*C52</f>
        <v>5.1695000000000002</v>
      </c>
      <c r="E52" s="172">
        <v>0.05</v>
      </c>
      <c r="F52" s="117">
        <f>(B52/E$10)*E52</f>
        <v>8.9129310344827584</v>
      </c>
      <c r="G52" s="117">
        <f>B52-D52-F52</f>
        <v>192.69756896551723</v>
      </c>
      <c r="H52" s="188">
        <f t="shared" si="19"/>
        <v>44747</v>
      </c>
      <c r="I52" s="176">
        <v>206.78</v>
      </c>
      <c r="J52" s="81">
        <f t="shared" si="0"/>
        <v>0</v>
      </c>
      <c r="K52" s="80">
        <v>82.97</v>
      </c>
      <c r="L52" s="186">
        <f>K52-G52</f>
        <v>-109.72756896551724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103.25</v>
      </c>
      <c r="C56" s="116">
        <v>2.5000000000000001E-2</v>
      </c>
      <c r="D56" s="117">
        <f t="shared" si="20"/>
        <v>2.5812500000000003</v>
      </c>
      <c r="E56" s="172">
        <v>0.05</v>
      </c>
      <c r="F56" s="117">
        <f t="shared" si="21"/>
        <v>4.4504310344827589</v>
      </c>
      <c r="G56" s="117">
        <f t="shared" si="22"/>
        <v>96.218318965517241</v>
      </c>
      <c r="H56" s="173">
        <f t="shared" si="19"/>
        <v>44747</v>
      </c>
      <c r="I56" s="176">
        <v>103.25</v>
      </c>
      <c r="J56" s="81">
        <f t="shared" si="0"/>
        <v>0</v>
      </c>
      <c r="K56" s="80"/>
      <c r="L56" s="186">
        <f t="shared" si="18"/>
        <v>96.218318965517241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119.01</v>
      </c>
      <c r="C59" s="18"/>
      <c r="D59" s="57"/>
      <c r="E59" s="177"/>
      <c r="F59" s="57"/>
      <c r="G59" s="57">
        <f>B59-D59-F59</f>
        <v>119.01</v>
      </c>
      <c r="H59" s="173"/>
      <c r="I59" s="175">
        <v>119.01</v>
      </c>
      <c r="J59" s="81">
        <f>B59-I59</f>
        <v>0</v>
      </c>
      <c r="K59" s="80"/>
      <c r="L59" s="186">
        <f t="shared" si="18"/>
        <v>119.01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111.48909999999999</v>
      </c>
      <c r="E61" s="177"/>
      <c r="F61" s="57">
        <f>SUM(F46:F58)</f>
        <v>13.363362068965518</v>
      </c>
      <c r="G61" s="57">
        <f>SUM(G46:G58)</f>
        <v>13468.397537931034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13468.397537931034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290</v>
      </c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290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27055.805075862067</v>
      </c>
      <c r="H64" s="184"/>
      <c r="I64" s="175"/>
      <c r="J64" s="81">
        <f t="shared" si="0"/>
        <v>0</v>
      </c>
      <c r="K64" s="80"/>
      <c r="L64" s="186">
        <f t="shared" si="18"/>
        <v>27055.805075862067</v>
      </c>
      <c r="M64" s="130"/>
      <c r="N64" s="87">
        <v>1</v>
      </c>
      <c r="O64" s="122" t="s">
        <v>242</v>
      </c>
      <c r="P64" s="225"/>
      <c r="Q64" s="225"/>
      <c r="R64" s="221">
        <v>50.11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0.37582499999999996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49.734175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25687.6744</v>
      </c>
      <c r="G65" s="22"/>
      <c r="L65" s="132"/>
      <c r="M65" s="131"/>
      <c r="N65" s="87">
        <v>2</v>
      </c>
      <c r="O65" s="122" t="s">
        <v>242</v>
      </c>
      <c r="P65" s="225"/>
      <c r="Q65" s="225"/>
      <c r="R65" s="225">
        <v>78.5</v>
      </c>
      <c r="S65" s="225"/>
      <c r="T65" s="225"/>
      <c r="U65" s="189">
        <f t="shared" si="27"/>
        <v>0</v>
      </c>
      <c r="V65" s="189">
        <f t="shared" si="28"/>
        <v>0.58875</v>
      </c>
      <c r="W65" s="189">
        <f t="shared" si="29"/>
        <v>0</v>
      </c>
      <c r="X65" s="189">
        <f t="shared" si="30"/>
        <v>0</v>
      </c>
      <c r="Y65" s="189">
        <f t="shared" si="31"/>
        <v>77.911249999999995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242</v>
      </c>
      <c r="P66" s="225"/>
      <c r="Q66" s="225"/>
      <c r="R66" s="225"/>
      <c r="S66" s="225"/>
      <c r="T66" s="225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174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25358.2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174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25637.68</v>
      </c>
      <c r="C69" s="59"/>
      <c r="F69" s="87" t="s">
        <v>127</v>
      </c>
      <c r="G69" s="22"/>
      <c r="H69" s="89"/>
      <c r="I69" s="136"/>
      <c r="J69" s="136">
        <f>K52</f>
        <v>82.97</v>
      </c>
      <c r="N69" s="301" t="s">
        <v>108</v>
      </c>
      <c r="O69" s="301"/>
      <c r="P69" s="302"/>
      <c r="Q69" s="302"/>
      <c r="R69" s="192">
        <f>SUM(R64:R68)</f>
        <v>128.61000000000001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0.96457499999999996</v>
      </c>
      <c r="W69" s="192">
        <f t="shared" si="33"/>
        <v>0</v>
      </c>
      <c r="X69" s="192">
        <f t="shared" si="33"/>
        <v>0</v>
      </c>
      <c r="Y69" s="192">
        <f t="shared" si="33"/>
        <v>127.64542499999999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-279.47999999999956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236</v>
      </c>
      <c r="P70" s="225" t="s">
        <v>265</v>
      </c>
      <c r="Q70" s="225">
        <v>2001</v>
      </c>
      <c r="R70" s="221">
        <v>872.72</v>
      </c>
      <c r="S70" s="225"/>
      <c r="T70" s="225">
        <v>56.21</v>
      </c>
      <c r="U70" s="189">
        <f t="shared" ref="U70:U74" si="34">((T70/U$10)*U$9)</f>
        <v>2.4228448275862071</v>
      </c>
      <c r="V70" s="189">
        <f t="shared" ref="V70:V74" si="35">R70*V$10</f>
        <v>6.5453999999999999</v>
      </c>
      <c r="W70" s="189">
        <f t="shared" ref="W70:W74" si="36">+S70*V$10</f>
        <v>0</v>
      </c>
      <c r="X70" s="189">
        <f t="shared" ref="X70:X74" si="37">+T70*X$10</f>
        <v>1.4052500000000001</v>
      </c>
      <c r="Y70" s="189">
        <f t="shared" ref="Y70:Z74" si="38">R70-V70</f>
        <v>866.17460000000005</v>
      </c>
      <c r="Z70" s="189">
        <f t="shared" si="38"/>
        <v>0</v>
      </c>
      <c r="AA70" s="189">
        <f t="shared" ref="AA70:AA74" si="39">T70-U70-X70</f>
        <v>52.381905172413788</v>
      </c>
      <c r="AB70" s="87"/>
    </row>
    <row r="71" spans="1:30" ht="28.5" customHeight="1" thickBot="1" x14ac:dyDescent="0.3">
      <c r="A71" s="25" t="s">
        <v>56</v>
      </c>
      <c r="B71" s="70">
        <f>(B65-B69)-B72</f>
        <v>49.994399999999587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82.97</v>
      </c>
      <c r="N71" s="87">
        <v>2</v>
      </c>
      <c r="O71" s="122" t="s">
        <v>236</v>
      </c>
      <c r="P71" s="225">
        <v>69</v>
      </c>
      <c r="Q71" s="225">
        <v>2001</v>
      </c>
      <c r="R71" s="221">
        <v>5.38</v>
      </c>
      <c r="S71" s="225"/>
      <c r="T71" s="225">
        <v>47.04</v>
      </c>
      <c r="U71" s="189">
        <f t="shared" si="34"/>
        <v>2.0275862068965522</v>
      </c>
      <c r="V71" s="189">
        <f t="shared" si="35"/>
        <v>4.0349999999999997E-2</v>
      </c>
      <c r="W71" s="189">
        <f t="shared" si="36"/>
        <v>0</v>
      </c>
      <c r="X71" s="189">
        <f t="shared" si="37"/>
        <v>1.1759999999999999</v>
      </c>
      <c r="Y71" s="189">
        <f t="shared" si="38"/>
        <v>5.3396499999999998</v>
      </c>
      <c r="Z71" s="189">
        <f t="shared" si="38"/>
        <v>0</v>
      </c>
      <c r="AA71" s="189">
        <f t="shared" si="39"/>
        <v>43.836413793103446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236</v>
      </c>
      <c r="P72" s="225">
        <v>142</v>
      </c>
      <c r="Q72" s="225">
        <v>2001</v>
      </c>
      <c r="R72" s="221">
        <v>1517.1</v>
      </c>
      <c r="S72" s="225"/>
      <c r="T72" s="225"/>
      <c r="U72" s="189">
        <f t="shared" si="34"/>
        <v>0</v>
      </c>
      <c r="V72" s="189">
        <f t="shared" si="35"/>
        <v>11.37825</v>
      </c>
      <c r="W72" s="189">
        <f t="shared" si="36"/>
        <v>0</v>
      </c>
      <c r="X72" s="189">
        <f t="shared" si="37"/>
        <v>0</v>
      </c>
      <c r="Y72" s="189">
        <f t="shared" si="38"/>
        <v>1505.7217499999999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236</v>
      </c>
      <c r="P73" s="225">
        <v>141</v>
      </c>
      <c r="Q73" s="225">
        <v>2001</v>
      </c>
      <c r="R73" s="221">
        <v>191.83</v>
      </c>
      <c r="S73" s="225"/>
      <c r="T73" s="225"/>
      <c r="U73" s="189">
        <f t="shared" si="34"/>
        <v>0</v>
      </c>
      <c r="V73" s="189">
        <f t="shared" si="35"/>
        <v>1.438725</v>
      </c>
      <c r="W73" s="189">
        <f t="shared" si="36"/>
        <v>0</v>
      </c>
      <c r="X73" s="189">
        <f t="shared" si="37"/>
        <v>0</v>
      </c>
      <c r="Y73" s="189">
        <f t="shared" si="38"/>
        <v>190.39127500000001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236</v>
      </c>
      <c r="P74" s="225"/>
      <c r="Q74" s="225"/>
      <c r="R74" s="221">
        <v>290</v>
      </c>
      <c r="S74" s="225"/>
      <c r="T74" s="225"/>
      <c r="U74" s="189">
        <f t="shared" si="34"/>
        <v>0</v>
      </c>
      <c r="V74" s="189">
        <f t="shared" si="35"/>
        <v>2.1749999999999998</v>
      </c>
      <c r="W74" s="189">
        <f t="shared" si="36"/>
        <v>0</v>
      </c>
      <c r="X74" s="189">
        <f t="shared" si="37"/>
        <v>0</v>
      </c>
      <c r="Y74" s="189">
        <f t="shared" si="38"/>
        <v>287.82499999999999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2877.0299999999997</v>
      </c>
      <c r="S75" s="192"/>
      <c r="T75" s="192">
        <f>SUM(T70:T74)</f>
        <v>103.25</v>
      </c>
      <c r="U75" s="192">
        <f>SUM(U70:U74)</f>
        <v>4.4504310344827598</v>
      </c>
      <c r="V75" s="192">
        <f t="shared" ref="V75:AA75" si="41">SUM(V70:V74)</f>
        <v>21.577725000000001</v>
      </c>
      <c r="W75" s="192">
        <f t="shared" si="41"/>
        <v>0</v>
      </c>
      <c r="X75" s="192">
        <f t="shared" si="41"/>
        <v>2.5812499999999998</v>
      </c>
      <c r="Y75" s="192">
        <f t="shared" si="41"/>
        <v>2855.4522749999996</v>
      </c>
      <c r="Z75" s="192">
        <f t="shared" si="41"/>
        <v>0</v>
      </c>
      <c r="AA75" s="193">
        <f t="shared" si="41"/>
        <v>96.218318965517227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38.450000000000003</v>
      </c>
      <c r="Q78" s="137">
        <v>102.04</v>
      </c>
      <c r="R78" s="82">
        <v>7.4999999999999997E-3</v>
      </c>
      <c r="S78" s="194">
        <f>+(P78+Q78)*R78</f>
        <v>1.0536750000000001</v>
      </c>
      <c r="T78" s="254">
        <f>+(P78+Q78)-S78</f>
        <v>139.43632500000001</v>
      </c>
      <c r="U78" s="211">
        <v>47.33</v>
      </c>
      <c r="V78" s="112"/>
      <c r="W78" s="113">
        <v>1.4999999999999999E-2</v>
      </c>
      <c r="X78" s="196">
        <f>+(U78+V78)*W78</f>
        <v>0.70994999999999997</v>
      </c>
      <c r="Y78" s="234">
        <f>+(U78+V78)-X78</f>
        <v>46.620049999999999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>
        <v>154.33000000000001</v>
      </c>
      <c r="R79" s="82">
        <v>7.4999999999999997E-3</v>
      </c>
      <c r="S79" s="194">
        <f t="shared" ref="S79:S97" si="43">+(P79+Q79)*R79</f>
        <v>1.157475</v>
      </c>
      <c r="T79" s="254">
        <f t="shared" ref="T79:T97" si="44">+(P79+Q79)-S79</f>
        <v>153.17252500000001</v>
      </c>
      <c r="U79" s="211">
        <v>42.78</v>
      </c>
      <c r="V79" s="112"/>
      <c r="W79" s="113">
        <v>1.4999999999999999E-2</v>
      </c>
      <c r="X79" s="196">
        <f t="shared" ref="X79:X97" si="45">+(U79+V79)*W79</f>
        <v>0.64170000000000005</v>
      </c>
      <c r="Y79" s="234">
        <f t="shared" ref="Y79:Y97" si="46">+(U79+V79)-X79</f>
        <v>42.138300000000001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96.19</v>
      </c>
      <c r="Q80" s="137">
        <v>8.09</v>
      </c>
      <c r="R80" s="82">
        <v>7.4999999999999997E-3</v>
      </c>
      <c r="S80" s="194">
        <f t="shared" si="43"/>
        <v>0.78210000000000002</v>
      </c>
      <c r="T80" s="219">
        <f t="shared" si="44"/>
        <v>103.4979</v>
      </c>
      <c r="U80" s="211">
        <v>34.47</v>
      </c>
      <c r="V80" s="112"/>
      <c r="W80" s="113">
        <v>1.4999999999999999E-2</v>
      </c>
      <c r="X80" s="196">
        <f t="shared" si="45"/>
        <v>0.51705000000000001</v>
      </c>
      <c r="Y80" s="254">
        <f t="shared" si="46"/>
        <v>33.952950000000001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v>171.95</v>
      </c>
      <c r="R81" s="82">
        <v>7.4999999999999997E-3</v>
      </c>
      <c r="S81" s="194">
        <f t="shared" si="43"/>
        <v>1.2896249999999998</v>
      </c>
      <c r="T81" s="219">
        <f t="shared" si="44"/>
        <v>170.66037499999999</v>
      </c>
      <c r="U81" s="211">
        <v>47.42</v>
      </c>
      <c r="V81" s="112"/>
      <c r="W81" s="113">
        <v>1.4999999999999999E-2</v>
      </c>
      <c r="X81" s="196">
        <f t="shared" si="45"/>
        <v>0.71130000000000004</v>
      </c>
      <c r="Y81" s="254">
        <f t="shared" si="46"/>
        <v>46.7087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>
        <v>90.66</v>
      </c>
      <c r="R82" s="82">
        <v>7.4999999999999997E-3</v>
      </c>
      <c r="S82" s="194">
        <f t="shared" si="43"/>
        <v>0.67994999999999994</v>
      </c>
      <c r="T82" s="219">
        <f t="shared" si="44"/>
        <v>89.980049999999991</v>
      </c>
      <c r="U82" s="211">
        <v>74.290000000000006</v>
      </c>
      <c r="V82" s="112"/>
      <c r="W82" s="113">
        <v>1.4999999999999999E-2</v>
      </c>
      <c r="X82" s="196">
        <f t="shared" si="45"/>
        <v>1.11435</v>
      </c>
      <c r="Y82" s="234">
        <f t="shared" si="46"/>
        <v>73.175650000000005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210.16</v>
      </c>
      <c r="Q83" s="137">
        <v>32.89</v>
      </c>
      <c r="R83" s="82">
        <v>7.4999999999999997E-3</v>
      </c>
      <c r="S83" s="194">
        <f t="shared" si="43"/>
        <v>1.822875</v>
      </c>
      <c r="T83" s="254">
        <f t="shared" si="44"/>
        <v>241.227125</v>
      </c>
      <c r="U83" s="211">
        <v>203.88</v>
      </c>
      <c r="V83" s="112"/>
      <c r="W83" s="113">
        <v>1.4999999999999999E-2</v>
      </c>
      <c r="X83" s="196">
        <f t="shared" si="45"/>
        <v>3.0581999999999998</v>
      </c>
      <c r="Y83" s="254">
        <f t="shared" si="46"/>
        <v>200.8218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>
        <v>31.35</v>
      </c>
      <c r="V84" s="112"/>
      <c r="W84" s="113">
        <v>1.4999999999999999E-2</v>
      </c>
      <c r="X84" s="196">
        <f t="shared" si="45"/>
        <v>0.47025</v>
      </c>
      <c r="Y84" s="254">
        <f t="shared" si="46"/>
        <v>30.879750000000001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59.8</v>
      </c>
      <c r="Q85" s="87"/>
      <c r="R85" s="82">
        <v>7.4999999999999997E-3</v>
      </c>
      <c r="S85" s="194">
        <f t="shared" si="43"/>
        <v>0.44849999999999995</v>
      </c>
      <c r="T85" s="219">
        <f t="shared" si="44"/>
        <v>59.351499999999994</v>
      </c>
      <c r="U85" s="112">
        <v>5.25</v>
      </c>
      <c r="V85" s="112"/>
      <c r="W85" s="113">
        <v>1.4999999999999999E-2</v>
      </c>
      <c r="X85" s="196">
        <f t="shared" si="45"/>
        <v>7.8750000000000001E-2</v>
      </c>
      <c r="Y85" s="217">
        <f t="shared" si="46"/>
        <v>5.1712499999999997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>
        <v>179.73</v>
      </c>
      <c r="R86" s="82">
        <v>7.4999999999999997E-3</v>
      </c>
      <c r="S86" s="216">
        <f t="shared" si="43"/>
        <v>1.3479749999999999</v>
      </c>
      <c r="T86" s="219">
        <f t="shared" si="44"/>
        <v>178.382025</v>
      </c>
      <c r="U86" s="112">
        <v>61.79</v>
      </c>
      <c r="V86" s="112"/>
      <c r="W86" s="113">
        <v>1.4999999999999999E-2</v>
      </c>
      <c r="X86" s="196">
        <f t="shared" si="45"/>
        <v>0.92684999999999995</v>
      </c>
      <c r="Y86" s="217">
        <f t="shared" si="46"/>
        <v>60.863149999999997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16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404.59999999999997</v>
      </c>
      <c r="Q98" s="195">
        <f>SUM(Q78:Q97)</f>
        <v>739.68999999999994</v>
      </c>
      <c r="R98" s="111"/>
      <c r="S98" s="195">
        <f>SUM(S78:S97)</f>
        <v>8.5821749999999994</v>
      </c>
      <c r="T98" s="195">
        <f>SUM(T78:T97)</f>
        <v>1135.707825</v>
      </c>
      <c r="U98" s="114">
        <f>SUM(U78:U97)</f>
        <v>548.56000000000006</v>
      </c>
      <c r="V98" s="114">
        <f>SUM(V78:V97)</f>
        <v>0</v>
      </c>
      <c r="W98" s="112"/>
      <c r="X98" s="197">
        <f>SUM(X78:X97)</f>
        <v>8.2284000000000006</v>
      </c>
      <c r="Y98" s="197">
        <f>SUM(Y78:Y97)</f>
        <v>540.33159999999998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</row>
    <row r="100" spans="14:30" x14ac:dyDescent="0.25">
      <c r="N100" s="85"/>
      <c r="O100" s="84"/>
      <c r="P100" s="215">
        <f t="shared" ref="P100:P109" si="50">P78+Q78+U78</f>
        <v>187.82</v>
      </c>
    </row>
    <row r="101" spans="14:30" x14ac:dyDescent="0.25">
      <c r="N101" s="85"/>
      <c r="O101" s="84"/>
      <c r="P101" s="215">
        <f t="shared" si="50"/>
        <v>197.11</v>
      </c>
      <c r="Q101" s="212"/>
    </row>
    <row r="102" spans="14:30" x14ac:dyDescent="0.25">
      <c r="N102" s="85"/>
      <c r="O102" s="84"/>
      <c r="P102" s="215">
        <f>P80+Q80+U80</f>
        <v>138.75</v>
      </c>
      <c r="Q102" s="212"/>
    </row>
    <row r="103" spans="14:30" x14ac:dyDescent="0.25">
      <c r="N103" s="85"/>
      <c r="O103" s="84"/>
      <c r="P103" s="215">
        <f t="shared" si="50"/>
        <v>219.37</v>
      </c>
      <c r="Q103" s="212"/>
    </row>
    <row r="104" spans="14:30" x14ac:dyDescent="0.25">
      <c r="N104" s="85"/>
      <c r="O104" s="84"/>
      <c r="P104" s="215">
        <f>P82+Q82+U82</f>
        <v>164.95</v>
      </c>
      <c r="Q104" s="212"/>
    </row>
    <row r="105" spans="14:30" x14ac:dyDescent="0.25">
      <c r="N105" s="85"/>
      <c r="O105" s="84"/>
      <c r="P105" s="215">
        <f>P83+Q83+U83</f>
        <v>446.93</v>
      </c>
      <c r="Q105" s="212"/>
    </row>
    <row r="106" spans="14:30" x14ac:dyDescent="0.25">
      <c r="N106" s="85"/>
      <c r="O106" s="84"/>
      <c r="P106" s="246">
        <f>P84+Q84+U84</f>
        <v>31.35</v>
      </c>
      <c r="Q106" s="212"/>
    </row>
    <row r="107" spans="14:30" x14ac:dyDescent="0.25">
      <c r="N107" s="85"/>
      <c r="O107" s="84"/>
      <c r="P107" s="84">
        <f t="shared" si="50"/>
        <v>65.05</v>
      </c>
    </row>
    <row r="108" spans="14:30" x14ac:dyDescent="0.25">
      <c r="N108" s="85"/>
      <c r="O108" s="84"/>
      <c r="P108" s="246">
        <f t="shared" si="50"/>
        <v>241.51999999999998</v>
      </c>
    </row>
    <row r="109" spans="14:30" x14ac:dyDescent="0.25">
      <c r="N109" s="85"/>
      <c r="O109" s="84"/>
      <c r="P109" s="8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4" zoomScale="90" zoomScaleNormal="90" workbookViewId="0">
      <selection activeCell="L52" sqref="L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1095</v>
      </c>
      <c r="C12" s="15"/>
      <c r="D12" s="56"/>
      <c r="E12" s="16"/>
      <c r="F12" s="56"/>
      <c r="G12" s="56"/>
      <c r="H12" s="17"/>
      <c r="I12" s="83">
        <v>1095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222</v>
      </c>
      <c r="P12" s="158">
        <v>155</v>
      </c>
      <c r="Q12" s="158">
        <v>11</v>
      </c>
      <c r="R12" s="159">
        <v>4731.4399999999996</v>
      </c>
      <c r="S12" s="160"/>
      <c r="T12" s="160"/>
      <c r="U12" s="189">
        <f>((T12/U$10)*U$9)</f>
        <v>0</v>
      </c>
      <c r="V12" s="189">
        <f>R12*V$10</f>
        <v>35.485799999999998</v>
      </c>
      <c r="W12" s="189">
        <f>+S12*V$10</f>
        <v>0</v>
      </c>
      <c r="X12" s="189">
        <f>+T12*X$10</f>
        <v>0</v>
      </c>
      <c r="Y12" s="189">
        <f>R12-V12</f>
        <v>4695.9541999999992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2395</v>
      </c>
      <c r="C13" s="15"/>
      <c r="D13" s="56"/>
      <c r="E13" s="16"/>
      <c r="F13" s="56"/>
      <c r="G13" s="56"/>
      <c r="H13" s="17"/>
      <c r="I13" s="83">
        <v>2395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222</v>
      </c>
      <c r="P13" s="158">
        <v>156</v>
      </c>
      <c r="Q13" s="158">
        <v>11</v>
      </c>
      <c r="R13" s="159">
        <v>163.22999999999999</v>
      </c>
      <c r="S13" s="160"/>
      <c r="T13" s="161">
        <v>93.83</v>
      </c>
      <c r="U13" s="189">
        <f t="shared" ref="U13:U41" si="2">((T13/U$10)*U$9)</f>
        <v>4.0443965517241383</v>
      </c>
      <c r="V13" s="189">
        <f t="shared" ref="V13:V41" si="3">R13*V$10</f>
        <v>1.2242249999999999</v>
      </c>
      <c r="W13" s="189">
        <f t="shared" ref="W13:W41" si="4">+S13*V$10</f>
        <v>0</v>
      </c>
      <c r="X13" s="189">
        <f t="shared" ref="X13:X41" si="5">+T13*X$10</f>
        <v>2.3457500000000002</v>
      </c>
      <c r="Y13" s="189">
        <f t="shared" ref="Y13:Z41" si="6">R13-V13</f>
        <v>162.005775</v>
      </c>
      <c r="Z13" s="189">
        <f t="shared" si="6"/>
        <v>0</v>
      </c>
      <c r="AA13" s="189">
        <f t="shared" ref="AA13:AA41" si="7">T13-U13-X13</f>
        <v>87.439853448275869</v>
      </c>
      <c r="AB13" s="156"/>
    </row>
    <row r="14" spans="1:28" ht="15.75" x14ac:dyDescent="0.25">
      <c r="A14" s="86" t="s">
        <v>81</v>
      </c>
      <c r="B14" s="57">
        <f>B13*B8</f>
        <v>13316.199999999999</v>
      </c>
      <c r="C14" s="15"/>
      <c r="D14" s="56"/>
      <c r="E14" s="16"/>
      <c r="F14" s="56"/>
      <c r="G14" s="56"/>
      <c r="H14" s="17"/>
      <c r="I14" s="83">
        <v>13316.2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222</v>
      </c>
      <c r="P14" s="158">
        <v>540</v>
      </c>
      <c r="Q14" s="158">
        <v>2</v>
      </c>
      <c r="R14" s="159">
        <v>778.19</v>
      </c>
      <c r="S14" s="160"/>
      <c r="T14" s="161">
        <v>24.83</v>
      </c>
      <c r="U14" s="189">
        <f t="shared" si="2"/>
        <v>1.0702586206896552</v>
      </c>
      <c r="V14" s="189">
        <f t="shared" si="3"/>
        <v>5.8364250000000002</v>
      </c>
      <c r="W14" s="189">
        <f t="shared" si="4"/>
        <v>0</v>
      </c>
      <c r="X14" s="189">
        <f t="shared" si="5"/>
        <v>0.62075000000000002</v>
      </c>
      <c r="Y14" s="189">
        <f t="shared" si="6"/>
        <v>772.35357500000009</v>
      </c>
      <c r="Z14" s="189">
        <f t="shared" si="6"/>
        <v>0</v>
      </c>
      <c r="AA14" s="189">
        <f t="shared" si="7"/>
        <v>23.13899137931034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222</v>
      </c>
      <c r="P15" s="158">
        <v>520</v>
      </c>
      <c r="Q15" s="158">
        <v>4</v>
      </c>
      <c r="R15" s="159">
        <v>379.39</v>
      </c>
      <c r="S15" s="160"/>
      <c r="T15" s="161"/>
      <c r="U15" s="189">
        <f t="shared" si="2"/>
        <v>0</v>
      </c>
      <c r="V15" s="189">
        <f t="shared" si="3"/>
        <v>2.8454249999999996</v>
      </c>
      <c r="W15" s="189">
        <f t="shared" si="4"/>
        <v>0</v>
      </c>
      <c r="X15" s="189">
        <f t="shared" si="5"/>
        <v>0</v>
      </c>
      <c r="Y15" s="189">
        <f t="shared" si="6"/>
        <v>376.54457500000001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222</v>
      </c>
      <c r="P16" s="158">
        <v>521</v>
      </c>
      <c r="Q16" s="158">
        <v>4</v>
      </c>
      <c r="R16" s="159">
        <v>1801.92</v>
      </c>
      <c r="S16" s="160"/>
      <c r="T16" s="161">
        <v>44.99</v>
      </c>
      <c r="U16" s="189">
        <f t="shared" si="2"/>
        <v>1.9392241379310349</v>
      </c>
      <c r="V16" s="189">
        <f t="shared" si="3"/>
        <v>13.5144</v>
      </c>
      <c r="W16" s="189">
        <f t="shared" si="4"/>
        <v>0</v>
      </c>
      <c r="X16" s="189">
        <f t="shared" si="5"/>
        <v>1.1247500000000001</v>
      </c>
      <c r="Y16" s="189">
        <f t="shared" si="6"/>
        <v>1788.4056</v>
      </c>
      <c r="Z16" s="189">
        <f t="shared" si="6"/>
        <v>0</v>
      </c>
      <c r="AA16" s="189">
        <f t="shared" si="7"/>
        <v>41.926025862068968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222</v>
      </c>
      <c r="P17" s="158">
        <v>170</v>
      </c>
      <c r="Q17" s="158">
        <v>10</v>
      </c>
      <c r="R17" s="159">
        <v>633.29</v>
      </c>
      <c r="S17" s="160"/>
      <c r="T17" s="161">
        <v>280.58</v>
      </c>
      <c r="U17" s="189">
        <f t="shared" si="2"/>
        <v>12.093965517241379</v>
      </c>
      <c r="V17" s="189">
        <f t="shared" si="3"/>
        <v>4.7496749999999999</v>
      </c>
      <c r="W17" s="189">
        <f t="shared" si="4"/>
        <v>0</v>
      </c>
      <c r="X17" s="189">
        <f t="shared" si="5"/>
        <v>7.0145</v>
      </c>
      <c r="Y17" s="189">
        <f t="shared" si="6"/>
        <v>628.54032499999994</v>
      </c>
      <c r="Z17" s="189">
        <f t="shared" si="6"/>
        <v>0</v>
      </c>
      <c r="AA17" s="189">
        <f t="shared" si="7"/>
        <v>261.47153448275861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222</v>
      </c>
      <c r="P18" s="158">
        <v>169</v>
      </c>
      <c r="Q18" s="158">
        <v>10</v>
      </c>
      <c r="R18" s="159">
        <v>747.31</v>
      </c>
      <c r="S18" s="160"/>
      <c r="T18" s="161">
        <v>26.33</v>
      </c>
      <c r="U18" s="189">
        <f t="shared" si="2"/>
        <v>1.1349137931034483</v>
      </c>
      <c r="V18" s="189">
        <f t="shared" si="3"/>
        <v>5.6048249999999991</v>
      </c>
      <c r="W18" s="189">
        <f t="shared" si="4"/>
        <v>0</v>
      </c>
      <c r="X18" s="189">
        <f t="shared" si="5"/>
        <v>0.65825</v>
      </c>
      <c r="Y18" s="189">
        <f t="shared" si="6"/>
        <v>741.70517499999994</v>
      </c>
      <c r="Z18" s="189">
        <f t="shared" si="6"/>
        <v>0</v>
      </c>
      <c r="AA18" s="189">
        <f t="shared" si="7"/>
        <v>24.536836206896552</v>
      </c>
      <c r="AB18" s="156"/>
    </row>
    <row r="19" spans="1:28" ht="15.75" x14ac:dyDescent="0.25">
      <c r="A19" s="93" t="s">
        <v>79</v>
      </c>
      <c r="B19" s="97">
        <f>+B13+B15+B17</f>
        <v>2395</v>
      </c>
      <c r="C19" s="95"/>
      <c r="D19" s="94"/>
      <c r="E19" s="96"/>
      <c r="F19" s="94"/>
      <c r="G19" s="94"/>
      <c r="H19" s="98"/>
      <c r="I19" s="99">
        <v>2395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222</v>
      </c>
      <c r="P19" s="158">
        <v>604</v>
      </c>
      <c r="Q19" s="158">
        <v>18</v>
      </c>
      <c r="R19" s="159">
        <v>617.41999999999996</v>
      </c>
      <c r="S19" s="160"/>
      <c r="T19" s="161">
        <v>42.64</v>
      </c>
      <c r="U19" s="189">
        <f t="shared" si="2"/>
        <v>1.8379310344827589</v>
      </c>
      <c r="V19" s="189">
        <f t="shared" si="3"/>
        <v>4.6306499999999993</v>
      </c>
      <c r="W19" s="189">
        <f t="shared" si="4"/>
        <v>0</v>
      </c>
      <c r="X19" s="189">
        <f t="shared" si="5"/>
        <v>1.0660000000000001</v>
      </c>
      <c r="Y19" s="189">
        <f t="shared" si="6"/>
        <v>612.78935000000001</v>
      </c>
      <c r="Z19" s="189">
        <f t="shared" si="6"/>
        <v>0</v>
      </c>
      <c r="AA19" s="189">
        <f t="shared" si="7"/>
        <v>39.736068965517241</v>
      </c>
      <c r="AB19" s="156"/>
    </row>
    <row r="20" spans="1:28" ht="15.75" x14ac:dyDescent="0.25">
      <c r="A20" s="93" t="s">
        <v>80</v>
      </c>
      <c r="B20" s="97">
        <f>+B14+B16+B18</f>
        <v>13316.199999999999</v>
      </c>
      <c r="C20" s="95"/>
      <c r="D20" s="94"/>
      <c r="E20" s="96"/>
      <c r="F20" s="94"/>
      <c r="G20" s="94"/>
      <c r="H20" s="98"/>
      <c r="I20" s="99">
        <v>13316.2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222</v>
      </c>
      <c r="P20" s="158">
        <v>605</v>
      </c>
      <c r="Q20" s="158">
        <v>18</v>
      </c>
      <c r="R20" s="159">
        <v>1422.44</v>
      </c>
      <c r="S20" s="160"/>
      <c r="T20" s="161">
        <v>88.16</v>
      </c>
      <c r="U20" s="189">
        <f t="shared" si="2"/>
        <v>3.8000000000000003</v>
      </c>
      <c r="V20" s="189">
        <f t="shared" si="3"/>
        <v>10.6683</v>
      </c>
      <c r="W20" s="189">
        <f t="shared" si="4"/>
        <v>0</v>
      </c>
      <c r="X20" s="189">
        <f t="shared" si="5"/>
        <v>2.2040000000000002</v>
      </c>
      <c r="Y20" s="189">
        <f t="shared" si="6"/>
        <v>1411.7717</v>
      </c>
      <c r="Z20" s="189">
        <f t="shared" si="6"/>
        <v>0</v>
      </c>
      <c r="AA20" s="189">
        <f t="shared" si="7"/>
        <v>82.156000000000006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/>
      <c r="M21" s="107"/>
      <c r="N21" s="104">
        <v>10</v>
      </c>
      <c r="O21" s="152" t="s">
        <v>222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/>
      <c r="M22" s="107"/>
      <c r="N22" s="104">
        <v>11</v>
      </c>
      <c r="O22" s="152" t="s">
        <v>222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222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/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/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41.97</v>
      </c>
      <c r="C29" s="100"/>
      <c r="D29" s="66"/>
      <c r="E29" s="67"/>
      <c r="F29" s="66"/>
      <c r="G29" s="66"/>
      <c r="H29" s="102"/>
      <c r="I29" s="79">
        <v>41.97</v>
      </c>
      <c r="J29" s="81">
        <f t="shared" si="0"/>
        <v>0</v>
      </c>
      <c r="K29" s="80">
        <v>41.97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233.35319999999999</v>
      </c>
      <c r="C30" s="100"/>
      <c r="D30" s="66"/>
      <c r="E30" s="67"/>
      <c r="F30" s="66"/>
      <c r="G30" s="66"/>
      <c r="H30" s="102"/>
      <c r="I30" s="79">
        <v>233.35</v>
      </c>
      <c r="J30" s="81">
        <f t="shared" si="0"/>
        <v>3.1999999999925421E-3</v>
      </c>
      <c r="K30" s="80">
        <v>233.35</v>
      </c>
      <c r="L30" s="186">
        <f>K30-B30</f>
        <v>-3.1999999999925421E-3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41.97</v>
      </c>
      <c r="C35" s="95"/>
      <c r="D35" s="94"/>
      <c r="E35" s="96"/>
      <c r="F35" s="94"/>
      <c r="G35" s="94"/>
      <c r="H35" s="98"/>
      <c r="I35" s="99">
        <v>41.97</v>
      </c>
      <c r="J35" s="185">
        <f t="shared" si="0"/>
        <v>0</v>
      </c>
      <c r="K35" s="99">
        <v>41.97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233.35319999999999</v>
      </c>
      <c r="C36" s="95"/>
      <c r="D36" s="94"/>
      <c r="E36" s="96"/>
      <c r="F36" s="94"/>
      <c r="G36" s="94"/>
      <c r="H36" s="98"/>
      <c r="I36" s="99">
        <v>233.35</v>
      </c>
      <c r="J36" s="185">
        <f t="shared" si="0"/>
        <v>3.1999999999925421E-3</v>
      </c>
      <c r="K36" s="99">
        <v>233.35</v>
      </c>
      <c r="L36" s="187">
        <f t="shared" si="8"/>
        <v>-3.1999999999925421E-3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31.26</v>
      </c>
      <c r="C37" s="100"/>
      <c r="D37" s="66"/>
      <c r="E37" s="67"/>
      <c r="F37" s="66"/>
      <c r="G37" s="66"/>
      <c r="H37" s="102"/>
      <c r="I37" s="79">
        <v>31.26</v>
      </c>
      <c r="J37" s="81">
        <f t="shared" si="0"/>
        <v>0</v>
      </c>
      <c r="K37" s="80">
        <v>31.26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173.8056</v>
      </c>
      <c r="C38" s="100"/>
      <c r="D38" s="66"/>
      <c r="E38" s="67"/>
      <c r="F38" s="66"/>
      <c r="G38" s="66"/>
      <c r="H38" s="102"/>
      <c r="I38" s="79">
        <v>173.81</v>
      </c>
      <c r="J38" s="81">
        <f t="shared" si="0"/>
        <v>-4.4000000000039563E-3</v>
      </c>
      <c r="K38" s="80">
        <v>173.81</v>
      </c>
      <c r="L38" s="186">
        <f t="shared" si="8"/>
        <v>4.4000000000039563E-3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11274.63</v>
      </c>
      <c r="S42" s="190">
        <f t="shared" si="9"/>
        <v>0</v>
      </c>
      <c r="T42" s="190">
        <f t="shared" si="9"/>
        <v>601.36</v>
      </c>
      <c r="U42" s="190">
        <f t="shared" si="9"/>
        <v>25.920689655172414</v>
      </c>
      <c r="V42" s="190">
        <f t="shared" si="9"/>
        <v>84.559725</v>
      </c>
      <c r="W42" s="190">
        <f t="shared" si="9"/>
        <v>0</v>
      </c>
      <c r="X42" s="190">
        <f t="shared" si="9"/>
        <v>15.034000000000002</v>
      </c>
      <c r="Y42" s="190">
        <f t="shared" si="9"/>
        <v>11190.070274999996</v>
      </c>
      <c r="Z42" s="190">
        <f t="shared" si="9"/>
        <v>0</v>
      </c>
      <c r="AA42" s="190">
        <f t="shared" si="9"/>
        <v>560.40531034482763</v>
      </c>
      <c r="AB42" s="166"/>
    </row>
    <row r="43" spans="1:28" ht="15.75" x14ac:dyDescent="0.25">
      <c r="A43" s="93" t="s">
        <v>101</v>
      </c>
      <c r="B43" s="97">
        <f>+B37+B39+B41</f>
        <v>31.26</v>
      </c>
      <c r="C43" s="95"/>
      <c r="D43" s="94"/>
      <c r="E43" s="96"/>
      <c r="F43" s="94"/>
      <c r="G43" s="94"/>
      <c r="H43" s="98"/>
      <c r="I43" s="99">
        <v>31.26</v>
      </c>
      <c r="J43" s="185">
        <f t="shared" si="0"/>
        <v>0</v>
      </c>
      <c r="K43" s="99">
        <v>31.26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173.8056</v>
      </c>
      <c r="C44" s="95"/>
      <c r="D44" s="94"/>
      <c r="E44" s="96"/>
      <c r="F44" s="94"/>
      <c r="G44" s="94"/>
      <c r="H44" s="98"/>
      <c r="I44" s="99">
        <v>173.81</v>
      </c>
      <c r="J44" s="185">
        <f t="shared" si="0"/>
        <v>-4.4000000000039563E-3</v>
      </c>
      <c r="K44" s="99">
        <v>173.81</v>
      </c>
      <c r="L44" s="187">
        <f>K44-B44</f>
        <v>4.4000000000039563E-3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11274.63</v>
      </c>
      <c r="C46" s="116">
        <v>7.4999999999999997E-3</v>
      </c>
      <c r="D46" s="117">
        <f>B46*C46</f>
        <v>84.559724999999986</v>
      </c>
      <c r="E46" s="172">
        <v>0</v>
      </c>
      <c r="F46" s="117">
        <f t="shared" ref="F46:F50" si="16">D46*E46</f>
        <v>0</v>
      </c>
      <c r="G46" s="117">
        <f t="shared" ref="G46:G51" si="17">B46-D46-F46</f>
        <v>11190.070275</v>
      </c>
      <c r="H46" s="173">
        <f>B$6+1</f>
        <v>44748</v>
      </c>
      <c r="I46" s="252">
        <f>7774.63</f>
        <v>7774.63</v>
      </c>
      <c r="J46" s="81">
        <f t="shared" si="0"/>
        <v>3499.9999999999991</v>
      </c>
      <c r="K46" s="80">
        <v>11417.18</v>
      </c>
      <c r="L46" s="186">
        <f>K46-G46</f>
        <v>227.10972500000025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343.19</v>
      </c>
      <c r="C48" s="116">
        <v>7.4999999999999997E-3</v>
      </c>
      <c r="D48" s="117">
        <f t="shared" si="18"/>
        <v>2.573925</v>
      </c>
      <c r="E48" s="172">
        <v>0</v>
      </c>
      <c r="F48" s="117">
        <f t="shared" si="16"/>
        <v>0</v>
      </c>
      <c r="G48" s="117">
        <f t="shared" si="17"/>
        <v>340.61607500000002</v>
      </c>
      <c r="H48" s="173">
        <f t="shared" ref="H48:H61" si="20">B$6+1</f>
        <v>44748</v>
      </c>
      <c r="I48" s="176">
        <v>343.19</v>
      </c>
      <c r="J48" s="81">
        <f t="shared" si="0"/>
        <v>0</v>
      </c>
      <c r="K48" s="80"/>
      <c r="L48" s="186">
        <f t="shared" si="19"/>
        <v>340.61607500000002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213</v>
      </c>
      <c r="B49" s="117">
        <f>R75</f>
        <v>4086.14</v>
      </c>
      <c r="C49" s="116">
        <v>7.4999999999999997E-3</v>
      </c>
      <c r="D49" s="117">
        <f t="shared" si="18"/>
        <v>30.646049999999999</v>
      </c>
      <c r="E49" s="172">
        <v>0</v>
      </c>
      <c r="F49" s="117">
        <f t="shared" si="16"/>
        <v>0</v>
      </c>
      <c r="G49" s="117">
        <f t="shared" si="17"/>
        <v>4055.49395</v>
      </c>
      <c r="H49" s="173">
        <f t="shared" si="20"/>
        <v>44748</v>
      </c>
      <c r="I49" s="176">
        <v>3826.14</v>
      </c>
      <c r="J49" s="81">
        <f t="shared" si="0"/>
        <v>260</v>
      </c>
      <c r="K49" s="80"/>
      <c r="L49" s="186">
        <f t="shared" si="19"/>
        <v>4055.49395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1174.72</v>
      </c>
      <c r="C50" s="116">
        <v>7.4999999999999997E-3</v>
      </c>
      <c r="D50" s="117">
        <f t="shared" si="18"/>
        <v>8.8103999999999996</v>
      </c>
      <c r="E50" s="172">
        <v>0</v>
      </c>
      <c r="F50" s="117">
        <f t="shared" si="16"/>
        <v>0</v>
      </c>
      <c r="G50" s="117">
        <f t="shared" si="17"/>
        <v>1165.9096</v>
      </c>
      <c r="H50" s="173">
        <f t="shared" si="20"/>
        <v>44748</v>
      </c>
      <c r="I50" s="175"/>
      <c r="J50" s="81">
        <f t="shared" si="0"/>
        <v>1174.72</v>
      </c>
      <c r="K50" s="80"/>
      <c r="L50" s="186">
        <f t="shared" si="19"/>
        <v>1165.9096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601.12</v>
      </c>
      <c r="C51" s="116">
        <v>1.4999999999999999E-2</v>
      </c>
      <c r="D51" s="117">
        <f>+B51*C51</f>
        <v>9.0167999999999999</v>
      </c>
      <c r="E51" s="172">
        <v>0</v>
      </c>
      <c r="F51" s="117">
        <f>D51*E51</f>
        <v>0</v>
      </c>
      <c r="G51" s="117">
        <f t="shared" si="17"/>
        <v>592.10320000000002</v>
      </c>
      <c r="H51" s="173">
        <f t="shared" si="20"/>
        <v>44748</v>
      </c>
      <c r="I51" s="175">
        <v>1761.84</v>
      </c>
      <c r="J51" s="81">
        <f t="shared" si="0"/>
        <v>-1160.7199999999998</v>
      </c>
      <c r="K51" s="80"/>
      <c r="L51" s="186">
        <f t="shared" si="19"/>
        <v>592.10320000000002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601.36</v>
      </c>
      <c r="C52" s="116">
        <v>2.5000000000000001E-2</v>
      </c>
      <c r="D52" s="117">
        <f>B52*C52</f>
        <v>15.034000000000001</v>
      </c>
      <c r="E52" s="172">
        <v>0.05</v>
      </c>
      <c r="F52" s="117">
        <f>(B52/E$10)*E52</f>
        <v>25.920689655172421</v>
      </c>
      <c r="G52" s="117">
        <f>B52-D52-F52</f>
        <v>560.40531034482763</v>
      </c>
      <c r="H52" s="188">
        <f t="shared" si="20"/>
        <v>44748</v>
      </c>
      <c r="I52" s="176">
        <v>601.36</v>
      </c>
      <c r="J52" s="81">
        <f t="shared" si="0"/>
        <v>0</v>
      </c>
      <c r="K52" s="80">
        <v>347.05</v>
      </c>
      <c r="L52" s="186">
        <f>K52-G52</f>
        <v>-213.35531034482761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44748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44748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44748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209</v>
      </c>
      <c r="B56" s="117">
        <f>T75</f>
        <v>69.39</v>
      </c>
      <c r="C56" s="116">
        <v>2.5000000000000001E-2</v>
      </c>
      <c r="D56" s="117">
        <f t="shared" si="21"/>
        <v>1.73475</v>
      </c>
      <c r="E56" s="172">
        <v>0.05</v>
      </c>
      <c r="F56" s="117">
        <f t="shared" si="22"/>
        <v>2.9909482758620691</v>
      </c>
      <c r="G56" s="117">
        <f t="shared" si="23"/>
        <v>64.664301724137928</v>
      </c>
      <c r="H56" s="173">
        <f t="shared" si="20"/>
        <v>44748</v>
      </c>
      <c r="I56" s="219">
        <v>69.39</v>
      </c>
      <c r="J56" s="81">
        <f t="shared" si="0"/>
        <v>0</v>
      </c>
      <c r="K56" s="80"/>
      <c r="L56" s="186">
        <f t="shared" si="19"/>
        <v>64.664301724137928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152.37564999999998</v>
      </c>
      <c r="E61" s="177"/>
      <c r="F61" s="57">
        <f>SUM(F46:F58)</f>
        <v>28.911637931034491</v>
      </c>
      <c r="G61" s="57">
        <f>SUM(G46:G58)</f>
        <v>17969.262712068965</v>
      </c>
      <c r="H61" s="173">
        <f t="shared" si="20"/>
        <v>44748</v>
      </c>
      <c r="I61" s="175"/>
      <c r="J61" s="81">
        <f t="shared" si="0"/>
        <v>0</v>
      </c>
      <c r="K61" s="80"/>
      <c r="L61" s="186">
        <f t="shared" si="19"/>
        <v>17969.262712068965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f>2+12+260</f>
        <v>274</v>
      </c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274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35938.52542413793</v>
      </c>
      <c r="H64" s="184"/>
      <c r="I64" s="175"/>
      <c r="J64" s="81">
        <f t="shared" si="0"/>
        <v>0</v>
      </c>
      <c r="K64" s="80"/>
      <c r="L64" s="186">
        <f t="shared" si="19"/>
        <v>35938.52542413793</v>
      </c>
      <c r="M64" s="130"/>
      <c r="N64" s="87">
        <v>1</v>
      </c>
      <c r="O64" s="122" t="s">
        <v>197</v>
      </c>
      <c r="P64" s="87"/>
      <c r="Q64" s="225"/>
      <c r="R64" s="236">
        <f>88.67+35+49.46</f>
        <v>173.13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1.2984749999999998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171.831525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32694.908799999997</v>
      </c>
      <c r="G65" s="22"/>
      <c r="L65" s="132"/>
      <c r="M65" s="131"/>
      <c r="N65" s="87">
        <v>2</v>
      </c>
      <c r="O65" s="122" t="s">
        <v>243</v>
      </c>
      <c r="P65" s="87"/>
      <c r="Q65" s="225"/>
      <c r="R65" s="240">
        <v>20</v>
      </c>
      <c r="S65" s="225"/>
      <c r="T65" s="225"/>
      <c r="U65" s="189">
        <f t="shared" si="28"/>
        <v>0</v>
      </c>
      <c r="V65" s="189">
        <f t="shared" si="29"/>
        <v>0.15</v>
      </c>
      <c r="W65" s="189">
        <f t="shared" si="30"/>
        <v>0</v>
      </c>
      <c r="X65" s="189">
        <f t="shared" si="31"/>
        <v>0</v>
      </c>
      <c r="Y65" s="189">
        <f t="shared" si="32"/>
        <v>19.850000000000001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197</v>
      </c>
      <c r="P66" s="87"/>
      <c r="Q66" s="225"/>
      <c r="R66" s="240">
        <v>80.069999999999993</v>
      </c>
      <c r="S66" s="225"/>
      <c r="T66" s="225"/>
      <c r="U66" s="189">
        <f t="shared" si="28"/>
        <v>0</v>
      </c>
      <c r="V66" s="189">
        <f t="shared" si="29"/>
        <v>0.60052499999999998</v>
      </c>
      <c r="W66" s="189">
        <f t="shared" si="30"/>
        <v>0</v>
      </c>
      <c r="X66" s="189">
        <f t="shared" si="31"/>
        <v>0</v>
      </c>
      <c r="Y66" s="189">
        <f t="shared" si="32"/>
        <v>79.469474999999989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197</v>
      </c>
      <c r="P67" s="87"/>
      <c r="Q67" s="225"/>
      <c r="R67" s="240">
        <f>29.41+10.58+20</f>
        <v>59.99</v>
      </c>
      <c r="S67" s="225"/>
      <c r="T67" s="225"/>
      <c r="U67" s="189">
        <f t="shared" si="28"/>
        <v>0</v>
      </c>
      <c r="V67" s="189">
        <f t="shared" si="29"/>
        <v>0.44992500000000002</v>
      </c>
      <c r="W67" s="189">
        <f t="shared" si="30"/>
        <v>0</v>
      </c>
      <c r="X67" s="189">
        <f t="shared" si="31"/>
        <v>0</v>
      </c>
      <c r="Y67" s="189">
        <f t="shared" si="32"/>
        <v>59.540075000000002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28651.53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243</v>
      </c>
      <c r="P68" s="87"/>
      <c r="Q68" s="225"/>
      <c r="R68" s="225">
        <v>10</v>
      </c>
      <c r="S68" s="225"/>
      <c r="T68" s="225"/>
      <c r="U68" s="189">
        <f t="shared" si="28"/>
        <v>0</v>
      </c>
      <c r="V68" s="189">
        <f t="shared" si="29"/>
        <v>7.4999999999999997E-2</v>
      </c>
      <c r="W68" s="189">
        <f t="shared" si="30"/>
        <v>0</v>
      </c>
      <c r="X68" s="189">
        <f t="shared" si="31"/>
        <v>0</v>
      </c>
      <c r="Y68" s="189">
        <f t="shared" si="32"/>
        <v>9.9250000000000007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29023.73</v>
      </c>
      <c r="C69" s="59"/>
      <c r="F69" s="87" t="s">
        <v>127</v>
      </c>
      <c r="G69" s="22"/>
      <c r="H69" s="89"/>
      <c r="I69" s="136"/>
      <c r="J69" s="136">
        <f>K52</f>
        <v>347.05</v>
      </c>
      <c r="N69" s="301" t="s">
        <v>108</v>
      </c>
      <c r="O69" s="301"/>
      <c r="P69" s="302"/>
      <c r="Q69" s="302"/>
      <c r="R69" s="192">
        <f>SUM(R64:R68)</f>
        <v>343.19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2.5739249999999996</v>
      </c>
      <c r="W69" s="192">
        <f t="shared" si="34"/>
        <v>0</v>
      </c>
      <c r="X69" s="192">
        <f t="shared" si="34"/>
        <v>0</v>
      </c>
      <c r="Y69" s="192">
        <f t="shared" si="34"/>
        <v>340.61607499999997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372.20000000000073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214</v>
      </c>
      <c r="P70" s="225" t="s">
        <v>268</v>
      </c>
      <c r="Q70" s="225">
        <v>1001</v>
      </c>
      <c r="R70" s="221">
        <f>1551.49+597.52</f>
        <v>2149.0100000000002</v>
      </c>
      <c r="S70" s="225"/>
      <c r="T70" s="221">
        <v>33.18</v>
      </c>
      <c r="U70" s="189">
        <f t="shared" ref="U70:U74" si="35">((T70/U$10)*U$9)</f>
        <v>1.4301724137931036</v>
      </c>
      <c r="V70" s="189">
        <f t="shared" ref="V70:V74" si="36">R70*V$10</f>
        <v>16.117575000000002</v>
      </c>
      <c r="W70" s="189">
        <f t="shared" ref="W70:W74" si="37">+S70*V$10</f>
        <v>0</v>
      </c>
      <c r="X70" s="189">
        <f t="shared" ref="X70:X74" si="38">+T70*X$10</f>
        <v>0.82950000000000002</v>
      </c>
      <c r="Y70" s="189">
        <f t="shared" ref="Y70:Z74" si="39">R70-V70</f>
        <v>2132.892425</v>
      </c>
      <c r="Z70" s="189">
        <f t="shared" si="39"/>
        <v>0</v>
      </c>
      <c r="AA70" s="189">
        <f t="shared" ref="AA70:AA74" si="40">T70-U70-X70</f>
        <v>30.920327586206898</v>
      </c>
      <c r="AB70" s="87"/>
    </row>
    <row r="71" spans="1:30" ht="28.5" customHeight="1" thickBot="1" x14ac:dyDescent="0.3">
      <c r="A71" s="25" t="s">
        <v>56</v>
      </c>
      <c r="B71" s="70">
        <f>(B65-B69)-B72</f>
        <v>3671.1787999999979</v>
      </c>
      <c r="C71" s="64"/>
      <c r="F71" s="87" t="s">
        <v>129</v>
      </c>
      <c r="G71" s="137"/>
      <c r="H71" s="87"/>
      <c r="I71" s="81"/>
      <c r="J71" s="81">
        <f>+J69-H69-H70-H71-H72-H73</f>
        <v>347.05</v>
      </c>
      <c r="N71" s="87">
        <v>2</v>
      </c>
      <c r="O71" s="122" t="s">
        <v>214</v>
      </c>
      <c r="P71" s="225">
        <v>71</v>
      </c>
      <c r="Q71" s="225">
        <v>2001</v>
      </c>
      <c r="R71" s="221">
        <v>285.37</v>
      </c>
      <c r="S71" s="225"/>
      <c r="T71" s="221"/>
      <c r="U71" s="189">
        <f t="shared" si="35"/>
        <v>0</v>
      </c>
      <c r="V71" s="189">
        <f t="shared" si="36"/>
        <v>2.1402749999999999</v>
      </c>
      <c r="W71" s="189">
        <f t="shared" si="37"/>
        <v>0</v>
      </c>
      <c r="X71" s="189">
        <f t="shared" si="38"/>
        <v>0</v>
      </c>
      <c r="Y71" s="189">
        <f t="shared" si="39"/>
        <v>283.22972500000003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214</v>
      </c>
      <c r="P72" s="225">
        <v>17</v>
      </c>
      <c r="Q72" s="225">
        <v>1001</v>
      </c>
      <c r="R72" s="221">
        <v>1216.79</v>
      </c>
      <c r="S72" s="225"/>
      <c r="T72" s="225">
        <v>36.21</v>
      </c>
      <c r="U72" s="189">
        <f t="shared" si="35"/>
        <v>1.5607758620689658</v>
      </c>
      <c r="V72" s="189">
        <f t="shared" si="36"/>
        <v>9.1259249999999987</v>
      </c>
      <c r="W72" s="189">
        <f t="shared" si="37"/>
        <v>0</v>
      </c>
      <c r="X72" s="189">
        <f t="shared" si="38"/>
        <v>0.90525000000000011</v>
      </c>
      <c r="Y72" s="189">
        <f t="shared" si="39"/>
        <v>1207.6640749999999</v>
      </c>
      <c r="Z72" s="189">
        <f t="shared" si="39"/>
        <v>0</v>
      </c>
      <c r="AA72" s="189">
        <f t="shared" si="40"/>
        <v>33.743974137931033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207</v>
      </c>
      <c r="P73" s="225">
        <v>143</v>
      </c>
      <c r="Q73" s="225">
        <v>2001</v>
      </c>
      <c r="R73" s="221">
        <v>174.97</v>
      </c>
      <c r="S73" s="225"/>
      <c r="T73" s="225"/>
      <c r="U73" s="189">
        <f t="shared" si="35"/>
        <v>0</v>
      </c>
      <c r="V73" s="189">
        <f t="shared" si="36"/>
        <v>1.3122749999999999</v>
      </c>
      <c r="W73" s="189">
        <f t="shared" si="37"/>
        <v>0</v>
      </c>
      <c r="X73" s="189">
        <f t="shared" si="38"/>
        <v>0</v>
      </c>
      <c r="Y73" s="189">
        <f t="shared" si="39"/>
        <v>173.657725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60+70+75+25+10+20</f>
        <v>260</v>
      </c>
      <c r="S74" s="225"/>
      <c r="T74" s="225"/>
      <c r="U74" s="189">
        <f t="shared" si="35"/>
        <v>0</v>
      </c>
      <c r="V74" s="189">
        <f t="shared" si="36"/>
        <v>1.95</v>
      </c>
      <c r="W74" s="189">
        <f t="shared" si="37"/>
        <v>0</v>
      </c>
      <c r="X74" s="189">
        <f t="shared" si="38"/>
        <v>0</v>
      </c>
      <c r="Y74" s="189">
        <f t="shared" si="39"/>
        <v>258.05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4086.14</v>
      </c>
      <c r="S75" s="192"/>
      <c r="T75" s="192">
        <f>SUM(T70:T74)</f>
        <v>69.39</v>
      </c>
      <c r="U75" s="192">
        <f>SUM(U70:U74)</f>
        <v>2.9909482758620696</v>
      </c>
      <c r="V75" s="192">
        <f t="shared" ref="V75:AA75" si="42">SUM(V70:V74)</f>
        <v>30.646049999999999</v>
      </c>
      <c r="W75" s="192">
        <f t="shared" si="42"/>
        <v>0</v>
      </c>
      <c r="X75" s="192">
        <f t="shared" si="42"/>
        <v>1.73475</v>
      </c>
      <c r="Y75" s="192">
        <f t="shared" si="42"/>
        <v>4055.49395</v>
      </c>
      <c r="Z75" s="192">
        <f t="shared" si="42"/>
        <v>0</v>
      </c>
      <c r="AA75" s="193">
        <f t="shared" si="42"/>
        <v>64.664301724137928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8.85</v>
      </c>
      <c r="Q78" s="137"/>
      <c r="R78" s="82">
        <v>7.4999999999999997E-3</v>
      </c>
      <c r="S78" s="194">
        <f>+(P78+Q78)*R78</f>
        <v>6.637499999999999E-2</v>
      </c>
      <c r="T78" s="219">
        <f>+(P78+Q78)-S78</f>
        <v>8.7836249999999989</v>
      </c>
      <c r="U78" s="211">
        <v>42.69</v>
      </c>
      <c r="V78" s="112"/>
      <c r="W78" s="113">
        <v>1.4999999999999999E-2</v>
      </c>
      <c r="X78" s="196">
        <f>+(U78+V78)*W78</f>
        <v>0.64034999999999997</v>
      </c>
      <c r="Y78" s="232">
        <f>+(U78+V78)-X78</f>
        <v>42.04965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94.84</v>
      </c>
      <c r="Q79" s="137"/>
      <c r="R79" s="82">
        <v>7.4999999999999997E-3</v>
      </c>
      <c r="S79" s="194">
        <f t="shared" ref="S79:S97" si="44">+(P79+Q79)*R79</f>
        <v>0.71130000000000004</v>
      </c>
      <c r="T79" s="219">
        <f t="shared" ref="T79:T97" si="45">+(P79+Q79)-S79</f>
        <v>94.128700000000009</v>
      </c>
      <c r="U79" s="211">
        <v>186.22</v>
      </c>
      <c r="V79" s="112"/>
      <c r="W79" s="113">
        <v>1.4999999999999999E-2</v>
      </c>
      <c r="X79" s="196">
        <f t="shared" ref="X79:X97" si="46">+(U79+V79)*W79</f>
        <v>2.7932999999999999</v>
      </c>
      <c r="Y79" s="232">
        <f t="shared" ref="Y79:Y97" si="47">+(U79+V79)-X79</f>
        <v>183.42670000000001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119.12</v>
      </c>
      <c r="Q80" s="137"/>
      <c r="R80" s="82">
        <v>7.4999999999999997E-3</v>
      </c>
      <c r="S80" s="194">
        <f t="shared" si="44"/>
        <v>0.89339999999999997</v>
      </c>
      <c r="T80" s="254">
        <f t="shared" si="45"/>
        <v>118.2266</v>
      </c>
      <c r="U80" s="211"/>
      <c r="V80" s="112"/>
      <c r="W80" s="113">
        <v>1.4999999999999999E-2</v>
      </c>
      <c r="X80" s="196">
        <f t="shared" si="46"/>
        <v>0</v>
      </c>
      <c r="Y80" s="232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148.88999999999999</v>
      </c>
      <c r="Q81" s="137">
        <v>284.43</v>
      </c>
      <c r="R81" s="82">
        <v>7.4999999999999997E-3</v>
      </c>
      <c r="S81" s="194">
        <f t="shared" si="44"/>
        <v>3.2498999999999998</v>
      </c>
      <c r="T81" s="254">
        <f t="shared" si="45"/>
        <v>430.07009999999997</v>
      </c>
      <c r="U81" s="211">
        <v>97.46</v>
      </c>
      <c r="V81" s="112"/>
      <c r="W81" s="113">
        <v>1.4999999999999999E-2</v>
      </c>
      <c r="X81" s="196">
        <f t="shared" si="46"/>
        <v>1.4618999999999998</v>
      </c>
      <c r="Y81" s="262">
        <f t="shared" si="47"/>
        <v>95.998099999999994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5"/>
        <v>0</v>
      </c>
      <c r="U82" s="211">
        <v>12.57</v>
      </c>
      <c r="V82" s="112"/>
      <c r="W82" s="113">
        <v>1.4999999999999999E-2</v>
      </c>
      <c r="X82" s="196">
        <f t="shared" si="46"/>
        <v>0.18855</v>
      </c>
      <c r="Y82" s="262">
        <f t="shared" si="47"/>
        <v>12.381450000000001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69.75</v>
      </c>
      <c r="Q83" s="87">
        <v>67.25</v>
      </c>
      <c r="R83" s="82">
        <v>7.4999999999999997E-3</v>
      </c>
      <c r="S83" s="194">
        <f t="shared" si="44"/>
        <v>1.0274999999999999</v>
      </c>
      <c r="T83" s="254">
        <f t="shared" si="45"/>
        <v>135.9725</v>
      </c>
      <c r="U83" s="112">
        <v>122.66</v>
      </c>
      <c r="V83" s="112"/>
      <c r="W83" s="113">
        <v>1.4999999999999999E-2</v>
      </c>
      <c r="X83" s="196">
        <f t="shared" si="46"/>
        <v>1.8398999999999999</v>
      </c>
      <c r="Y83" s="262">
        <f t="shared" si="47"/>
        <v>120.8201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>
        <v>10.39</v>
      </c>
      <c r="V84" s="112"/>
      <c r="W84" s="113">
        <v>1.4999999999999999E-2</v>
      </c>
      <c r="X84" s="196">
        <f t="shared" si="46"/>
        <v>0.15585000000000002</v>
      </c>
      <c r="Y84" s="263">
        <f t="shared" si="47"/>
        <v>10.234150000000001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8.73</v>
      </c>
      <c r="Q85" s="87"/>
      <c r="R85" s="82">
        <v>7.4999999999999997E-3</v>
      </c>
      <c r="S85" s="194">
        <f t="shared" si="44"/>
        <v>6.5475000000000005E-2</v>
      </c>
      <c r="T85" s="254">
        <f t="shared" si="45"/>
        <v>8.6645250000000011</v>
      </c>
      <c r="U85" s="211">
        <v>51.46</v>
      </c>
      <c r="V85" s="112"/>
      <c r="W85" s="113">
        <v>1.4999999999999999E-2</v>
      </c>
      <c r="X85" s="196">
        <f t="shared" si="46"/>
        <v>0.77190000000000003</v>
      </c>
      <c r="Y85" s="263">
        <f t="shared" si="47"/>
        <v>50.688099999999999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120.24</v>
      </c>
      <c r="Q86" s="87"/>
      <c r="R86" s="82">
        <v>7.4999999999999997E-3</v>
      </c>
      <c r="S86" s="194">
        <f t="shared" si="44"/>
        <v>0.90179999999999993</v>
      </c>
      <c r="T86" s="213">
        <f t="shared" si="45"/>
        <v>119.3382</v>
      </c>
      <c r="U86" s="112">
        <v>17.75</v>
      </c>
      <c r="V86" s="112"/>
      <c r="W86" s="113">
        <v>1.4999999999999999E-2</v>
      </c>
      <c r="X86" s="196">
        <f t="shared" si="46"/>
        <v>0.26624999999999999</v>
      </c>
      <c r="Y86" s="254">
        <f t="shared" si="47"/>
        <v>17.483750000000001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201.59</v>
      </c>
      <c r="Q87" s="87">
        <v>51.03</v>
      </c>
      <c r="R87" s="82">
        <v>7.4999999999999997E-3</v>
      </c>
      <c r="S87" s="194">
        <f t="shared" si="44"/>
        <v>1.8946499999999999</v>
      </c>
      <c r="T87" s="213">
        <f t="shared" si="45"/>
        <v>250.72534999999999</v>
      </c>
      <c r="U87" s="112">
        <v>59.92</v>
      </c>
      <c r="V87" s="112"/>
      <c r="W87" s="113">
        <v>1.4999999999999999E-2</v>
      </c>
      <c r="X87" s="196">
        <f t="shared" si="46"/>
        <v>0.89880000000000004</v>
      </c>
      <c r="Y87" s="254">
        <f t="shared" si="47"/>
        <v>59.0212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772.01</v>
      </c>
      <c r="Q98" s="195">
        <f>SUM(Q78:Q97)</f>
        <v>402.71000000000004</v>
      </c>
      <c r="R98" s="111"/>
      <c r="S98" s="195">
        <f>SUM(S78:S97)</f>
        <v>8.8103999999999996</v>
      </c>
      <c r="T98" s="195">
        <f>SUM(T78:T97)</f>
        <v>1165.9096</v>
      </c>
      <c r="U98" s="114">
        <f>SUM(U78:U97)</f>
        <v>601.12</v>
      </c>
      <c r="V98" s="114">
        <f>SUM(V78:V97)</f>
        <v>0</v>
      </c>
      <c r="W98" s="112"/>
      <c r="X98" s="197">
        <f>SUM(X78:X97)</f>
        <v>9.0167999999999999</v>
      </c>
      <c r="Y98" s="197">
        <f>SUM(Y78:Y97)</f>
        <v>592.10320000000002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51.54</v>
      </c>
    </row>
    <row r="103" spans="14:30" x14ac:dyDescent="0.25">
      <c r="N103" s="85"/>
      <c r="Q103" s="215">
        <f>U79+Q79+P79</f>
        <v>281.06</v>
      </c>
    </row>
    <row r="104" spans="14:30" x14ac:dyDescent="0.25">
      <c r="N104" s="85"/>
      <c r="Q104" s="215">
        <f>P80+Q80+U80</f>
        <v>119.12</v>
      </c>
    </row>
    <row r="105" spans="14:30" x14ac:dyDescent="0.25">
      <c r="N105" s="85"/>
      <c r="Q105" s="215">
        <f>P81+Q81+U81</f>
        <v>530.78</v>
      </c>
    </row>
    <row r="106" spans="14:30" x14ac:dyDescent="0.25">
      <c r="N106" s="85"/>
      <c r="Q106" s="215">
        <f>P82+U82+Q82</f>
        <v>12.57</v>
      </c>
    </row>
    <row r="107" spans="14:30" x14ac:dyDescent="0.25">
      <c r="N107" s="85"/>
      <c r="Q107" s="246">
        <f>P83+Q83+U83</f>
        <v>259.65999999999997</v>
      </c>
    </row>
    <row r="108" spans="14:30" x14ac:dyDescent="0.25">
      <c r="N108" s="85"/>
      <c r="Q108" s="246">
        <f t="shared" ref="Q108:Q112" si="51">P84+Q84+U84</f>
        <v>10.39</v>
      </c>
    </row>
    <row r="109" spans="14:30" x14ac:dyDescent="0.25">
      <c r="N109" s="85"/>
      <c r="Q109" s="215">
        <f>P85+Q85+U85</f>
        <v>60.19</v>
      </c>
    </row>
    <row r="110" spans="14:30" x14ac:dyDescent="0.25">
      <c r="N110" s="85"/>
      <c r="Q110" s="246">
        <f>P86+Q86+U86</f>
        <v>137.99</v>
      </c>
    </row>
    <row r="111" spans="14:30" x14ac:dyDescent="0.25">
      <c r="N111" s="85"/>
      <c r="Q111" s="246">
        <f t="shared" si="51"/>
        <v>312.54000000000002</v>
      </c>
    </row>
    <row r="112" spans="14:30" x14ac:dyDescent="0.25">
      <c r="N112" s="85"/>
      <c r="Q112" s="246">
        <f t="shared" si="51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L53" sqref="L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>
        <v>5.8</v>
      </c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1212.4000000000001</v>
      </c>
      <c r="C12" s="15"/>
      <c r="D12" s="56"/>
      <c r="E12" s="16"/>
      <c r="F12" s="56"/>
      <c r="G12" s="56"/>
      <c r="H12" s="17"/>
      <c r="I12" s="83">
        <v>1212.4000000000001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157</v>
      </c>
      <c r="Q12" s="158">
        <v>11</v>
      </c>
      <c r="R12" s="159">
        <v>862.61</v>
      </c>
      <c r="S12" s="160"/>
      <c r="T12" s="160">
        <v>71.959999999999994</v>
      </c>
      <c r="U12" s="189">
        <f>((T12/U$10)*U$9)</f>
        <v>3.1017241379310345</v>
      </c>
      <c r="V12" s="189">
        <f>R12*V$10</f>
        <v>6.4695749999999999</v>
      </c>
      <c r="W12" s="189">
        <f>+S12*V$10</f>
        <v>0</v>
      </c>
      <c r="X12" s="189">
        <f>+T12*X$10</f>
        <v>1.7989999999999999</v>
      </c>
      <c r="Y12" s="189">
        <f>R12-V12</f>
        <v>856.14042500000005</v>
      </c>
      <c r="Z12" s="189">
        <f>S12-W12</f>
        <v>0</v>
      </c>
      <c r="AA12" s="189">
        <f>T12-U12-X12</f>
        <v>67.059275862068958</v>
      </c>
      <c r="AB12" s="156"/>
    </row>
    <row r="13" spans="1:28" ht="15.75" x14ac:dyDescent="0.25">
      <c r="A13" s="86" t="s">
        <v>74</v>
      </c>
      <c r="B13" s="89">
        <v>1628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1628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158</v>
      </c>
      <c r="Q13" s="158">
        <v>11</v>
      </c>
      <c r="R13" s="159">
        <v>2201.29</v>
      </c>
      <c r="S13" s="160"/>
      <c r="T13" s="161">
        <v>77.39</v>
      </c>
      <c r="U13" s="189">
        <f t="shared" ref="U13:U41" si="2">((T13/U$10)*U$9)</f>
        <v>3.3357758620689659</v>
      </c>
      <c r="V13" s="189">
        <f t="shared" ref="V13:V41" si="3">R13*V$10</f>
        <v>16.509674999999998</v>
      </c>
      <c r="W13" s="189">
        <f t="shared" ref="W13:W41" si="4">+S13*V$10</f>
        <v>0</v>
      </c>
      <c r="X13" s="189">
        <f t="shared" ref="X13:X41" si="5">+T13*X$10</f>
        <v>1.9347500000000002</v>
      </c>
      <c r="Y13" s="189">
        <f t="shared" ref="Y13:Z41" si="6">R13-V13</f>
        <v>2184.7803250000002</v>
      </c>
      <c r="Z13" s="189">
        <f t="shared" si="6"/>
        <v>0</v>
      </c>
      <c r="AA13" s="189">
        <f t="shared" ref="AA13:AA41" si="7">T13-U13-X13</f>
        <v>72.119474137931036</v>
      </c>
      <c r="AB13" s="156"/>
    </row>
    <row r="14" spans="1:28" ht="15.75" x14ac:dyDescent="0.25">
      <c r="A14" s="86" t="s">
        <v>81</v>
      </c>
      <c r="B14" s="57">
        <f>B13*B8</f>
        <v>9051.6799999999985</v>
      </c>
      <c r="C14" s="15"/>
      <c r="D14" s="56"/>
      <c r="E14" s="16"/>
      <c r="F14" s="56"/>
      <c r="G14" s="56"/>
      <c r="H14" s="17"/>
      <c r="I14" s="83"/>
      <c r="J14" s="81">
        <f t="shared" si="0"/>
        <v>9051.6799999999985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541</v>
      </c>
      <c r="Q14" s="158">
        <v>2</v>
      </c>
      <c r="R14" s="159">
        <v>526.4</v>
      </c>
      <c r="S14" s="160"/>
      <c r="T14" s="161"/>
      <c r="U14" s="189">
        <f t="shared" si="2"/>
        <v>0</v>
      </c>
      <c r="V14" s="189">
        <f t="shared" si="3"/>
        <v>3.9479999999999995</v>
      </c>
      <c r="W14" s="189">
        <f t="shared" si="4"/>
        <v>0</v>
      </c>
      <c r="X14" s="189">
        <f t="shared" si="5"/>
        <v>0</v>
      </c>
      <c r="Y14" s="189">
        <f t="shared" si="6"/>
        <v>522.452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522</v>
      </c>
      <c r="Q15" s="158">
        <v>4</v>
      </c>
      <c r="R15" s="159">
        <v>927.48</v>
      </c>
      <c r="S15" s="160"/>
      <c r="T15" s="161">
        <v>42.19</v>
      </c>
      <c r="U15" s="189">
        <f t="shared" si="2"/>
        <v>1.8185344827586207</v>
      </c>
      <c r="V15" s="189">
        <f t="shared" si="3"/>
        <v>6.9561000000000002</v>
      </c>
      <c r="W15" s="189">
        <f t="shared" si="4"/>
        <v>0</v>
      </c>
      <c r="X15" s="189">
        <f t="shared" si="5"/>
        <v>1.0547500000000001</v>
      </c>
      <c r="Y15" s="189">
        <f t="shared" si="6"/>
        <v>920.52390000000003</v>
      </c>
      <c r="Z15" s="189">
        <f t="shared" si="6"/>
        <v>0</v>
      </c>
      <c r="AA15" s="189">
        <f t="shared" si="7"/>
        <v>39.316715517241377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523</v>
      </c>
      <c r="Q16" s="158">
        <v>4</v>
      </c>
      <c r="R16" s="159">
        <v>882.04</v>
      </c>
      <c r="S16" s="160"/>
      <c r="T16" s="161"/>
      <c r="U16" s="189">
        <f t="shared" si="2"/>
        <v>0</v>
      </c>
      <c r="V16" s="189">
        <f t="shared" si="3"/>
        <v>6.6152999999999995</v>
      </c>
      <c r="W16" s="189">
        <f t="shared" si="4"/>
        <v>0</v>
      </c>
      <c r="X16" s="189">
        <f t="shared" si="5"/>
        <v>0</v>
      </c>
      <c r="Y16" s="189">
        <f t="shared" si="6"/>
        <v>875.42469999999992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171</v>
      </c>
      <c r="Q17" s="158">
        <v>10</v>
      </c>
      <c r="R17" s="159">
        <v>563.54999999999995</v>
      </c>
      <c r="S17" s="160"/>
      <c r="T17" s="161"/>
      <c r="U17" s="189">
        <f t="shared" si="2"/>
        <v>0</v>
      </c>
      <c r="V17" s="189">
        <f t="shared" si="3"/>
        <v>4.2266249999999994</v>
      </c>
      <c r="W17" s="189">
        <f t="shared" si="4"/>
        <v>0</v>
      </c>
      <c r="X17" s="189">
        <f t="shared" si="5"/>
        <v>0</v>
      </c>
      <c r="Y17" s="189">
        <f t="shared" si="6"/>
        <v>559.32337499999994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172</v>
      </c>
      <c r="Q18" s="158">
        <v>10</v>
      </c>
      <c r="R18" s="159">
        <v>908.95</v>
      </c>
      <c r="S18" s="160"/>
      <c r="T18" s="161">
        <v>32.119999999999997</v>
      </c>
      <c r="U18" s="189">
        <f t="shared" si="2"/>
        <v>1.3844827586206898</v>
      </c>
      <c r="V18" s="189">
        <f t="shared" si="3"/>
        <v>6.8171249999999999</v>
      </c>
      <c r="W18" s="189">
        <f t="shared" si="4"/>
        <v>0</v>
      </c>
      <c r="X18" s="189">
        <f t="shared" si="5"/>
        <v>0.80299999999999994</v>
      </c>
      <c r="Y18" s="189">
        <f t="shared" si="6"/>
        <v>902.13287500000001</v>
      </c>
      <c r="Z18" s="189">
        <f t="shared" si="6"/>
        <v>0</v>
      </c>
      <c r="AA18" s="189">
        <f t="shared" si="7"/>
        <v>29.932517241379308</v>
      </c>
      <c r="AB18" s="156"/>
    </row>
    <row r="19" spans="1:28" ht="15.75" x14ac:dyDescent="0.25">
      <c r="A19" s="93" t="s">
        <v>79</v>
      </c>
      <c r="B19" s="97">
        <f>+B13+B15+B17</f>
        <v>1628</v>
      </c>
      <c r="C19" s="95"/>
      <c r="D19" s="94"/>
      <c r="E19" s="96"/>
      <c r="F19" s="94"/>
      <c r="G19" s="94"/>
      <c r="H19" s="98"/>
      <c r="I19" s="99"/>
      <c r="J19" s="185">
        <f>B19-I19</f>
        <v>1628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606</v>
      </c>
      <c r="Q19" s="158">
        <v>18</v>
      </c>
      <c r="R19" s="159">
        <v>373.25</v>
      </c>
      <c r="S19" s="160"/>
      <c r="T19" s="161">
        <v>5</v>
      </c>
      <c r="U19" s="189">
        <f t="shared" si="2"/>
        <v>0.21551724137931039</v>
      </c>
      <c r="V19" s="189">
        <f t="shared" si="3"/>
        <v>2.7993749999999999</v>
      </c>
      <c r="W19" s="189">
        <f t="shared" si="4"/>
        <v>0</v>
      </c>
      <c r="X19" s="189">
        <f t="shared" si="5"/>
        <v>0.125</v>
      </c>
      <c r="Y19" s="189">
        <f t="shared" si="6"/>
        <v>370.450625</v>
      </c>
      <c r="Z19" s="189">
        <f t="shared" si="6"/>
        <v>0</v>
      </c>
      <c r="AA19" s="189">
        <f t="shared" si="7"/>
        <v>4.6594827586206895</v>
      </c>
      <c r="AB19" s="156"/>
    </row>
    <row r="20" spans="1:28" ht="15.75" x14ac:dyDescent="0.25">
      <c r="A20" s="93" t="s">
        <v>80</v>
      </c>
      <c r="B20" s="97">
        <f>+B14+B16+B18</f>
        <v>9051.6799999999985</v>
      </c>
      <c r="C20" s="95"/>
      <c r="D20" s="94"/>
      <c r="E20" s="96"/>
      <c r="F20" s="94"/>
      <c r="G20" s="94"/>
      <c r="H20" s="98"/>
      <c r="I20" s="99">
        <v>9051.68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607</v>
      </c>
      <c r="Q20" s="158">
        <v>18</v>
      </c>
      <c r="R20" s="159">
        <v>1072.6099999999999</v>
      </c>
      <c r="S20" s="160"/>
      <c r="T20" s="161">
        <v>72.290000000000006</v>
      </c>
      <c r="U20" s="189">
        <f t="shared" si="2"/>
        <v>3.1159482758620696</v>
      </c>
      <c r="V20" s="189">
        <f t="shared" si="3"/>
        <v>8.0445749999999983</v>
      </c>
      <c r="W20" s="189">
        <f t="shared" si="4"/>
        <v>0</v>
      </c>
      <c r="X20" s="189">
        <f t="shared" si="5"/>
        <v>1.8072500000000002</v>
      </c>
      <c r="Y20" s="189">
        <f t="shared" si="6"/>
        <v>1064.565425</v>
      </c>
      <c r="Z20" s="189">
        <f t="shared" si="6"/>
        <v>0</v>
      </c>
      <c r="AA20" s="189">
        <f t="shared" si="7"/>
        <v>67.366801724137943</v>
      </c>
      <c r="AB20" s="156"/>
    </row>
    <row r="21" spans="1:28" ht="15.75" x14ac:dyDescent="0.25">
      <c r="A21" s="86" t="s">
        <v>82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290</v>
      </c>
      <c r="C22" s="100"/>
      <c r="D22" s="66"/>
      <c r="E22" s="67"/>
      <c r="F22" s="66"/>
      <c r="G22" s="66"/>
      <c r="H22" s="102"/>
      <c r="I22" s="79">
        <v>290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46.2</v>
      </c>
      <c r="C29" s="100"/>
      <c r="D29" s="66"/>
      <c r="E29" s="67"/>
      <c r="F29" s="66"/>
      <c r="G29" s="66"/>
      <c r="H29" s="102"/>
      <c r="I29" s="79">
        <v>46.2</v>
      </c>
      <c r="J29" s="81">
        <f t="shared" si="0"/>
        <v>0</v>
      </c>
      <c r="K29" s="80">
        <f>15.09+25+6.11</f>
        <v>46.2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256.87200000000001</v>
      </c>
      <c r="C30" s="100"/>
      <c r="D30" s="66"/>
      <c r="E30" s="67"/>
      <c r="F30" s="66"/>
      <c r="G30" s="66"/>
      <c r="H30" s="102"/>
      <c r="I30" s="79"/>
      <c r="J30" s="81">
        <f t="shared" si="0"/>
        <v>256.87200000000001</v>
      </c>
      <c r="K30" s="80">
        <v>256.87</v>
      </c>
      <c r="L30" s="186">
        <f>K30-B30</f>
        <v>-2.0000000000095497E-3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46.2</v>
      </c>
      <c r="C35" s="95"/>
      <c r="D35" s="94"/>
      <c r="E35" s="96"/>
      <c r="F35" s="94"/>
      <c r="G35" s="94"/>
      <c r="H35" s="98"/>
      <c r="I35" s="99"/>
      <c r="J35" s="185">
        <f t="shared" si="0"/>
        <v>46.2</v>
      </c>
      <c r="K35" s="99">
        <v>46.2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256.87200000000001</v>
      </c>
      <c r="C36" s="95"/>
      <c r="D36" s="94"/>
      <c r="E36" s="96"/>
      <c r="F36" s="94"/>
      <c r="G36" s="94"/>
      <c r="H36" s="98"/>
      <c r="I36" s="99"/>
      <c r="J36" s="185">
        <f t="shared" si="0"/>
        <v>256.87200000000001</v>
      </c>
      <c r="K36" s="99">
        <v>256.87</v>
      </c>
      <c r="L36" s="187">
        <f>K36-B36</f>
        <v>-2.0000000000095497E-3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9.16</v>
      </c>
      <c r="C37" s="100"/>
      <c r="D37" s="66"/>
      <c r="E37" s="67"/>
      <c r="F37" s="66"/>
      <c r="G37" s="66"/>
      <c r="H37" s="102"/>
      <c r="I37" s="79">
        <v>9.16</v>
      </c>
      <c r="J37" s="81">
        <f t="shared" si="0"/>
        <v>0</v>
      </c>
      <c r="K37" s="80">
        <v>9.16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50.929600000000001</v>
      </c>
      <c r="C38" s="100"/>
      <c r="D38" s="66"/>
      <c r="E38" s="67"/>
      <c r="F38" s="66"/>
      <c r="G38" s="66"/>
      <c r="H38" s="102"/>
      <c r="I38" s="79">
        <v>50.93</v>
      </c>
      <c r="J38" s="81">
        <f t="shared" si="0"/>
        <v>-3.9999999999906777E-4</v>
      </c>
      <c r="K38" s="80">
        <v>50.93</v>
      </c>
      <c r="L38" s="186">
        <f>K38-B38</f>
        <v>3.9999999999906777E-4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8318.18</v>
      </c>
      <c r="S42" s="190">
        <f t="shared" si="8"/>
        <v>0</v>
      </c>
      <c r="T42" s="190">
        <f t="shared" si="8"/>
        <v>300.95</v>
      </c>
      <c r="U42" s="190">
        <f t="shared" si="8"/>
        <v>12.97198275862069</v>
      </c>
      <c r="V42" s="190">
        <f t="shared" si="8"/>
        <v>62.386349999999993</v>
      </c>
      <c r="W42" s="190">
        <f t="shared" si="8"/>
        <v>0</v>
      </c>
      <c r="X42" s="190">
        <f t="shared" si="8"/>
        <v>7.5237499999999997</v>
      </c>
      <c r="Y42" s="190">
        <f t="shared" si="8"/>
        <v>8255.7936500000014</v>
      </c>
      <c r="Z42" s="190">
        <f t="shared" si="8"/>
        <v>0</v>
      </c>
      <c r="AA42" s="190">
        <f t="shared" si="8"/>
        <v>280.45426724137934</v>
      </c>
      <c r="AB42" s="166"/>
    </row>
    <row r="43" spans="1:28" ht="15.75" x14ac:dyDescent="0.25">
      <c r="A43" s="93" t="s">
        <v>101</v>
      </c>
      <c r="B43" s="97">
        <f>+B37+B39+B41</f>
        <v>9.16</v>
      </c>
      <c r="C43" s="95"/>
      <c r="D43" s="94"/>
      <c r="E43" s="96"/>
      <c r="F43" s="94"/>
      <c r="G43" s="94"/>
      <c r="H43" s="98"/>
      <c r="I43" s="99"/>
      <c r="J43" s="185">
        <f t="shared" si="0"/>
        <v>9.16</v>
      </c>
      <c r="K43" s="99">
        <v>9.16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50.929600000000001</v>
      </c>
      <c r="C44" s="95"/>
      <c r="D44" s="94"/>
      <c r="E44" s="96"/>
      <c r="F44" s="94"/>
      <c r="G44" s="94"/>
      <c r="H44" s="98"/>
      <c r="I44" s="99"/>
      <c r="J44" s="185">
        <f t="shared" si="0"/>
        <v>50.929600000000001</v>
      </c>
      <c r="K44" s="99">
        <v>50.93</v>
      </c>
      <c r="L44" s="187">
        <f>K44-B44</f>
        <v>3.9999999999906777E-4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8318.18</v>
      </c>
      <c r="C46" s="116">
        <v>7.4999999999999997E-3</v>
      </c>
      <c r="D46" s="117">
        <f>B46*C46</f>
        <v>62.38635</v>
      </c>
      <c r="E46" s="172">
        <v>0</v>
      </c>
      <c r="F46" s="117">
        <f t="shared" ref="F46:F50" si="15">D46*E46</f>
        <v>0</v>
      </c>
      <c r="G46" s="117">
        <f t="shared" ref="G46:G51" si="16">B46-D46-F46</f>
        <v>8255.7936499999996</v>
      </c>
      <c r="H46" s="173">
        <f>B$6+1</f>
        <v>44749</v>
      </c>
      <c r="I46" s="174">
        <v>8318.18</v>
      </c>
      <c r="J46" s="81">
        <f t="shared" si="0"/>
        <v>0</v>
      </c>
      <c r="K46" s="80">
        <v>8482.67</v>
      </c>
      <c r="L46" s="186">
        <f t="shared" ref="L46:L64" si="17">+G46-K46</f>
        <v>-226.87635000000046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256.75</v>
      </c>
      <c r="C48" s="116">
        <v>7.4999999999999997E-3</v>
      </c>
      <c r="D48" s="117">
        <f t="shared" si="18"/>
        <v>1.9256249999999999</v>
      </c>
      <c r="E48" s="172">
        <v>0</v>
      </c>
      <c r="F48" s="117">
        <f t="shared" si="15"/>
        <v>0</v>
      </c>
      <c r="G48" s="117">
        <f t="shared" si="16"/>
        <v>254.824375</v>
      </c>
      <c r="H48" s="173">
        <f t="shared" ref="H48:H61" si="19">B$6+1</f>
        <v>44749</v>
      </c>
      <c r="I48" s="176">
        <v>256.75</v>
      </c>
      <c r="J48" s="81">
        <f t="shared" si="0"/>
        <v>0</v>
      </c>
      <c r="K48" s="80"/>
      <c r="L48" s="186">
        <f t="shared" si="17"/>
        <v>254.824375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237</v>
      </c>
      <c r="B49" s="117">
        <f>R75</f>
        <v>2907.91</v>
      </c>
      <c r="C49" s="116">
        <v>7.4999999999999997E-3</v>
      </c>
      <c r="D49" s="117">
        <f t="shared" si="18"/>
        <v>21.809324999999998</v>
      </c>
      <c r="E49" s="172">
        <v>0</v>
      </c>
      <c r="F49" s="117">
        <f t="shared" si="15"/>
        <v>0</v>
      </c>
      <c r="G49" s="117">
        <f t="shared" si="16"/>
        <v>2886.1006749999997</v>
      </c>
      <c r="H49" s="173">
        <f t="shared" si="19"/>
        <v>44749</v>
      </c>
      <c r="I49" s="176">
        <v>2507.91</v>
      </c>
      <c r="J49" s="81">
        <f t="shared" si="0"/>
        <v>400</v>
      </c>
      <c r="K49" s="80"/>
      <c r="L49" s="186">
        <f t="shared" si="17"/>
        <v>2886.1006749999997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969.97</v>
      </c>
      <c r="C50" s="116">
        <v>7.4999999999999997E-3</v>
      </c>
      <c r="D50" s="117">
        <f t="shared" si="18"/>
        <v>7.274775</v>
      </c>
      <c r="E50" s="172">
        <v>0</v>
      </c>
      <c r="F50" s="117">
        <f t="shared" si="15"/>
        <v>0</v>
      </c>
      <c r="G50" s="117">
        <f t="shared" si="16"/>
        <v>962.69522500000005</v>
      </c>
      <c r="H50" s="173">
        <f t="shared" si="19"/>
        <v>44749</v>
      </c>
      <c r="I50" s="175">
        <v>1680.04</v>
      </c>
      <c r="J50" s="81">
        <f t="shared" si="0"/>
        <v>-710.06999999999994</v>
      </c>
      <c r="K50" s="80">
        <v>962.7</v>
      </c>
      <c r="L50" s="186">
        <f t="shared" si="17"/>
        <v>-4.7749999999950887E-3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710.07</v>
      </c>
      <c r="C51" s="116">
        <v>1.4999999999999999E-2</v>
      </c>
      <c r="D51" s="117">
        <f>+B51*C51</f>
        <v>10.65105</v>
      </c>
      <c r="E51" s="172">
        <v>0</v>
      </c>
      <c r="F51" s="117">
        <f>D51*E51</f>
        <v>0</v>
      </c>
      <c r="G51" s="117">
        <f t="shared" si="16"/>
        <v>699.41895</v>
      </c>
      <c r="H51" s="173">
        <f t="shared" si="19"/>
        <v>44749</v>
      </c>
      <c r="I51" s="175"/>
      <c r="J51" s="81">
        <f t="shared" si="0"/>
        <v>710.07</v>
      </c>
      <c r="K51" s="80">
        <v>699.42</v>
      </c>
      <c r="L51" s="186">
        <f t="shared" si="17"/>
        <v>-1.0499999999638021E-3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300.95</v>
      </c>
      <c r="C52" s="116">
        <v>2.5000000000000001E-2</v>
      </c>
      <c r="D52" s="117">
        <f>B52*C52</f>
        <v>7.5237499999999997</v>
      </c>
      <c r="E52" s="172">
        <v>0.05</v>
      </c>
      <c r="F52" s="117">
        <f>(B52/E$10)*E52</f>
        <v>12.97198275862069</v>
      </c>
      <c r="G52" s="117">
        <f>B52-D52-F52</f>
        <v>280.45426724137928</v>
      </c>
      <c r="H52" s="188">
        <f t="shared" si="19"/>
        <v>44749</v>
      </c>
      <c r="I52" s="176">
        <v>300.95</v>
      </c>
      <c r="J52" s="81">
        <f t="shared" si="0"/>
        <v>0</v>
      </c>
      <c r="K52" s="80">
        <v>67.36</v>
      </c>
      <c r="L52" s="186">
        <f t="shared" si="17"/>
        <v>213.09426724137927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8"/>
      <c r="R54" s="160"/>
      <c r="S54" s="160"/>
      <c r="T54" s="160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91.48</v>
      </c>
      <c r="C56" s="116">
        <v>2.5000000000000001E-2</v>
      </c>
      <c r="D56" s="117">
        <f t="shared" si="20"/>
        <v>2.2870000000000004</v>
      </c>
      <c r="E56" s="172">
        <v>0.05</v>
      </c>
      <c r="F56" s="117">
        <f t="shared" si="21"/>
        <v>3.9431034482758629</v>
      </c>
      <c r="G56" s="117">
        <f t="shared" si="22"/>
        <v>85.249896551724134</v>
      </c>
      <c r="H56" s="173">
        <f t="shared" si="19"/>
        <v>44749</v>
      </c>
      <c r="I56" s="176">
        <v>91.48</v>
      </c>
      <c r="J56" s="81">
        <f t="shared" si="0"/>
        <v>0</v>
      </c>
      <c r="K56" s="80"/>
      <c r="L56" s="186">
        <f t="shared" si="17"/>
        <v>85.249896551724134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113.85787500000001</v>
      </c>
      <c r="E61" s="177"/>
      <c r="F61" s="57">
        <f>SUM(F46:F58)</f>
        <v>16.915086206896554</v>
      </c>
      <c r="G61" s="57">
        <f>SUM(G46:G58)</f>
        <v>13424.537038793102</v>
      </c>
      <c r="H61" s="173">
        <f t="shared" si="19"/>
        <v>44749</v>
      </c>
      <c r="I61" s="175"/>
      <c r="J61" s="81">
        <f t="shared" si="0"/>
        <v>0</v>
      </c>
      <c r="K61" s="80"/>
      <c r="L61" s="186">
        <f t="shared" si="17"/>
        <v>13424.537038793102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400</v>
      </c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400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26849.074077586203</v>
      </c>
      <c r="H64" s="184"/>
      <c r="I64" s="175"/>
      <c r="J64" s="81">
        <f t="shared" si="0"/>
        <v>0</v>
      </c>
      <c r="K64" s="80"/>
      <c r="L64" s="186">
        <f t="shared" si="17"/>
        <v>26849.074077586203</v>
      </c>
      <c r="M64" s="130"/>
      <c r="N64" s="87">
        <v>1</v>
      </c>
      <c r="O64" s="122" t="s">
        <v>244</v>
      </c>
      <c r="P64" s="225"/>
      <c r="Q64" s="225"/>
      <c r="R64" s="240">
        <v>117.35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0.88012499999999994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116.46987499999999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24017.191599999998</v>
      </c>
      <c r="G65" s="22"/>
      <c r="L65" s="132"/>
      <c r="M65" s="131"/>
      <c r="N65" s="87">
        <v>2</v>
      </c>
      <c r="O65" s="122" t="s">
        <v>244</v>
      </c>
      <c r="P65" s="225"/>
      <c r="Q65" s="225"/>
      <c r="R65" s="240">
        <v>7.7</v>
      </c>
      <c r="S65" s="225"/>
      <c r="T65" s="87"/>
      <c r="U65" s="189">
        <f t="shared" si="27"/>
        <v>0</v>
      </c>
      <c r="V65" s="189">
        <f t="shared" si="28"/>
        <v>5.7749999999999996E-2</v>
      </c>
      <c r="W65" s="189">
        <f t="shared" si="29"/>
        <v>0</v>
      </c>
      <c r="X65" s="189">
        <f t="shared" si="30"/>
        <v>0</v>
      </c>
      <c r="Y65" s="189">
        <f t="shared" si="31"/>
        <v>7.6422499999999998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216</v>
      </c>
      <c r="P66" s="225"/>
      <c r="Q66" s="225"/>
      <c r="R66" s="240">
        <v>1.23</v>
      </c>
      <c r="S66" s="225"/>
      <c r="T66" s="87"/>
      <c r="U66" s="189">
        <f t="shared" si="27"/>
        <v>0</v>
      </c>
      <c r="V66" s="189">
        <f t="shared" si="28"/>
        <v>9.2249999999999988E-3</v>
      </c>
      <c r="W66" s="189">
        <f t="shared" si="29"/>
        <v>0</v>
      </c>
      <c r="X66" s="189">
        <f t="shared" si="30"/>
        <v>0</v>
      </c>
      <c r="Y66" s="189">
        <f t="shared" si="31"/>
        <v>1.2207749999999999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216</v>
      </c>
      <c r="P67" s="225"/>
      <c r="Q67" s="225"/>
      <c r="R67" s="240">
        <f>16.82+21.14</f>
        <v>37.96</v>
      </c>
      <c r="S67" s="225"/>
      <c r="T67" s="87"/>
      <c r="U67" s="189">
        <f t="shared" si="27"/>
        <v>0</v>
      </c>
      <c r="V67" s="189">
        <f t="shared" si="28"/>
        <v>0.28470000000000001</v>
      </c>
      <c r="W67" s="189">
        <f t="shared" si="29"/>
        <v>0</v>
      </c>
      <c r="X67" s="189">
        <f t="shared" si="30"/>
        <v>0</v>
      </c>
      <c r="Y67" s="189">
        <f t="shared" si="31"/>
        <v>37.6753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23693.97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216</v>
      </c>
      <c r="P68" s="225"/>
      <c r="Q68" s="225"/>
      <c r="R68" s="240">
        <f>47.97+44.54</f>
        <v>92.509999999999991</v>
      </c>
      <c r="S68" s="225"/>
      <c r="T68" s="87"/>
      <c r="U68" s="189">
        <f t="shared" si="27"/>
        <v>0</v>
      </c>
      <c r="V68" s="189">
        <f t="shared" si="28"/>
        <v>0.69382499999999991</v>
      </c>
      <c r="W68" s="189">
        <f t="shared" si="29"/>
        <v>0</v>
      </c>
      <c r="X68" s="189">
        <f t="shared" si="30"/>
        <v>0</v>
      </c>
      <c r="Y68" s="189">
        <f t="shared" si="31"/>
        <v>91.816174999999987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23951.85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256.75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1.9256249999999999</v>
      </c>
      <c r="W69" s="192">
        <f t="shared" si="33"/>
        <v>0</v>
      </c>
      <c r="X69" s="192">
        <f t="shared" si="33"/>
        <v>0</v>
      </c>
      <c r="Y69" s="192">
        <f t="shared" si="33"/>
        <v>254.82437499999997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-257.87999999999738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73</v>
      </c>
      <c r="Q70" s="225">
        <v>2001</v>
      </c>
      <c r="R70" s="225">
        <v>7.51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5.6324999999999993E-2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7.4536749999999996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65.341599999999744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210</v>
      </c>
      <c r="P71" s="225">
        <v>18</v>
      </c>
      <c r="Q71" s="225">
        <v>1001</v>
      </c>
      <c r="R71" s="225">
        <v>1235.29</v>
      </c>
      <c r="S71" s="225"/>
      <c r="T71" s="225">
        <v>14.68</v>
      </c>
      <c r="U71" s="189">
        <f t="shared" si="34"/>
        <v>0.63275862068965516</v>
      </c>
      <c r="V71" s="189">
        <f t="shared" si="35"/>
        <v>9.2646749999999987</v>
      </c>
      <c r="W71" s="189">
        <f t="shared" si="36"/>
        <v>0</v>
      </c>
      <c r="X71" s="189">
        <f t="shared" si="37"/>
        <v>0.36699999999999999</v>
      </c>
      <c r="Y71" s="189">
        <f t="shared" si="38"/>
        <v>1226.0253250000001</v>
      </c>
      <c r="Z71" s="189">
        <f t="shared" si="38"/>
        <v>0</v>
      </c>
      <c r="AA71" s="189">
        <f t="shared" si="39"/>
        <v>13.680241379310345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>
        <v>87</v>
      </c>
      <c r="Q72" s="225">
        <v>1001</v>
      </c>
      <c r="R72" s="225">
        <v>100.99</v>
      </c>
      <c r="S72" s="225"/>
      <c r="T72" s="225">
        <v>53.32</v>
      </c>
      <c r="U72" s="189">
        <f t="shared" si="34"/>
        <v>2.2982758620689658</v>
      </c>
      <c r="V72" s="189">
        <f t="shared" si="35"/>
        <v>0.7574249999999999</v>
      </c>
      <c r="W72" s="189">
        <f t="shared" si="36"/>
        <v>0</v>
      </c>
      <c r="X72" s="189">
        <f t="shared" si="37"/>
        <v>1.3330000000000002</v>
      </c>
      <c r="Y72" s="189">
        <f t="shared" si="38"/>
        <v>100.232575</v>
      </c>
      <c r="Z72" s="189">
        <f t="shared" si="38"/>
        <v>0</v>
      </c>
      <c r="AA72" s="189">
        <f t="shared" si="39"/>
        <v>49.688724137931032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>
        <v>88</v>
      </c>
      <c r="Q73" s="225">
        <v>1001</v>
      </c>
      <c r="R73" s="225">
        <v>1164.1199999999999</v>
      </c>
      <c r="S73" s="225"/>
      <c r="T73" s="225">
        <v>23.48</v>
      </c>
      <c r="U73" s="189">
        <f t="shared" si="34"/>
        <v>1.0120689655172415</v>
      </c>
      <c r="V73" s="189">
        <f t="shared" si="35"/>
        <v>8.7308999999999983</v>
      </c>
      <c r="W73" s="189">
        <f t="shared" si="36"/>
        <v>0</v>
      </c>
      <c r="X73" s="189">
        <f t="shared" si="37"/>
        <v>0.58700000000000008</v>
      </c>
      <c r="Y73" s="189">
        <f t="shared" si="38"/>
        <v>1155.3890999999999</v>
      </c>
      <c r="Z73" s="189">
        <f t="shared" si="38"/>
        <v>0</v>
      </c>
      <c r="AA73" s="189">
        <f t="shared" si="39"/>
        <v>21.88093103448276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5">
        <f>85+105+90+65+10+45</f>
        <v>400</v>
      </c>
      <c r="S74" s="225"/>
      <c r="T74" s="225"/>
      <c r="U74" s="189">
        <f t="shared" si="34"/>
        <v>0</v>
      </c>
      <c r="V74" s="189">
        <f t="shared" si="35"/>
        <v>3</v>
      </c>
      <c r="W74" s="189">
        <f t="shared" si="36"/>
        <v>0</v>
      </c>
      <c r="X74" s="189">
        <f t="shared" si="37"/>
        <v>0</v>
      </c>
      <c r="Y74" s="189">
        <f t="shared" si="38"/>
        <v>397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2907.91</v>
      </c>
      <c r="S75" s="192"/>
      <c r="T75" s="192">
        <f>SUM(T70:T74)</f>
        <v>91.48</v>
      </c>
      <c r="U75" s="192">
        <f>SUM(U70:U74)</f>
        <v>3.9431034482758625</v>
      </c>
      <c r="V75" s="192">
        <f t="shared" ref="V75:AA75" si="41">SUM(V70:V74)</f>
        <v>21.809324999999994</v>
      </c>
      <c r="W75" s="192">
        <f t="shared" si="41"/>
        <v>0</v>
      </c>
      <c r="X75" s="192">
        <f t="shared" si="41"/>
        <v>2.2870000000000004</v>
      </c>
      <c r="Y75" s="192">
        <f t="shared" si="41"/>
        <v>2886.1006749999997</v>
      </c>
      <c r="Z75" s="192">
        <f t="shared" si="41"/>
        <v>0</v>
      </c>
      <c r="AA75" s="193">
        <f t="shared" si="41"/>
        <v>85.249896551724134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84.67</v>
      </c>
      <c r="Q78" s="137">
        <v>11.74</v>
      </c>
      <c r="R78" s="82">
        <v>7.4999999999999997E-3</v>
      </c>
      <c r="S78" s="194">
        <f>+(P78+Q78)*R78</f>
        <v>0.72307499999999991</v>
      </c>
      <c r="T78" s="254">
        <f>+(P78+Q78)-S78</f>
        <v>95.686925000000002</v>
      </c>
      <c r="U78" s="211">
        <v>95.69</v>
      </c>
      <c r="V78" s="112"/>
      <c r="W78" s="113">
        <v>1.4999999999999999E-2</v>
      </c>
      <c r="X78" s="196">
        <f>+(U78+V78)*W78</f>
        <v>1.4353499999999999</v>
      </c>
      <c r="Y78" s="254">
        <f>+(U78+V78)-X78</f>
        <v>94.254649999999998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148.83000000000001</v>
      </c>
      <c r="Q79" s="137">
        <v>0.41</v>
      </c>
      <c r="R79" s="82">
        <v>7.4999999999999997E-3</v>
      </c>
      <c r="S79" s="194">
        <f t="shared" ref="S79:S97" si="43">+(P79+Q79)*R79</f>
        <v>1.1193</v>
      </c>
      <c r="T79" s="254">
        <f t="shared" ref="T79:T97" si="44">+(P79+Q79)-S79</f>
        <v>148.1207</v>
      </c>
      <c r="U79" s="211">
        <v>282.82</v>
      </c>
      <c r="V79" s="112"/>
      <c r="W79" s="113">
        <v>1.4999999999999999E-2</v>
      </c>
      <c r="X79" s="196">
        <f t="shared" ref="X79:X97" si="45">+(U79+V79)*W79</f>
        <v>4.2423000000000002</v>
      </c>
      <c r="Y79" s="254">
        <f t="shared" ref="Y79:Y97" si="46">+(U79+V79)-X79</f>
        <v>278.57769999999999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48.67</v>
      </c>
      <c r="Q80" s="137">
        <v>36.54</v>
      </c>
      <c r="R80" s="82">
        <v>7.4999999999999997E-3</v>
      </c>
      <c r="S80" s="216">
        <f t="shared" si="43"/>
        <v>0.63907500000000006</v>
      </c>
      <c r="T80" s="213">
        <f t="shared" si="44"/>
        <v>84.570925000000003</v>
      </c>
      <c r="U80" s="211">
        <v>28.77</v>
      </c>
      <c r="V80" s="112"/>
      <c r="W80" s="113">
        <v>1.4999999999999999E-2</v>
      </c>
      <c r="X80" s="196">
        <f t="shared" si="45"/>
        <v>0.43154999999999999</v>
      </c>
      <c r="Y80" s="213">
        <f t="shared" si="46"/>
        <v>28.338449999999998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119.47</v>
      </c>
      <c r="Q81" s="137"/>
      <c r="R81" s="82">
        <v>7.4999999999999997E-3</v>
      </c>
      <c r="S81" s="216">
        <f t="shared" si="43"/>
        <v>0.89602499999999996</v>
      </c>
      <c r="T81" s="213">
        <f t="shared" si="44"/>
        <v>118.573975</v>
      </c>
      <c r="U81" s="211">
        <v>81.69</v>
      </c>
      <c r="V81" s="112"/>
      <c r="W81" s="113">
        <v>1.4999999999999999E-2</v>
      </c>
      <c r="X81" s="196">
        <f t="shared" si="45"/>
        <v>1.2253499999999999</v>
      </c>
      <c r="Y81" s="213">
        <f t="shared" si="46"/>
        <v>80.464649999999992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173.92</v>
      </c>
      <c r="Q82" s="137"/>
      <c r="R82" s="82">
        <v>7.4999999999999997E-3</v>
      </c>
      <c r="S82" s="216">
        <f t="shared" si="43"/>
        <v>1.3043999999999998</v>
      </c>
      <c r="T82" s="254">
        <f t="shared" si="44"/>
        <v>172.6156</v>
      </c>
      <c r="U82" s="211">
        <v>82.03</v>
      </c>
      <c r="V82" s="112"/>
      <c r="W82" s="113">
        <v>1.4999999999999999E-2</v>
      </c>
      <c r="X82" s="196">
        <f t="shared" si="45"/>
        <v>1.23045</v>
      </c>
      <c r="Y82" s="254">
        <f t="shared" si="46"/>
        <v>80.799549999999996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33.32</v>
      </c>
      <c r="Q83" s="87"/>
      <c r="R83" s="82">
        <v>7.4999999999999997E-3</v>
      </c>
      <c r="S83" s="194">
        <f t="shared" si="43"/>
        <v>0.24989999999999998</v>
      </c>
      <c r="T83" s="254">
        <f t="shared" si="44"/>
        <v>33.070100000000004</v>
      </c>
      <c r="U83" s="211">
        <v>17.25</v>
      </c>
      <c r="V83" s="112"/>
      <c r="W83" s="113">
        <v>1.4999999999999999E-2</v>
      </c>
      <c r="X83" s="196">
        <f t="shared" si="45"/>
        <v>0.25874999999999998</v>
      </c>
      <c r="Y83" s="254">
        <f t="shared" si="46"/>
        <v>16.991250000000001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16.23</v>
      </c>
      <c r="Q84" s="87"/>
      <c r="R84" s="82">
        <v>7.4999999999999997E-3</v>
      </c>
      <c r="S84" s="216">
        <f t="shared" si="43"/>
        <v>0.121725</v>
      </c>
      <c r="T84" s="254">
        <f t="shared" si="44"/>
        <v>16.108274999999999</v>
      </c>
      <c r="U84" s="112">
        <v>7.23</v>
      </c>
      <c r="V84" s="112"/>
      <c r="W84" s="113">
        <v>1.4999999999999999E-2</v>
      </c>
      <c r="X84" s="196">
        <f t="shared" si="45"/>
        <v>0.10845</v>
      </c>
      <c r="Y84" s="213">
        <f t="shared" si="46"/>
        <v>7.12155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16.350000000000001</v>
      </c>
      <c r="Q85" s="87">
        <v>141.51</v>
      </c>
      <c r="R85" s="82">
        <v>7.4999999999999997E-3</v>
      </c>
      <c r="S85" s="216">
        <f t="shared" si="43"/>
        <v>1.1839499999999998</v>
      </c>
      <c r="T85" s="254">
        <f t="shared" si="44"/>
        <v>156.67604999999998</v>
      </c>
      <c r="U85" s="112">
        <v>44.41</v>
      </c>
      <c r="V85" s="112"/>
      <c r="W85" s="113">
        <v>1.4999999999999999E-2</v>
      </c>
      <c r="X85" s="196">
        <f t="shared" si="45"/>
        <v>0.66614999999999991</v>
      </c>
      <c r="Y85" s="213">
        <f t="shared" si="46"/>
        <v>43.743849999999995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109.41</v>
      </c>
      <c r="Q86" s="87"/>
      <c r="R86" s="82">
        <v>7.4999999999999997E-3</v>
      </c>
      <c r="S86" s="194">
        <f t="shared" si="43"/>
        <v>0.82057499999999994</v>
      </c>
      <c r="T86" s="213">
        <f t="shared" si="44"/>
        <v>108.58942499999999</v>
      </c>
      <c r="U86" s="112">
        <v>12.45</v>
      </c>
      <c r="V86" s="112"/>
      <c r="W86" s="113">
        <v>1.4999999999999999E-2</v>
      </c>
      <c r="X86" s="196">
        <f t="shared" si="45"/>
        <v>0.18674999999999997</v>
      </c>
      <c r="Y86" s="254">
        <f t="shared" si="46"/>
        <v>12.263249999999999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8.9</v>
      </c>
      <c r="Q87" s="87">
        <v>20</v>
      </c>
      <c r="R87" s="82">
        <v>7.4999999999999997E-3</v>
      </c>
      <c r="S87" s="194">
        <f t="shared" si="43"/>
        <v>0.21674999999999997</v>
      </c>
      <c r="T87" s="213">
        <f t="shared" si="44"/>
        <v>28.683249999999997</v>
      </c>
      <c r="U87" s="112">
        <v>57.73</v>
      </c>
      <c r="V87" s="112"/>
      <c r="W87" s="113">
        <v>1.4999999999999999E-2</v>
      </c>
      <c r="X87" s="196">
        <f t="shared" si="45"/>
        <v>0.86594999999999989</v>
      </c>
      <c r="Y87" s="254">
        <f t="shared" si="46"/>
        <v>56.864049999999999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759.77</v>
      </c>
      <c r="Q98" s="195">
        <f>SUM(Q78:Q97)</f>
        <v>210.2</v>
      </c>
      <c r="R98" s="111"/>
      <c r="S98" s="195">
        <f>SUM(S78:S97)</f>
        <v>7.2747749999999991</v>
      </c>
      <c r="T98" s="195">
        <f>SUM(T78:T97)</f>
        <v>962.69522500000005</v>
      </c>
      <c r="U98" s="114">
        <f>SUM(U78:U97)</f>
        <v>710.07</v>
      </c>
      <c r="V98" s="114">
        <f>SUM(V78:V97)</f>
        <v>0</v>
      </c>
      <c r="W98" s="112"/>
      <c r="X98" s="197">
        <f>SUM(X78:X97)</f>
        <v>10.651049999999998</v>
      </c>
      <c r="Y98" s="197">
        <f>SUM(Y78:Y97)</f>
        <v>699.41895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84"/>
    </row>
    <row r="103" spans="14:30" x14ac:dyDescent="0.25">
      <c r="N103" s="85"/>
      <c r="Q103" s="215">
        <f t="shared" ref="Q103:Q108" si="50">P78+Q78+U78</f>
        <v>192.1</v>
      </c>
    </row>
    <row r="104" spans="14:30" x14ac:dyDescent="0.25">
      <c r="N104" s="85"/>
      <c r="Q104" s="215">
        <f t="shared" si="50"/>
        <v>432.06</v>
      </c>
    </row>
    <row r="105" spans="14:30" x14ac:dyDescent="0.25">
      <c r="N105" s="85"/>
      <c r="Q105" s="215">
        <f>P80+Q80+U80</f>
        <v>113.98</v>
      </c>
    </row>
    <row r="106" spans="14:30" x14ac:dyDescent="0.25">
      <c r="N106" s="85"/>
      <c r="Q106" s="215">
        <f t="shared" si="50"/>
        <v>201.16</v>
      </c>
    </row>
    <row r="107" spans="14:30" x14ac:dyDescent="0.25">
      <c r="N107" s="85"/>
      <c r="Q107" s="215">
        <f>P82+Q82+U82</f>
        <v>255.95</v>
      </c>
    </row>
    <row r="108" spans="14:30" x14ac:dyDescent="0.25">
      <c r="N108" s="85"/>
      <c r="Q108" s="84">
        <f t="shared" si="50"/>
        <v>50.57</v>
      </c>
    </row>
    <row r="109" spans="14:30" x14ac:dyDescent="0.25">
      <c r="N109" s="85"/>
      <c r="Q109" s="246">
        <f>P84+Q84+U84</f>
        <v>23.46</v>
      </c>
    </row>
    <row r="110" spans="14:30" x14ac:dyDescent="0.25">
      <c r="N110" s="85"/>
      <c r="Q110" s="246">
        <f>P85+Q85+U85</f>
        <v>202.26999999999998</v>
      </c>
    </row>
    <row r="111" spans="14:30" x14ac:dyDescent="0.25">
      <c r="N111" s="85"/>
      <c r="Q111" s="246">
        <f>P86+Q86+U86</f>
        <v>121.86</v>
      </c>
    </row>
    <row r="112" spans="14:30" x14ac:dyDescent="0.25">
      <c r="N112" s="85"/>
      <c r="Q112" s="246">
        <f>P87+Q87+U87</f>
        <v>86.63</v>
      </c>
    </row>
    <row r="113" spans="14:20" x14ac:dyDescent="0.25">
      <c r="N113" s="85"/>
      <c r="Q113" s="85">
        <f>P88+Q88+U88</f>
        <v>0</v>
      </c>
      <c r="T113" s="85">
        <v>1391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28" zoomScale="90" zoomScaleNormal="90" workbookViewId="0">
      <selection activeCell="J55" sqref="J5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5.56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1183.5</v>
      </c>
      <c r="C12" s="15"/>
      <c r="D12" s="56"/>
      <c r="E12" s="16"/>
      <c r="F12" s="56"/>
      <c r="G12" s="56"/>
      <c r="H12" s="17"/>
      <c r="I12" s="83">
        <v>1183.5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159</v>
      </c>
      <c r="Q12" s="158">
        <v>11</v>
      </c>
      <c r="R12" s="244">
        <v>1899.21</v>
      </c>
      <c r="S12" s="160"/>
      <c r="T12" s="238">
        <v>154.85</v>
      </c>
      <c r="U12" s="189">
        <f>((T12/U$10)*U$9)</f>
        <v>6.674568965517242</v>
      </c>
      <c r="V12" s="189">
        <f>R12*V$10</f>
        <v>14.244075</v>
      </c>
      <c r="W12" s="189">
        <f>+S12*V$10</f>
        <v>0</v>
      </c>
      <c r="X12" s="189">
        <f>+T12*X$10</f>
        <v>3.8712499999999999</v>
      </c>
      <c r="Y12" s="189">
        <f>R12-V12</f>
        <v>1884.965925</v>
      </c>
      <c r="Z12" s="189">
        <f>S12-W12</f>
        <v>0</v>
      </c>
      <c r="AA12" s="189">
        <f>T12-U12-X12</f>
        <v>144.30418103448275</v>
      </c>
      <c r="AB12" s="156"/>
    </row>
    <row r="13" spans="1:28" ht="15.75" x14ac:dyDescent="0.25">
      <c r="A13" s="86" t="s">
        <v>74</v>
      </c>
      <c r="B13" s="89">
        <v>943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943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160</v>
      </c>
      <c r="Q13" s="158">
        <v>11</v>
      </c>
      <c r="R13" s="244">
        <v>585.35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4.3901250000000003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580.95987500000001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5252.51</v>
      </c>
      <c r="C14" s="15"/>
      <c r="D14" s="56"/>
      <c r="E14" s="16"/>
      <c r="F14" s="56"/>
      <c r="G14" s="56"/>
      <c r="H14" s="17"/>
      <c r="I14" s="83"/>
      <c r="J14" s="81">
        <f t="shared" si="0"/>
        <v>5252.51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542</v>
      </c>
      <c r="Q14" s="158">
        <v>2</v>
      </c>
      <c r="R14" s="244">
        <v>950.08</v>
      </c>
      <c r="S14" s="160"/>
      <c r="T14" s="161"/>
      <c r="U14" s="189">
        <f t="shared" si="2"/>
        <v>0</v>
      </c>
      <c r="V14" s="189">
        <f t="shared" si="3"/>
        <v>7.1256000000000004</v>
      </c>
      <c r="W14" s="189">
        <f t="shared" si="4"/>
        <v>0</v>
      </c>
      <c r="X14" s="189">
        <f t="shared" si="5"/>
        <v>0</v>
      </c>
      <c r="Y14" s="189">
        <f t="shared" si="6"/>
        <v>942.95440000000008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805</v>
      </c>
      <c r="C15" s="15"/>
      <c r="D15" s="56"/>
      <c r="E15" s="16"/>
      <c r="F15" s="56"/>
      <c r="G15" s="56"/>
      <c r="H15" s="17"/>
      <c r="I15" s="83"/>
      <c r="J15" s="81">
        <f t="shared" si="0"/>
        <v>805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543</v>
      </c>
      <c r="Q15" s="158">
        <v>2</v>
      </c>
      <c r="R15" s="244">
        <v>666.15</v>
      </c>
      <c r="S15" s="160"/>
      <c r="T15" s="247">
        <v>49.96</v>
      </c>
      <c r="U15" s="189">
        <f t="shared" si="2"/>
        <v>2.1534482758620692</v>
      </c>
      <c r="V15" s="189">
        <f t="shared" si="3"/>
        <v>4.9961249999999993</v>
      </c>
      <c r="W15" s="189">
        <f t="shared" si="4"/>
        <v>0</v>
      </c>
      <c r="X15" s="189">
        <f t="shared" si="5"/>
        <v>1.2490000000000001</v>
      </c>
      <c r="Y15" s="189">
        <f t="shared" si="6"/>
        <v>661.15387499999997</v>
      </c>
      <c r="Z15" s="189">
        <f t="shared" si="6"/>
        <v>0</v>
      </c>
      <c r="AA15" s="189">
        <f t="shared" si="7"/>
        <v>46.55755172413793</v>
      </c>
      <c r="AB15" s="156"/>
    </row>
    <row r="16" spans="1:28" ht="15.75" x14ac:dyDescent="0.25">
      <c r="A16" s="86" t="s">
        <v>81</v>
      </c>
      <c r="B16" s="57">
        <f>B15*B9</f>
        <v>4475.7999999999993</v>
      </c>
      <c r="C16" s="15"/>
      <c r="D16" s="56"/>
      <c r="E16" s="16"/>
      <c r="F16" s="56"/>
      <c r="G16" s="56"/>
      <c r="H16" s="17"/>
      <c r="I16" s="83"/>
      <c r="J16" s="81">
        <f t="shared" si="0"/>
        <v>4475.7999999999993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524</v>
      </c>
      <c r="Q16" s="158">
        <v>4</v>
      </c>
      <c r="R16" s="244">
        <v>628.70000000000005</v>
      </c>
      <c r="S16" s="160"/>
      <c r="T16" s="247">
        <v>14.18</v>
      </c>
      <c r="U16" s="189">
        <f t="shared" si="2"/>
        <v>0.61120689655172422</v>
      </c>
      <c r="V16" s="189">
        <f t="shared" si="3"/>
        <v>4.7152500000000002</v>
      </c>
      <c r="W16" s="189">
        <f t="shared" si="4"/>
        <v>0</v>
      </c>
      <c r="X16" s="189">
        <f t="shared" si="5"/>
        <v>0.35450000000000004</v>
      </c>
      <c r="Y16" s="189">
        <f t="shared" si="6"/>
        <v>623.98475000000008</v>
      </c>
      <c r="Z16" s="189">
        <f t="shared" si="6"/>
        <v>0</v>
      </c>
      <c r="AA16" s="189">
        <f t="shared" si="7"/>
        <v>13.214293103448275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525</v>
      </c>
      <c r="Q17" s="158">
        <v>4</v>
      </c>
      <c r="R17" s="244">
        <v>1720.24</v>
      </c>
      <c r="S17" s="160"/>
      <c r="T17" s="247">
        <v>247.26</v>
      </c>
      <c r="U17" s="189">
        <f t="shared" si="2"/>
        <v>10.657758620689656</v>
      </c>
      <c r="V17" s="189">
        <f t="shared" si="3"/>
        <v>12.9018</v>
      </c>
      <c r="W17" s="189">
        <f t="shared" si="4"/>
        <v>0</v>
      </c>
      <c r="X17" s="189">
        <f t="shared" si="5"/>
        <v>6.1814999999999998</v>
      </c>
      <c r="Y17" s="189">
        <f t="shared" si="6"/>
        <v>1707.3381999999999</v>
      </c>
      <c r="Z17" s="189">
        <f t="shared" si="6"/>
        <v>0</v>
      </c>
      <c r="AA17" s="189">
        <f t="shared" si="7"/>
        <v>230.42074137931033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173</v>
      </c>
      <c r="Q18" s="158">
        <v>10</v>
      </c>
      <c r="R18" s="244">
        <v>533.65</v>
      </c>
      <c r="S18" s="160"/>
      <c r="T18" s="161">
        <v>63.94</v>
      </c>
      <c r="U18" s="189">
        <f t="shared" si="2"/>
        <v>2.7560344827586207</v>
      </c>
      <c r="V18" s="189">
        <f t="shared" si="3"/>
        <v>4.0023749999999998</v>
      </c>
      <c r="W18" s="189">
        <f t="shared" si="4"/>
        <v>0</v>
      </c>
      <c r="X18" s="189">
        <f t="shared" si="5"/>
        <v>1.5985</v>
      </c>
      <c r="Y18" s="189">
        <f t="shared" si="6"/>
        <v>529.64762499999995</v>
      </c>
      <c r="Z18" s="189">
        <f t="shared" si="6"/>
        <v>0</v>
      </c>
      <c r="AA18" s="189">
        <f t="shared" si="7"/>
        <v>59.585465517241374</v>
      </c>
      <c r="AB18" s="156"/>
    </row>
    <row r="19" spans="1:28" ht="15.75" x14ac:dyDescent="0.25">
      <c r="A19" s="93" t="s">
        <v>79</v>
      </c>
      <c r="B19" s="97">
        <f>+B13+B15+B17</f>
        <v>1748</v>
      </c>
      <c r="C19" s="95"/>
      <c r="D19" s="94"/>
      <c r="E19" s="96"/>
      <c r="F19" s="94"/>
      <c r="G19" s="94"/>
      <c r="H19" s="98"/>
      <c r="I19" s="99"/>
      <c r="J19" s="185">
        <f>B19-I19</f>
        <v>1748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174</v>
      </c>
      <c r="Q19" s="158">
        <v>10</v>
      </c>
      <c r="R19" s="244">
        <v>1090.03</v>
      </c>
      <c r="S19" s="160"/>
      <c r="T19" s="161"/>
      <c r="U19" s="189">
        <f t="shared" si="2"/>
        <v>0</v>
      </c>
      <c r="V19" s="189">
        <f t="shared" si="3"/>
        <v>8.1752249999999993</v>
      </c>
      <c r="W19" s="189">
        <f t="shared" si="4"/>
        <v>0</v>
      </c>
      <c r="X19" s="189">
        <f t="shared" si="5"/>
        <v>0</v>
      </c>
      <c r="Y19" s="189">
        <f t="shared" si="6"/>
        <v>1081.854775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9728.31</v>
      </c>
      <c r="C20" s="95"/>
      <c r="D20" s="94"/>
      <c r="E20" s="96"/>
      <c r="F20" s="94"/>
      <c r="G20" s="94"/>
      <c r="H20" s="98"/>
      <c r="I20" s="99">
        <v>9736.36</v>
      </c>
      <c r="J20" s="185">
        <f t="shared" si="0"/>
        <v>-8.0500000000010914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608</v>
      </c>
      <c r="Q20" s="158">
        <v>18</v>
      </c>
      <c r="R20" s="159">
        <v>513.83000000000004</v>
      </c>
      <c r="S20" s="160"/>
      <c r="T20" s="161"/>
      <c r="U20" s="189">
        <f t="shared" si="2"/>
        <v>0</v>
      </c>
      <c r="V20" s="189">
        <f t="shared" si="3"/>
        <v>3.8537250000000003</v>
      </c>
      <c r="W20" s="189">
        <f t="shared" si="4"/>
        <v>0</v>
      </c>
      <c r="X20" s="189">
        <f t="shared" si="5"/>
        <v>0</v>
      </c>
      <c r="Y20" s="189">
        <f t="shared" si="6"/>
        <v>509.97627500000004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609</v>
      </c>
      <c r="Q21" s="158">
        <v>18</v>
      </c>
      <c r="R21" s="159">
        <v>924.2</v>
      </c>
      <c r="S21" s="160"/>
      <c r="T21" s="161">
        <v>55.6</v>
      </c>
      <c r="U21" s="189">
        <f t="shared" si="2"/>
        <v>2.3965517241379315</v>
      </c>
      <c r="V21" s="189">
        <f t="shared" si="3"/>
        <v>6.9314999999999998</v>
      </c>
      <c r="W21" s="189">
        <f t="shared" si="4"/>
        <v>0</v>
      </c>
      <c r="X21" s="189">
        <f t="shared" si="5"/>
        <v>1.3900000000000001</v>
      </c>
      <c r="Y21" s="189">
        <f t="shared" si="6"/>
        <v>917.26850000000002</v>
      </c>
      <c r="Z21" s="189">
        <f t="shared" si="6"/>
        <v>0</v>
      </c>
      <c r="AA21" s="189">
        <f t="shared" si="7"/>
        <v>51.813448275862072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541</v>
      </c>
      <c r="Q22" s="158">
        <v>14</v>
      </c>
      <c r="R22" s="162">
        <v>280.94</v>
      </c>
      <c r="S22" s="160"/>
      <c r="T22" s="160"/>
      <c r="U22" s="189">
        <f t="shared" si="2"/>
        <v>0</v>
      </c>
      <c r="V22" s="189">
        <f t="shared" si="3"/>
        <v>2.1070500000000001</v>
      </c>
      <c r="W22" s="189">
        <f t="shared" si="4"/>
        <v>0</v>
      </c>
      <c r="X22" s="189">
        <f t="shared" si="5"/>
        <v>0</v>
      </c>
      <c r="Y22" s="189">
        <f t="shared" si="6"/>
        <v>278.83294999999998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6.5" customHeight="1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30.22</v>
      </c>
      <c r="C39" s="100"/>
      <c r="D39" s="66"/>
      <c r="E39" s="67"/>
      <c r="F39" s="66"/>
      <c r="G39" s="66"/>
      <c r="H39" s="102"/>
      <c r="I39" s="79">
        <v>30.22</v>
      </c>
      <c r="J39" s="81">
        <f t="shared" si="0"/>
        <v>0</v>
      </c>
      <c r="K39" s="80">
        <v>30.22</v>
      </c>
      <c r="L39" s="186">
        <f t="shared" si="1"/>
        <v>-30.22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168.02319999999997</v>
      </c>
      <c r="C40" s="100"/>
      <c r="D40" s="66"/>
      <c r="E40" s="67"/>
      <c r="F40" s="66"/>
      <c r="G40" s="66"/>
      <c r="H40" s="102"/>
      <c r="I40" s="79">
        <v>168.02</v>
      </c>
      <c r="J40" s="81">
        <f t="shared" si="0"/>
        <v>3.1999999999641204E-3</v>
      </c>
      <c r="K40" s="80">
        <v>168.02</v>
      </c>
      <c r="L40" s="186">
        <f t="shared" si="1"/>
        <v>-168.02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9792.380000000001</v>
      </c>
      <c r="S42" s="190">
        <f t="shared" si="8"/>
        <v>0</v>
      </c>
      <c r="T42" s="190">
        <f t="shared" si="8"/>
        <v>585.79000000000008</v>
      </c>
      <c r="U42" s="190">
        <f t="shared" si="8"/>
        <v>25.249568965517245</v>
      </c>
      <c r="V42" s="190">
        <f t="shared" si="8"/>
        <v>73.442849999999993</v>
      </c>
      <c r="W42" s="190">
        <f t="shared" si="8"/>
        <v>0</v>
      </c>
      <c r="X42" s="190">
        <f t="shared" si="8"/>
        <v>14.64475</v>
      </c>
      <c r="Y42" s="190">
        <f t="shared" si="8"/>
        <v>9718.9371499999997</v>
      </c>
      <c r="Z42" s="190">
        <f t="shared" si="8"/>
        <v>0</v>
      </c>
      <c r="AA42" s="190">
        <f t="shared" si="8"/>
        <v>545.89568103448278</v>
      </c>
      <c r="AB42" s="166"/>
    </row>
    <row r="43" spans="1:28" ht="15.75" x14ac:dyDescent="0.25">
      <c r="A43" s="93" t="s">
        <v>101</v>
      </c>
      <c r="B43" s="97">
        <f>+B37+B39+B41</f>
        <v>30.22</v>
      </c>
      <c r="C43" s="95"/>
      <c r="D43" s="94"/>
      <c r="E43" s="96"/>
      <c r="F43" s="94"/>
      <c r="G43" s="94"/>
      <c r="H43" s="98"/>
      <c r="I43" s="99">
        <v>30.22</v>
      </c>
      <c r="J43" s="185">
        <f t="shared" si="0"/>
        <v>0</v>
      </c>
      <c r="K43" s="99">
        <v>30.22</v>
      </c>
      <c r="L43" s="187">
        <f>K43-B43</f>
        <v>0</v>
      </c>
      <c r="M43" s="107"/>
      <c r="N43" s="104">
        <v>1</v>
      </c>
      <c r="O43" s="167" t="s">
        <v>189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168.02319999999997</v>
      </c>
      <c r="C44" s="95"/>
      <c r="D44" s="94"/>
      <c r="E44" s="96"/>
      <c r="F44" s="94"/>
      <c r="G44" s="94"/>
      <c r="H44" s="98"/>
      <c r="I44" s="99">
        <v>168.02</v>
      </c>
      <c r="J44" s="185">
        <f t="shared" si="0"/>
        <v>3.1999999999641204E-3</v>
      </c>
      <c r="K44" s="99">
        <v>168.02</v>
      </c>
      <c r="L44" s="187">
        <f>K44-B44</f>
        <v>-3.1999999999641204E-3</v>
      </c>
      <c r="M44" s="107"/>
      <c r="N44" s="104">
        <v>2</v>
      </c>
      <c r="O44" s="167" t="s">
        <v>189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9792.380000000001</v>
      </c>
      <c r="C46" s="116">
        <v>7.4999999999999997E-3</v>
      </c>
      <c r="D46" s="117">
        <f>B46*C46</f>
        <v>73.442850000000007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9718.9371500000016</v>
      </c>
      <c r="H46" s="173">
        <f>B$6+1</f>
        <v>44750</v>
      </c>
      <c r="I46" s="174">
        <v>9436.94</v>
      </c>
      <c r="J46" s="81">
        <f t="shared" si="0"/>
        <v>355.44000000000051</v>
      </c>
      <c r="K46" s="80">
        <v>10236.59</v>
      </c>
      <c r="L46" s="186">
        <f>K46-G46</f>
        <v>517.65284999999858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38.39</v>
      </c>
      <c r="C48" s="116">
        <v>7.4999999999999997E-3</v>
      </c>
      <c r="D48" s="117">
        <f t="shared" si="17"/>
        <v>0.28792499999999999</v>
      </c>
      <c r="E48" s="172">
        <v>0</v>
      </c>
      <c r="F48" s="117">
        <f t="shared" si="15"/>
        <v>0</v>
      </c>
      <c r="G48" s="117">
        <f t="shared" si="16"/>
        <v>38.102074999999999</v>
      </c>
      <c r="H48" s="173">
        <f t="shared" ref="H48:H61" si="19">B$6+1</f>
        <v>44750</v>
      </c>
      <c r="I48" s="176">
        <v>38.39</v>
      </c>
      <c r="J48" s="81">
        <f t="shared" si="0"/>
        <v>0</v>
      </c>
      <c r="K48" s="80"/>
      <c r="L48" s="186">
        <f t="shared" si="18"/>
        <v>38.102074999999999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2771.86</v>
      </c>
      <c r="C49" s="116">
        <v>7.4999999999999997E-3</v>
      </c>
      <c r="D49" s="117">
        <f t="shared" si="17"/>
        <v>20.78895</v>
      </c>
      <c r="E49" s="172">
        <v>0</v>
      </c>
      <c r="F49" s="117">
        <f t="shared" si="15"/>
        <v>0</v>
      </c>
      <c r="G49" s="117">
        <f t="shared" si="16"/>
        <v>2751.07105</v>
      </c>
      <c r="H49" s="173">
        <f t="shared" si="19"/>
        <v>44750</v>
      </c>
      <c r="I49" s="176">
        <v>2401.86</v>
      </c>
      <c r="J49" s="81">
        <f t="shared" si="0"/>
        <v>370</v>
      </c>
      <c r="K49" s="80"/>
      <c r="L49" s="186">
        <f t="shared" si="18"/>
        <v>2751.07105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1376.98</v>
      </c>
      <c r="C50" s="116">
        <v>7.4999999999999997E-3</v>
      </c>
      <c r="D50" s="117">
        <f t="shared" si="17"/>
        <v>10.327349999999999</v>
      </c>
      <c r="E50" s="172">
        <v>0</v>
      </c>
      <c r="F50" s="117">
        <f t="shared" si="15"/>
        <v>0</v>
      </c>
      <c r="G50" s="117">
        <f t="shared" si="16"/>
        <v>1366.65265</v>
      </c>
      <c r="H50" s="173">
        <f t="shared" si="19"/>
        <v>44750</v>
      </c>
      <c r="I50" s="175"/>
      <c r="J50" s="81">
        <f t="shared" si="0"/>
        <v>1376.98</v>
      </c>
      <c r="K50" s="80">
        <v>1366.65</v>
      </c>
      <c r="L50" s="186">
        <f t="shared" si="18"/>
        <v>2.6499999999032298E-3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1273.7499999999998</v>
      </c>
      <c r="C51" s="116">
        <v>1.4999999999999999E-2</v>
      </c>
      <c r="D51" s="117">
        <f>+B51*C51</f>
        <v>19.106249999999996</v>
      </c>
      <c r="E51" s="172">
        <v>0</v>
      </c>
      <c r="F51" s="117">
        <f>D51*E51</f>
        <v>0</v>
      </c>
      <c r="G51" s="117">
        <f t="shared" si="16"/>
        <v>1254.6437499999997</v>
      </c>
      <c r="H51" s="173">
        <f t="shared" si="19"/>
        <v>44750</v>
      </c>
      <c r="I51" s="175">
        <v>2650.76</v>
      </c>
      <c r="J51" s="81">
        <f t="shared" si="0"/>
        <v>-1377.0100000000004</v>
      </c>
      <c r="K51" s="80">
        <v>1254.6400000000001</v>
      </c>
      <c r="L51" s="186">
        <f t="shared" si="18"/>
        <v>3.7499999996271072E-3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585.79000000000008</v>
      </c>
      <c r="C52" s="116">
        <v>2.5000000000000001E-2</v>
      </c>
      <c r="D52" s="117">
        <f>B52*C52</f>
        <v>14.644750000000002</v>
      </c>
      <c r="E52" s="172">
        <v>0.05</v>
      </c>
      <c r="F52" s="117">
        <f>(B52/E$10)*E52</f>
        <v>25.249568965517248</v>
      </c>
      <c r="G52" s="117">
        <f>B52-D52-F52</f>
        <v>545.89568103448278</v>
      </c>
      <c r="H52" s="188">
        <f t="shared" si="19"/>
        <v>44750</v>
      </c>
      <c r="I52" s="176">
        <v>585.79</v>
      </c>
      <c r="J52" s="81">
        <f t="shared" si="0"/>
        <v>0</v>
      </c>
      <c r="K52" s="80">
        <v>59.78</v>
      </c>
      <c r="L52" s="186">
        <f>K52-G52</f>
        <v>-486.1156810344828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189.64</v>
      </c>
      <c r="C56" s="116">
        <v>2.5000000000000001E-2</v>
      </c>
      <c r="D56" s="117">
        <f t="shared" si="20"/>
        <v>4.7409999999999997</v>
      </c>
      <c r="E56" s="172">
        <v>0.05</v>
      </c>
      <c r="F56" s="117">
        <f t="shared" si="21"/>
        <v>8.1741379310344833</v>
      </c>
      <c r="G56" s="117">
        <f t="shared" si="22"/>
        <v>176.72486206896551</v>
      </c>
      <c r="H56" s="173">
        <f t="shared" si="19"/>
        <v>44750</v>
      </c>
      <c r="I56" s="176">
        <v>189.64</v>
      </c>
      <c r="J56" s="81">
        <f t="shared" si="0"/>
        <v>0</v>
      </c>
      <c r="K56" s="80"/>
      <c r="L56" s="186">
        <f t="shared" si="18"/>
        <v>176.72486206896551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>
        <v>49.96</v>
      </c>
      <c r="J60" s="81">
        <f t="shared" si="0"/>
        <v>-49.96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143.33907499999998</v>
      </c>
      <c r="E61" s="177"/>
      <c r="F61" s="57">
        <f>SUM(F46:F58)</f>
        <v>33.423706896551735</v>
      </c>
      <c r="G61" s="57">
        <f>SUM(G46:G58)</f>
        <v>15852.027218103451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15852.027218103451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370</v>
      </c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370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257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31704.054436206901</v>
      </c>
      <c r="H64" s="184"/>
      <c r="I64" s="175"/>
      <c r="J64" s="81">
        <f t="shared" si="0"/>
        <v>0</v>
      </c>
      <c r="K64" s="80"/>
      <c r="L64" s="186">
        <f t="shared" si="18"/>
        <v>31704.054436206901</v>
      </c>
      <c r="M64" s="130"/>
      <c r="N64" s="87">
        <v>1</v>
      </c>
      <c r="O64" s="122" t="s">
        <v>198</v>
      </c>
      <c r="P64" s="87">
        <v>673</v>
      </c>
      <c r="Q64" s="225"/>
      <c r="R64" s="221">
        <v>27.39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0.205425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27.184574999999999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26738.623199999998</v>
      </c>
      <c r="G65" s="22"/>
      <c r="L65" s="132"/>
      <c r="M65" s="131"/>
      <c r="N65" s="87">
        <v>2</v>
      </c>
      <c r="O65" s="122" t="s">
        <v>198</v>
      </c>
      <c r="P65" s="87">
        <v>4878</v>
      </c>
      <c r="Q65" s="225"/>
      <c r="R65" s="225">
        <v>11</v>
      </c>
      <c r="S65" s="225"/>
      <c r="T65" s="87"/>
      <c r="U65" s="189">
        <f t="shared" si="27"/>
        <v>0</v>
      </c>
      <c r="V65" s="189">
        <f t="shared" si="28"/>
        <v>8.249999999999999E-2</v>
      </c>
      <c r="W65" s="189">
        <f t="shared" si="29"/>
        <v>0</v>
      </c>
      <c r="X65" s="189">
        <f t="shared" si="30"/>
        <v>0</v>
      </c>
      <c r="Y65" s="189">
        <f t="shared" si="31"/>
        <v>10.9175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198</v>
      </c>
      <c r="P66" s="87"/>
      <c r="Q66" s="225"/>
      <c r="R66" s="225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26079.83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26342.97</v>
      </c>
      <c r="C69" s="59"/>
      <c r="F69" s="87" t="s">
        <v>127</v>
      </c>
      <c r="G69" s="22"/>
      <c r="H69" s="89"/>
      <c r="I69" s="136"/>
      <c r="J69" s="136">
        <f>K52</f>
        <v>59.78</v>
      </c>
      <c r="N69" s="301" t="s">
        <v>108</v>
      </c>
      <c r="O69" s="301"/>
      <c r="P69" s="302"/>
      <c r="Q69" s="302"/>
      <c r="R69" s="192">
        <f>SUM(R64:R68)</f>
        <v>38.39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0.28792499999999999</v>
      </c>
      <c r="W69" s="192">
        <f t="shared" si="33"/>
        <v>0</v>
      </c>
      <c r="X69" s="192">
        <f t="shared" si="33"/>
        <v>0</v>
      </c>
      <c r="Y69" s="192">
        <f t="shared" si="33"/>
        <v>38.102074999999999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-263.13999999999942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139</v>
      </c>
      <c r="Q70" s="225">
        <v>2001</v>
      </c>
      <c r="R70" s="221">
        <v>1876.17</v>
      </c>
      <c r="S70" s="225"/>
      <c r="T70" s="225">
        <v>189.64</v>
      </c>
      <c r="U70" s="189">
        <f t="shared" ref="U70:U74" si="34">((T70/U$10)*U$9)</f>
        <v>8.1741379310344833</v>
      </c>
      <c r="V70" s="189">
        <f t="shared" ref="V70:V74" si="35">R70*V$10</f>
        <v>14.071275</v>
      </c>
      <c r="W70" s="189">
        <f t="shared" ref="W70:W74" si="36">+S70*V$10</f>
        <v>0</v>
      </c>
      <c r="X70" s="189">
        <f t="shared" ref="X70:X74" si="37">+T70*X$10</f>
        <v>4.7409999999999997</v>
      </c>
      <c r="Y70" s="189">
        <f t="shared" ref="Y70:Z74" si="38">R70-V70</f>
        <v>1862.0987250000001</v>
      </c>
      <c r="Z70" s="189">
        <f t="shared" si="38"/>
        <v>0</v>
      </c>
      <c r="AA70" s="189">
        <f t="shared" ref="AA70:AA74" si="39">T70-U70-X70</f>
        <v>176.72486206896548</v>
      </c>
      <c r="AB70" s="87"/>
    </row>
    <row r="71" spans="1:30" ht="28.5" customHeight="1" thickBot="1" x14ac:dyDescent="0.3">
      <c r="A71" s="25" t="s">
        <v>56</v>
      </c>
      <c r="B71" s="70">
        <f>(B65-B69)-B72</f>
        <v>395.65319999999701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59.78</v>
      </c>
      <c r="N71" s="87">
        <v>2</v>
      </c>
      <c r="O71" s="122" t="s">
        <v>210</v>
      </c>
      <c r="P71" s="225">
        <v>76</v>
      </c>
      <c r="Q71" s="225">
        <v>2001</v>
      </c>
      <c r="R71" s="221">
        <v>447.11</v>
      </c>
      <c r="S71" s="225"/>
      <c r="T71" s="225"/>
      <c r="U71" s="189">
        <f t="shared" si="34"/>
        <v>0</v>
      </c>
      <c r="V71" s="189">
        <f t="shared" si="35"/>
        <v>3.3533249999999999</v>
      </c>
      <c r="W71" s="189">
        <f t="shared" si="36"/>
        <v>0</v>
      </c>
      <c r="X71" s="189">
        <f t="shared" si="37"/>
        <v>0</v>
      </c>
      <c r="Y71" s="189">
        <f t="shared" si="38"/>
        <v>443.75667500000003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>
        <v>147</v>
      </c>
      <c r="Q72" s="225">
        <v>2001</v>
      </c>
      <c r="R72" s="221">
        <v>78.58</v>
      </c>
      <c r="S72" s="225"/>
      <c r="T72" s="221"/>
      <c r="U72" s="189">
        <f t="shared" si="34"/>
        <v>0</v>
      </c>
      <c r="V72" s="189">
        <f t="shared" si="35"/>
        <v>0.58934999999999993</v>
      </c>
      <c r="W72" s="189">
        <f t="shared" si="36"/>
        <v>0</v>
      </c>
      <c r="X72" s="189">
        <f t="shared" si="37"/>
        <v>0</v>
      </c>
      <c r="Y72" s="189">
        <f t="shared" si="38"/>
        <v>77.990650000000002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85+65+115+5+45+5+50</f>
        <v>370</v>
      </c>
      <c r="S74" s="225"/>
      <c r="T74" s="225"/>
      <c r="U74" s="189">
        <f t="shared" si="34"/>
        <v>0</v>
      </c>
      <c r="V74" s="189">
        <f t="shared" si="35"/>
        <v>2.7749999999999999</v>
      </c>
      <c r="W74" s="189">
        <f t="shared" si="36"/>
        <v>0</v>
      </c>
      <c r="X74" s="189">
        <f t="shared" si="37"/>
        <v>0</v>
      </c>
      <c r="Y74" s="189">
        <f t="shared" si="38"/>
        <v>367.22500000000002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2771.86</v>
      </c>
      <c r="S75" s="192"/>
      <c r="T75" s="192">
        <f>SUM(T70:T74)</f>
        <v>189.64</v>
      </c>
      <c r="U75" s="192">
        <f>SUM(U70:U74)</f>
        <v>8.1741379310344833</v>
      </c>
      <c r="V75" s="192">
        <f t="shared" ref="V75:AA75" si="41">SUM(V70:V74)</f>
        <v>20.788949999999996</v>
      </c>
      <c r="W75" s="192">
        <f t="shared" si="41"/>
        <v>0</v>
      </c>
      <c r="X75" s="192">
        <f t="shared" si="41"/>
        <v>4.7409999999999997</v>
      </c>
      <c r="Y75" s="192">
        <f t="shared" si="41"/>
        <v>2751.07105</v>
      </c>
      <c r="Z75" s="192">
        <f t="shared" si="41"/>
        <v>0</v>
      </c>
      <c r="AA75" s="193">
        <f t="shared" si="41"/>
        <v>176.72486206896548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17.96</v>
      </c>
      <c r="Q78" s="137"/>
      <c r="R78" s="82">
        <v>7.4999999999999997E-3</v>
      </c>
      <c r="S78" s="194">
        <f>+(P78+Q78)*R78</f>
        <v>0.13470000000000001</v>
      </c>
      <c r="T78" s="254">
        <f>+(P78+Q78)-S78</f>
        <v>17.825300000000002</v>
      </c>
      <c r="U78" s="211">
        <v>121.88</v>
      </c>
      <c r="V78" s="112"/>
      <c r="W78" s="113">
        <v>1.4999999999999999E-2</v>
      </c>
      <c r="X78" s="196">
        <f>+(U78+V78)*W78</f>
        <v>1.8281999999999998</v>
      </c>
      <c r="Y78" s="254">
        <f>+(U78+V78)-X78</f>
        <v>120.0518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48.5</v>
      </c>
      <c r="Q79" s="87">
        <v>67.94</v>
      </c>
      <c r="R79" s="82">
        <v>7.4999999999999997E-3</v>
      </c>
      <c r="S79" s="194">
        <f t="shared" ref="S79:S97" si="43">+(P79+Q79)*R79</f>
        <v>0.87329999999999997</v>
      </c>
      <c r="T79" s="254">
        <f t="shared" ref="T79:T97" si="44">+(P79+Q79)-S79</f>
        <v>115.5667</v>
      </c>
      <c r="U79" s="211">
        <v>226.92</v>
      </c>
      <c r="V79" s="112"/>
      <c r="W79" s="113">
        <v>1.4999999999999999E-2</v>
      </c>
      <c r="X79" s="196">
        <f t="shared" ref="X79:X97" si="45">+(U79+V79)*W79</f>
        <v>3.4037999999999995</v>
      </c>
      <c r="Y79" s="254">
        <f t="shared" ref="Y79:Y97" si="46">+(U79+V79)-X79</f>
        <v>223.5162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v>1.08</v>
      </c>
      <c r="R80" s="82">
        <v>7.4999999999999997E-3</v>
      </c>
      <c r="S80" s="194">
        <f t="shared" si="43"/>
        <v>8.0999999999999996E-3</v>
      </c>
      <c r="T80" s="213">
        <f t="shared" si="44"/>
        <v>1.0719000000000001</v>
      </c>
      <c r="U80" s="211">
        <v>147.15</v>
      </c>
      <c r="V80" s="112"/>
      <c r="W80" s="113">
        <v>1.4999999999999999E-2</v>
      </c>
      <c r="X80" s="196">
        <f t="shared" si="45"/>
        <v>2.2072500000000002</v>
      </c>
      <c r="Y80" s="213">
        <f t="shared" si="46"/>
        <v>144.94275000000002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248.63</v>
      </c>
      <c r="Q81" s="87">
        <v>49.52</v>
      </c>
      <c r="R81" s="82">
        <v>7.4999999999999997E-3</v>
      </c>
      <c r="S81" s="194">
        <f t="shared" si="43"/>
        <v>2.2361249999999999</v>
      </c>
      <c r="T81" s="213">
        <f t="shared" si="44"/>
        <v>295.91387499999996</v>
      </c>
      <c r="U81" s="211">
        <v>306.08999999999997</v>
      </c>
      <c r="V81" s="112"/>
      <c r="W81" s="113">
        <v>1.4999999999999999E-2</v>
      </c>
      <c r="X81" s="196">
        <f t="shared" si="45"/>
        <v>4.5913499999999994</v>
      </c>
      <c r="Y81" s="213">
        <f t="shared" si="46"/>
        <v>301.49865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46.59</v>
      </c>
      <c r="Q82" s="137"/>
      <c r="R82" s="82">
        <v>7.4999999999999997E-3</v>
      </c>
      <c r="S82" s="194">
        <f t="shared" si="43"/>
        <v>0.34942499999999999</v>
      </c>
      <c r="T82" s="254">
        <f t="shared" si="44"/>
        <v>46.240575000000007</v>
      </c>
      <c r="U82" s="211">
        <v>10.28</v>
      </c>
      <c r="V82" s="112"/>
      <c r="W82" s="113">
        <v>1.4999999999999999E-2</v>
      </c>
      <c r="X82" s="196">
        <f t="shared" si="45"/>
        <v>0.15419999999999998</v>
      </c>
      <c r="Y82" s="254">
        <f t="shared" si="46"/>
        <v>10.1258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254.82</v>
      </c>
      <c r="Q83" s="87">
        <v>24.6</v>
      </c>
      <c r="R83" s="82">
        <v>7.4999999999999997E-3</v>
      </c>
      <c r="S83" s="194">
        <f t="shared" si="43"/>
        <v>2.09565</v>
      </c>
      <c r="T83" s="254">
        <f t="shared" si="44"/>
        <v>277.32435000000004</v>
      </c>
      <c r="U83" s="211">
        <v>301.33</v>
      </c>
      <c r="V83" s="112"/>
      <c r="W83" s="113">
        <v>1.4999999999999999E-2</v>
      </c>
      <c r="X83" s="196">
        <f t="shared" si="45"/>
        <v>4.5199499999999997</v>
      </c>
      <c r="Y83" s="254">
        <f t="shared" si="46"/>
        <v>296.81004999999999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50.27</v>
      </c>
      <c r="Q84" s="87"/>
      <c r="R84" s="82">
        <v>7.4999999999999997E-3</v>
      </c>
      <c r="S84" s="194">
        <f t="shared" si="43"/>
        <v>0.377025</v>
      </c>
      <c r="T84" s="254">
        <f t="shared" si="44"/>
        <v>49.892975</v>
      </c>
      <c r="U84" s="112">
        <v>25.33</v>
      </c>
      <c r="V84" s="112"/>
      <c r="W84" s="113">
        <v>1.4999999999999999E-2</v>
      </c>
      <c r="X84" s="196">
        <f t="shared" si="45"/>
        <v>0.37994999999999995</v>
      </c>
      <c r="Y84" s="254">
        <f t="shared" si="46"/>
        <v>24.950049999999997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275.17</v>
      </c>
      <c r="Q85" s="87"/>
      <c r="R85" s="82">
        <v>7.4999999999999997E-3</v>
      </c>
      <c r="S85" s="194">
        <f t="shared" si="43"/>
        <v>2.0637750000000001</v>
      </c>
      <c r="T85" s="254">
        <f t="shared" si="44"/>
        <v>273.10622499999999</v>
      </c>
      <c r="U85" s="112">
        <v>35.5</v>
      </c>
      <c r="V85" s="112"/>
      <c r="W85" s="113">
        <v>1.4999999999999999E-2</v>
      </c>
      <c r="X85" s="196">
        <f t="shared" si="45"/>
        <v>0.53249999999999997</v>
      </c>
      <c r="Y85" s="254">
        <f t="shared" si="46"/>
        <v>34.967500000000001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199.65</v>
      </c>
      <c r="Q86" s="87">
        <v>92.25</v>
      </c>
      <c r="R86" s="82">
        <v>7.4999999999999997E-3</v>
      </c>
      <c r="S86" s="194">
        <f t="shared" si="43"/>
        <v>2.1892499999999999</v>
      </c>
      <c r="T86" s="254">
        <f t="shared" si="44"/>
        <v>289.71074999999996</v>
      </c>
      <c r="U86" s="112">
        <v>99.27</v>
      </c>
      <c r="V86" s="112"/>
      <c r="W86" s="113">
        <v>1.4999999999999999E-2</v>
      </c>
      <c r="X86" s="196">
        <f t="shared" si="45"/>
        <v>1.48905</v>
      </c>
      <c r="Y86" s="254">
        <f t="shared" si="46"/>
        <v>97.78094999999999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19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1141.5900000000001</v>
      </c>
      <c r="Q98" s="195">
        <f>SUM(Q78:Q97)</f>
        <v>235.39</v>
      </c>
      <c r="R98" s="111"/>
      <c r="S98" s="195">
        <f>SUM(S78:S97)</f>
        <v>10.327349999999999</v>
      </c>
      <c r="T98" s="195">
        <f>SUM(T78:T97)</f>
        <v>1366.65265</v>
      </c>
      <c r="U98" s="114">
        <f>SUM(U78:U97)</f>
        <v>1273.7499999999998</v>
      </c>
      <c r="V98" s="114">
        <f>SUM(V78:V97)</f>
        <v>0</v>
      </c>
      <c r="W98" s="112"/>
      <c r="X98" s="197">
        <f>SUM(X78:X97)</f>
        <v>19.106249999999996</v>
      </c>
      <c r="Y98" s="197">
        <f>SUM(Y78:Y97)</f>
        <v>1254.64375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15">
        <f>P78+Q78+U78</f>
        <v>139.84</v>
      </c>
      <c r="R101" s="84"/>
    </row>
    <row r="102" spans="14:30" x14ac:dyDescent="0.25">
      <c r="N102" s="85"/>
      <c r="P102" s="84"/>
      <c r="Q102" s="215">
        <f>P79+U79+Q79</f>
        <v>343.35999999999996</v>
      </c>
      <c r="R102" s="84"/>
    </row>
    <row r="103" spans="14:30" x14ac:dyDescent="0.25">
      <c r="N103" s="85"/>
      <c r="P103" s="84"/>
      <c r="Q103" s="215">
        <f>P80+Q80+U80</f>
        <v>148.23000000000002</v>
      </c>
      <c r="R103" s="84"/>
    </row>
    <row r="104" spans="14:30" x14ac:dyDescent="0.25">
      <c r="N104" s="85"/>
      <c r="P104" s="84"/>
      <c r="Q104" s="215">
        <f>P81+Q81+U81</f>
        <v>604.24</v>
      </c>
      <c r="R104" s="84"/>
    </row>
    <row r="105" spans="14:30" x14ac:dyDescent="0.25">
      <c r="N105" s="85"/>
      <c r="P105" s="84"/>
      <c r="Q105" s="215">
        <f>P82+Q82+U82</f>
        <v>56.870000000000005</v>
      </c>
      <c r="R105" s="84"/>
    </row>
    <row r="106" spans="14:30" x14ac:dyDescent="0.25">
      <c r="N106" s="85"/>
      <c r="P106" s="84"/>
      <c r="Q106" s="215">
        <f>P83+U83+Q83</f>
        <v>580.75</v>
      </c>
      <c r="R106" s="84"/>
    </row>
    <row r="107" spans="14:30" x14ac:dyDescent="0.25">
      <c r="N107" s="85"/>
      <c r="P107" s="84"/>
      <c r="Q107" s="84">
        <f>P84+Q84+U84</f>
        <v>75.599999999999994</v>
      </c>
      <c r="R107" s="84" t="s">
        <v>164</v>
      </c>
    </row>
    <row r="108" spans="14:30" x14ac:dyDescent="0.25">
      <c r="N108" s="85"/>
      <c r="P108" s="84"/>
      <c r="Q108" s="84">
        <f>P85+Q85+U85</f>
        <v>310.67</v>
      </c>
      <c r="R108" s="84"/>
    </row>
    <row r="109" spans="14:30" x14ac:dyDescent="0.25">
      <c r="N109" s="85"/>
      <c r="P109" s="84"/>
      <c r="Q109" s="84">
        <f>P86+Q86+U86</f>
        <v>391.16999999999996</v>
      </c>
      <c r="R109" s="84"/>
    </row>
    <row r="110" spans="14:30" x14ac:dyDescent="0.25">
      <c r="N110" s="85"/>
      <c r="P110" s="84"/>
      <c r="Q110" s="233">
        <f>P87+Q87+U87</f>
        <v>0</v>
      </c>
      <c r="R110" s="84"/>
    </row>
    <row r="111" spans="14:30" x14ac:dyDescent="0.25">
      <c r="N111" s="85"/>
      <c r="P111" s="84"/>
      <c r="Q111" s="84">
        <f>P88+Q88+U88</f>
        <v>0</v>
      </c>
      <c r="R111" s="84"/>
    </row>
    <row r="112" spans="14:30" x14ac:dyDescent="0.25">
      <c r="N112" s="85"/>
      <c r="P112" s="84"/>
      <c r="Q112" s="84"/>
      <c r="R112" s="84"/>
    </row>
    <row r="113" spans="14:18" x14ac:dyDescent="0.25">
      <c r="N113" s="85"/>
      <c r="P113" s="84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31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5.61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1327</v>
      </c>
      <c r="C12" s="15"/>
      <c r="D12" s="56"/>
      <c r="E12" s="16"/>
      <c r="F12" s="56"/>
      <c r="G12" s="56"/>
      <c r="H12" s="17"/>
      <c r="I12" s="83">
        <v>1327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161</v>
      </c>
      <c r="Q12" s="158">
        <v>11</v>
      </c>
      <c r="R12" s="159">
        <v>1524.42</v>
      </c>
      <c r="S12" s="160"/>
      <c r="T12" s="238">
        <v>75.2</v>
      </c>
      <c r="U12" s="189">
        <f>((T12/U$10)*U$9)</f>
        <v>3.2413793103448278</v>
      </c>
      <c r="V12" s="189">
        <f>R12*V$10</f>
        <v>11.433149999999999</v>
      </c>
      <c r="W12" s="189">
        <f>+S12*V$10</f>
        <v>0</v>
      </c>
      <c r="X12" s="189">
        <f>+T12*X$10</f>
        <v>1.8800000000000001</v>
      </c>
      <c r="Y12" s="189">
        <f>R12-V12</f>
        <v>1512.98685</v>
      </c>
      <c r="Z12" s="189">
        <f>S12-W12</f>
        <v>0</v>
      </c>
      <c r="AA12" s="189">
        <f>T12-U12-X12</f>
        <v>70.078620689655182</v>
      </c>
      <c r="AB12" s="156"/>
    </row>
    <row r="13" spans="1:28" ht="15.75" x14ac:dyDescent="0.25">
      <c r="A13" s="86" t="s">
        <v>74</v>
      </c>
      <c r="B13" s="89">
        <v>811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811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163</v>
      </c>
      <c r="Q13" s="158">
        <v>11</v>
      </c>
      <c r="R13" s="159">
        <v>902.83</v>
      </c>
      <c r="S13" s="160"/>
      <c r="T13" s="247">
        <v>29.95</v>
      </c>
      <c r="U13" s="189">
        <f t="shared" ref="U13:U41" si="2">((T13/U$10)*U$9)</f>
        <v>1.2909482758620692</v>
      </c>
      <c r="V13" s="189">
        <f t="shared" ref="V13:V41" si="3">R13*V$10</f>
        <v>6.7712250000000003</v>
      </c>
      <c r="W13" s="189">
        <f t="shared" ref="W13:W41" si="4">+S13*V$10</f>
        <v>0</v>
      </c>
      <c r="X13" s="189">
        <f t="shared" ref="X13:X41" si="5">+T13*X$10</f>
        <v>0.74875000000000003</v>
      </c>
      <c r="Y13" s="189">
        <f t="shared" ref="Y13:Z41" si="6">R13-V13</f>
        <v>896.05877500000008</v>
      </c>
      <c r="Z13" s="189">
        <f t="shared" si="6"/>
        <v>0</v>
      </c>
      <c r="AA13" s="189">
        <f t="shared" ref="AA13:AA41" si="7">T13-U13-X13</f>
        <v>27.910301724137931</v>
      </c>
      <c r="AB13" s="156"/>
    </row>
    <row r="14" spans="1:28" ht="15.75" x14ac:dyDescent="0.25">
      <c r="A14" s="86" t="s">
        <v>81</v>
      </c>
      <c r="B14" s="57">
        <f>B13*B8</f>
        <v>4517.2700000000004</v>
      </c>
      <c r="C14" s="15"/>
      <c r="D14" s="56"/>
      <c r="E14" s="16"/>
      <c r="F14" s="56"/>
      <c r="G14" s="56"/>
      <c r="H14" s="17"/>
      <c r="I14" s="83"/>
      <c r="J14" s="81">
        <f t="shared" si="0"/>
        <v>4517.2700000000004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162</v>
      </c>
      <c r="Q14" s="158">
        <v>11</v>
      </c>
      <c r="R14" s="159">
        <v>1354.53</v>
      </c>
      <c r="S14" s="160"/>
      <c r="T14" s="247">
        <v>59.48</v>
      </c>
      <c r="U14" s="189">
        <f t="shared" si="2"/>
        <v>2.5637931034482762</v>
      </c>
      <c r="V14" s="189">
        <f t="shared" si="3"/>
        <v>10.158975</v>
      </c>
      <c r="W14" s="189">
        <f t="shared" si="4"/>
        <v>0</v>
      </c>
      <c r="X14" s="189">
        <f t="shared" si="5"/>
        <v>1.4870000000000001</v>
      </c>
      <c r="Y14" s="189">
        <f t="shared" si="6"/>
        <v>1344.3710249999999</v>
      </c>
      <c r="Z14" s="189">
        <f t="shared" si="6"/>
        <v>0</v>
      </c>
      <c r="AA14" s="189">
        <f t="shared" si="7"/>
        <v>55.429206896551719</v>
      </c>
      <c r="AB14" s="156"/>
    </row>
    <row r="15" spans="1:28" ht="15.75" x14ac:dyDescent="0.25">
      <c r="A15" s="86" t="s">
        <v>77</v>
      </c>
      <c r="B15" s="56">
        <v>1519</v>
      </c>
      <c r="C15" s="15"/>
      <c r="D15" s="56"/>
      <c r="E15" s="16"/>
      <c r="F15" s="56"/>
      <c r="G15" s="56"/>
      <c r="H15" s="17"/>
      <c r="I15" s="83"/>
      <c r="J15" s="81">
        <f t="shared" si="0"/>
        <v>1519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544</v>
      </c>
      <c r="Q15" s="158">
        <v>2</v>
      </c>
      <c r="R15" s="159">
        <v>1155.73</v>
      </c>
      <c r="S15" s="160"/>
      <c r="T15" s="247">
        <v>192.05</v>
      </c>
      <c r="U15" s="189">
        <f t="shared" si="2"/>
        <v>8.2780172413793114</v>
      </c>
      <c r="V15" s="189">
        <f t="shared" si="3"/>
        <v>8.6679750000000002</v>
      </c>
      <c r="W15" s="189">
        <f t="shared" si="4"/>
        <v>0</v>
      </c>
      <c r="X15" s="189">
        <f t="shared" si="5"/>
        <v>4.8012500000000005</v>
      </c>
      <c r="Y15" s="189">
        <f t="shared" si="6"/>
        <v>1147.0620249999999</v>
      </c>
      <c r="Z15" s="189">
        <f t="shared" si="6"/>
        <v>0</v>
      </c>
      <c r="AA15" s="189">
        <f t="shared" si="7"/>
        <v>178.9707327586207</v>
      </c>
      <c r="AB15" s="156"/>
    </row>
    <row r="16" spans="1:28" ht="15.75" x14ac:dyDescent="0.25">
      <c r="A16" s="214" t="s">
        <v>81</v>
      </c>
      <c r="B16" s="57">
        <f>B15*B9</f>
        <v>8521.59</v>
      </c>
      <c r="C16" s="15"/>
      <c r="D16" s="56"/>
      <c r="E16" s="16"/>
      <c r="F16" s="56"/>
      <c r="G16" s="56"/>
      <c r="H16" s="17"/>
      <c r="I16" s="83"/>
      <c r="J16" s="81">
        <f t="shared" si="0"/>
        <v>8521.59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545</v>
      </c>
      <c r="Q16" s="158">
        <v>2</v>
      </c>
      <c r="R16" s="159">
        <v>2009.88</v>
      </c>
      <c r="S16" s="160"/>
      <c r="T16" s="247">
        <v>135.94999999999999</v>
      </c>
      <c r="U16" s="189">
        <f t="shared" si="2"/>
        <v>5.8599137931034484</v>
      </c>
      <c r="V16" s="189">
        <f t="shared" si="3"/>
        <v>15.0741</v>
      </c>
      <c r="W16" s="189">
        <f t="shared" si="4"/>
        <v>0</v>
      </c>
      <c r="X16" s="189">
        <f t="shared" si="5"/>
        <v>3.3987499999999997</v>
      </c>
      <c r="Y16" s="189">
        <f t="shared" si="6"/>
        <v>1994.8059000000001</v>
      </c>
      <c r="Z16" s="189">
        <f t="shared" si="6"/>
        <v>0</v>
      </c>
      <c r="AA16" s="189">
        <f t="shared" si="7"/>
        <v>126.69133620689652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526</v>
      </c>
      <c r="Q17" s="158">
        <v>4</v>
      </c>
      <c r="R17" s="159">
        <v>843.88</v>
      </c>
      <c r="S17" s="160"/>
      <c r="T17" s="161"/>
      <c r="U17" s="189">
        <f t="shared" si="2"/>
        <v>0</v>
      </c>
      <c r="V17" s="189">
        <f t="shared" si="3"/>
        <v>6.3290999999999995</v>
      </c>
      <c r="W17" s="189">
        <f t="shared" si="4"/>
        <v>0</v>
      </c>
      <c r="X17" s="189">
        <f t="shared" si="5"/>
        <v>0</v>
      </c>
      <c r="Y17" s="189">
        <f t="shared" si="6"/>
        <v>837.55089999999996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527</v>
      </c>
      <c r="Q18" s="158">
        <v>4</v>
      </c>
      <c r="R18" s="159">
        <v>2317.21</v>
      </c>
      <c r="S18" s="160"/>
      <c r="T18" s="247">
        <v>51.04</v>
      </c>
      <c r="U18" s="189">
        <f t="shared" si="2"/>
        <v>2.2000000000000002</v>
      </c>
      <c r="V18" s="189">
        <f t="shared" si="3"/>
        <v>17.379075</v>
      </c>
      <c r="W18" s="189">
        <f t="shared" si="4"/>
        <v>0</v>
      </c>
      <c r="X18" s="189">
        <f t="shared" si="5"/>
        <v>1.276</v>
      </c>
      <c r="Y18" s="189">
        <f t="shared" si="6"/>
        <v>2299.8309250000002</v>
      </c>
      <c r="Z18" s="189">
        <f t="shared" si="6"/>
        <v>0</v>
      </c>
      <c r="AA18" s="189">
        <f t="shared" si="7"/>
        <v>47.563999999999993</v>
      </c>
      <c r="AB18" s="156"/>
    </row>
    <row r="19" spans="1:28" ht="15.75" x14ac:dyDescent="0.25">
      <c r="A19" s="93" t="s">
        <v>79</v>
      </c>
      <c r="B19" s="97">
        <f>+B13+B15+B17</f>
        <v>2330</v>
      </c>
      <c r="C19" s="95"/>
      <c r="D19" s="94"/>
      <c r="E19" s="96"/>
      <c r="F19" s="94"/>
      <c r="G19" s="94"/>
      <c r="H19" s="98"/>
      <c r="I19" s="99"/>
      <c r="J19" s="185">
        <f>B19-I19</f>
        <v>2330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542</v>
      </c>
      <c r="Q19" s="158">
        <v>14</v>
      </c>
      <c r="R19" s="159">
        <v>2340.4299999999998</v>
      </c>
      <c r="S19" s="160">
        <v>93.61</v>
      </c>
      <c r="T19" s="161"/>
      <c r="U19" s="189">
        <f t="shared" si="2"/>
        <v>0</v>
      </c>
      <c r="V19" s="189">
        <f t="shared" si="3"/>
        <v>17.553224999999998</v>
      </c>
      <c r="W19" s="189">
        <f t="shared" si="4"/>
        <v>0.702075</v>
      </c>
      <c r="X19" s="189">
        <f t="shared" si="5"/>
        <v>0</v>
      </c>
      <c r="Y19" s="189">
        <f t="shared" si="6"/>
        <v>2322.8767749999997</v>
      </c>
      <c r="Z19" s="189">
        <f t="shared" si="6"/>
        <v>92.907925000000006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13038.86</v>
      </c>
      <c r="C20" s="95"/>
      <c r="D20" s="94"/>
      <c r="E20" s="96"/>
      <c r="F20" s="94"/>
      <c r="G20" s="94"/>
      <c r="H20" s="98"/>
      <c r="I20" s="99">
        <v>13071.3</v>
      </c>
      <c r="J20" s="185">
        <f t="shared" si="0"/>
        <v>-32.43999999999869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175</v>
      </c>
      <c r="Q20" s="158">
        <v>10</v>
      </c>
      <c r="R20" s="159">
        <v>1325.85</v>
      </c>
      <c r="S20" s="160"/>
      <c r="T20" s="247">
        <v>32.69</v>
      </c>
      <c r="U20" s="189">
        <f t="shared" si="2"/>
        <v>1.409051724137931</v>
      </c>
      <c r="V20" s="189">
        <f t="shared" si="3"/>
        <v>9.9438749999999985</v>
      </c>
      <c r="W20" s="189">
        <f t="shared" si="4"/>
        <v>0</v>
      </c>
      <c r="X20" s="189">
        <f t="shared" si="5"/>
        <v>0.81725000000000003</v>
      </c>
      <c r="Y20" s="189">
        <f t="shared" si="6"/>
        <v>1315.906125</v>
      </c>
      <c r="Z20" s="189">
        <f t="shared" si="6"/>
        <v>0</v>
      </c>
      <c r="AA20" s="189">
        <f t="shared" si="7"/>
        <v>30.463698275862065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176</v>
      </c>
      <c r="Q21" s="158">
        <v>10</v>
      </c>
      <c r="R21" s="159">
        <v>2588.44</v>
      </c>
      <c r="S21" s="160"/>
      <c r="T21" s="247">
        <v>0.41</v>
      </c>
      <c r="U21" s="189">
        <f t="shared" si="2"/>
        <v>1.7672413793103449E-2</v>
      </c>
      <c r="V21" s="189">
        <f t="shared" si="3"/>
        <v>19.4133</v>
      </c>
      <c r="W21" s="189">
        <f t="shared" si="4"/>
        <v>0</v>
      </c>
      <c r="X21" s="189">
        <f t="shared" si="5"/>
        <v>1.025E-2</v>
      </c>
      <c r="Y21" s="189">
        <f t="shared" si="6"/>
        <v>2569.0266999999999</v>
      </c>
      <c r="Z21" s="189">
        <f t="shared" si="6"/>
        <v>0</v>
      </c>
      <c r="AA21" s="189">
        <f t="shared" si="7"/>
        <v>0.38207758620689652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610</v>
      </c>
      <c r="Q22" s="158">
        <v>18</v>
      </c>
      <c r="R22" s="162">
        <v>383.77</v>
      </c>
      <c r="S22" s="160"/>
      <c r="T22" s="160"/>
      <c r="U22" s="189">
        <f t="shared" si="2"/>
        <v>0</v>
      </c>
      <c r="V22" s="189">
        <f t="shared" si="3"/>
        <v>2.8782749999999999</v>
      </c>
      <c r="W22" s="189">
        <f t="shared" si="4"/>
        <v>0</v>
      </c>
      <c r="X22" s="189">
        <f t="shared" si="5"/>
        <v>0</v>
      </c>
      <c r="Y22" s="189">
        <f t="shared" si="6"/>
        <v>380.89172500000001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100</v>
      </c>
      <c r="C29" s="100"/>
      <c r="D29" s="66"/>
      <c r="E29" s="67"/>
      <c r="F29" s="66"/>
      <c r="G29" s="66"/>
      <c r="H29" s="102"/>
      <c r="I29" s="79">
        <v>100</v>
      </c>
      <c r="J29" s="81">
        <f t="shared" si="0"/>
        <v>0</v>
      </c>
      <c r="K29" s="80">
        <v>100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557</v>
      </c>
      <c r="C30" s="100"/>
      <c r="D30" s="66"/>
      <c r="E30" s="67"/>
      <c r="F30" s="66"/>
      <c r="G30" s="66"/>
      <c r="H30" s="102"/>
      <c r="I30" s="79">
        <v>557</v>
      </c>
      <c r="J30" s="81">
        <f t="shared" si="0"/>
        <v>0</v>
      </c>
      <c r="K30" s="80">
        <v>557</v>
      </c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100</v>
      </c>
      <c r="C35" s="95"/>
      <c r="D35" s="94"/>
      <c r="E35" s="96"/>
      <c r="F35" s="94"/>
      <c r="G35" s="94"/>
      <c r="H35" s="98"/>
      <c r="I35" s="99"/>
      <c r="J35" s="185">
        <f t="shared" si="0"/>
        <v>100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557</v>
      </c>
      <c r="C36" s="95"/>
      <c r="D36" s="94"/>
      <c r="E36" s="96"/>
      <c r="F36" s="94"/>
      <c r="G36" s="94"/>
      <c r="H36" s="98"/>
      <c r="I36" s="99"/>
      <c r="J36" s="185">
        <f t="shared" si="0"/>
        <v>557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22.12</v>
      </c>
      <c r="C37" s="100"/>
      <c r="D37" s="66"/>
      <c r="E37" s="67"/>
      <c r="F37" s="66"/>
      <c r="G37" s="66"/>
      <c r="H37" s="102"/>
      <c r="I37" s="79">
        <v>22.12</v>
      </c>
      <c r="J37" s="81">
        <f t="shared" si="0"/>
        <v>0</v>
      </c>
      <c r="K37" s="80">
        <v>22.12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123.20840000000001</v>
      </c>
      <c r="C38" s="100"/>
      <c r="D38" s="66"/>
      <c r="E38" s="67"/>
      <c r="F38" s="66"/>
      <c r="G38" s="66"/>
      <c r="H38" s="102"/>
      <c r="I38" s="79">
        <v>123.21</v>
      </c>
      <c r="J38" s="81">
        <f t="shared" si="0"/>
        <v>-1.5999999999820602E-3</v>
      </c>
      <c r="K38" s="80">
        <v>123.21</v>
      </c>
      <c r="L38" s="186">
        <f>K38-B38</f>
        <v>1.5999999999820602E-3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23.35</v>
      </c>
      <c r="C39" s="100"/>
      <c r="D39" s="66"/>
      <c r="E39" s="67"/>
      <c r="F39" s="66"/>
      <c r="G39" s="66"/>
      <c r="H39" s="102"/>
      <c r="I39" s="79">
        <v>23.35</v>
      </c>
      <c r="J39" s="81">
        <f t="shared" si="0"/>
        <v>0</v>
      </c>
      <c r="K39" s="80">
        <v>23.35</v>
      </c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130.99350000000001</v>
      </c>
      <c r="C40" s="100"/>
      <c r="D40" s="66"/>
      <c r="E40" s="67"/>
      <c r="F40" s="66"/>
      <c r="G40" s="66"/>
      <c r="H40" s="102"/>
      <c r="I40" s="79">
        <v>130.99</v>
      </c>
      <c r="J40" s="81">
        <f t="shared" si="0"/>
        <v>3.5000000000025011E-3</v>
      </c>
      <c r="K40" s="80">
        <v>130.99</v>
      </c>
      <c r="L40" s="186">
        <f>K40-B40</f>
        <v>-3.5000000000025011E-3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16746.97</v>
      </c>
      <c r="S42" s="190">
        <f t="shared" si="8"/>
        <v>93.61</v>
      </c>
      <c r="T42" s="190">
        <f t="shared" si="8"/>
        <v>576.76999999999987</v>
      </c>
      <c r="U42" s="190">
        <f t="shared" si="8"/>
        <v>24.860775862068969</v>
      </c>
      <c r="V42" s="190">
        <f t="shared" si="8"/>
        <v>125.60227499999999</v>
      </c>
      <c r="W42" s="190">
        <f t="shared" si="8"/>
        <v>0.702075</v>
      </c>
      <c r="X42" s="190">
        <f t="shared" si="8"/>
        <v>14.41925</v>
      </c>
      <c r="Y42" s="190">
        <f t="shared" si="8"/>
        <v>16621.367725000004</v>
      </c>
      <c r="Z42" s="190">
        <f t="shared" si="8"/>
        <v>92.907925000000006</v>
      </c>
      <c r="AA42" s="190">
        <f t="shared" si="8"/>
        <v>537.48997413793097</v>
      </c>
      <c r="AB42" s="166"/>
    </row>
    <row r="43" spans="1:28" ht="15.75" x14ac:dyDescent="0.25">
      <c r="A43" s="93" t="s">
        <v>101</v>
      </c>
      <c r="B43" s="97">
        <f>+B37+B39+B41</f>
        <v>45.47</v>
      </c>
      <c r="C43" s="95"/>
      <c r="D43" s="94"/>
      <c r="E43" s="96"/>
      <c r="F43" s="94"/>
      <c r="G43" s="94"/>
      <c r="H43" s="98"/>
      <c r="I43" s="99">
        <v>45.47</v>
      </c>
      <c r="J43" s="185">
        <f t="shared" si="0"/>
        <v>0</v>
      </c>
      <c r="K43" s="99">
        <v>45.47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254.20190000000002</v>
      </c>
      <c r="C44" s="95"/>
      <c r="D44" s="94"/>
      <c r="E44" s="96"/>
      <c r="F44" s="94"/>
      <c r="G44" s="94"/>
      <c r="H44" s="98"/>
      <c r="I44" s="99">
        <v>254.2</v>
      </c>
      <c r="J44" s="185">
        <f t="shared" si="0"/>
        <v>1.9000000000346517E-3</v>
      </c>
      <c r="K44" s="99">
        <v>254.2</v>
      </c>
      <c r="L44" s="187">
        <f>K44-B44</f>
        <v>-1.9000000000346517E-3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16746.97</v>
      </c>
      <c r="C46" s="116">
        <v>7.4999999999999997E-3</v>
      </c>
      <c r="D46" s="117">
        <f>B46*C46</f>
        <v>125.60227500000001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16621.367725</v>
      </c>
      <c r="H46" s="173">
        <f>B$6+1</f>
        <v>44751</v>
      </c>
      <c r="I46" s="174">
        <v>16747.38</v>
      </c>
      <c r="J46" s="81">
        <f t="shared" si="0"/>
        <v>-0.40999999999985448</v>
      </c>
      <c r="K46" s="222">
        <v>16988.43</v>
      </c>
      <c r="L46" s="186">
        <f>K46-G46</f>
        <v>367.06227500000023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101.65</v>
      </c>
      <c r="C48" s="116">
        <v>7.4999999999999997E-3</v>
      </c>
      <c r="D48" s="117">
        <f t="shared" si="17"/>
        <v>0.76237500000000002</v>
      </c>
      <c r="E48" s="172">
        <v>0</v>
      </c>
      <c r="F48" s="117">
        <f t="shared" si="15"/>
        <v>0</v>
      </c>
      <c r="G48" s="117">
        <f t="shared" si="16"/>
        <v>100.887625</v>
      </c>
      <c r="H48" s="173">
        <f t="shared" ref="H48:H61" si="19">B$6+1</f>
        <v>44751</v>
      </c>
      <c r="I48" s="176">
        <v>101.65</v>
      </c>
      <c r="J48" s="81">
        <f t="shared" si="0"/>
        <v>0</v>
      </c>
      <c r="K48" s="80"/>
      <c r="L48" s="186">
        <f t="shared" si="18"/>
        <v>100.887625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200</v>
      </c>
      <c r="B49" s="117">
        <f>R75</f>
        <v>2417.6800000000003</v>
      </c>
      <c r="C49" s="116">
        <v>7.4999999999999997E-3</v>
      </c>
      <c r="D49" s="117">
        <f t="shared" si="17"/>
        <v>18.1326</v>
      </c>
      <c r="E49" s="172">
        <v>0</v>
      </c>
      <c r="F49" s="117">
        <f t="shared" si="15"/>
        <v>0</v>
      </c>
      <c r="G49" s="117">
        <f t="shared" si="16"/>
        <v>2399.5474000000004</v>
      </c>
      <c r="H49" s="173">
        <f t="shared" si="19"/>
        <v>44751</v>
      </c>
      <c r="I49" s="219">
        <v>1882.7</v>
      </c>
      <c r="J49" s="81">
        <f t="shared" si="0"/>
        <v>534.98000000000025</v>
      </c>
      <c r="K49" s="80"/>
      <c r="L49" s="186">
        <f t="shared" si="18"/>
        <v>2399.5474000000004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2276.2400000000002</v>
      </c>
      <c r="C50" s="116">
        <v>7.4999999999999997E-3</v>
      </c>
      <c r="D50" s="117">
        <f t="shared" si="17"/>
        <v>17.0718</v>
      </c>
      <c r="E50" s="172">
        <v>0</v>
      </c>
      <c r="F50" s="117">
        <f t="shared" si="15"/>
        <v>0</v>
      </c>
      <c r="G50" s="117">
        <f t="shared" si="16"/>
        <v>2259.1682000000001</v>
      </c>
      <c r="H50" s="173">
        <f t="shared" si="19"/>
        <v>44751</v>
      </c>
      <c r="I50" s="175"/>
      <c r="J50" s="81">
        <f t="shared" si="0"/>
        <v>2276.2400000000002</v>
      </c>
      <c r="K50" s="80"/>
      <c r="L50" s="186">
        <f t="shared" si="18"/>
        <v>2259.1682000000001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620.28</v>
      </c>
      <c r="C51" s="116">
        <v>1.4999999999999999E-2</v>
      </c>
      <c r="D51" s="117">
        <f>+B51*C51</f>
        <v>9.3041999999999998</v>
      </c>
      <c r="E51" s="172">
        <v>0</v>
      </c>
      <c r="F51" s="117">
        <f>D51*E51</f>
        <v>0</v>
      </c>
      <c r="G51" s="117">
        <f t="shared" si="16"/>
        <v>610.97579999999994</v>
      </c>
      <c r="H51" s="173">
        <f t="shared" si="19"/>
        <v>44751</v>
      </c>
      <c r="I51" s="175">
        <v>2896.02</v>
      </c>
      <c r="J51" s="81">
        <f t="shared" si="0"/>
        <v>-2275.7399999999998</v>
      </c>
      <c r="K51" s="80"/>
      <c r="L51" s="186">
        <f t="shared" si="18"/>
        <v>610.97579999999994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576.76999999999987</v>
      </c>
      <c r="C52" s="116">
        <v>2.5000000000000001E-2</v>
      </c>
      <c r="D52" s="117">
        <f>B52*C52</f>
        <v>14.419249999999998</v>
      </c>
      <c r="E52" s="172">
        <v>0.05</v>
      </c>
      <c r="F52" s="117">
        <f>(B52/E$10)*E52</f>
        <v>24.860775862068962</v>
      </c>
      <c r="G52" s="117">
        <f>B52-D52-F52</f>
        <v>537.48997413793086</v>
      </c>
      <c r="H52" s="188">
        <f t="shared" si="19"/>
        <v>44751</v>
      </c>
      <c r="I52" s="176">
        <v>666.09</v>
      </c>
      <c r="J52" s="81">
        <f t="shared" si="0"/>
        <v>-89.320000000000164</v>
      </c>
      <c r="K52" s="80">
        <v>192.9</v>
      </c>
      <c r="L52" s="186">
        <f>K52-G52</f>
        <v>-344.58997413793088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212</v>
      </c>
      <c r="B56" s="117">
        <f>T75</f>
        <v>89.32</v>
      </c>
      <c r="C56" s="116">
        <v>2.5000000000000001E-2</v>
      </c>
      <c r="D56" s="117">
        <f t="shared" si="20"/>
        <v>2.2330000000000001</v>
      </c>
      <c r="E56" s="172">
        <v>0.05</v>
      </c>
      <c r="F56" s="117">
        <f t="shared" si="21"/>
        <v>3.85</v>
      </c>
      <c r="G56" s="117">
        <f t="shared" si="22"/>
        <v>83.236999999999995</v>
      </c>
      <c r="H56" s="173">
        <f t="shared" si="19"/>
        <v>44751</v>
      </c>
      <c r="I56" s="176"/>
      <c r="J56" s="81">
        <f t="shared" si="0"/>
        <v>89.32</v>
      </c>
      <c r="K56" s="80"/>
      <c r="L56" s="186">
        <f t="shared" si="18"/>
        <v>83.236999999999995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93.61</v>
      </c>
      <c r="C57" s="116">
        <v>5.3E-3</v>
      </c>
      <c r="D57" s="117">
        <f>C57*B57</f>
        <v>0.49613299999999999</v>
      </c>
      <c r="E57" s="172">
        <v>0</v>
      </c>
      <c r="F57" s="117">
        <f>D57*E57</f>
        <v>0</v>
      </c>
      <c r="G57" s="117">
        <f t="shared" si="22"/>
        <v>93.113866999999999</v>
      </c>
      <c r="H57" s="173">
        <f>B6+3</f>
        <v>44753</v>
      </c>
      <c r="I57" s="175"/>
      <c r="J57" s="81">
        <f t="shared" si="0"/>
        <v>93.61</v>
      </c>
      <c r="K57" s="80"/>
      <c r="L57" s="186">
        <f t="shared" si="18"/>
        <v>93.113866999999999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>
        <v>93.61</v>
      </c>
      <c r="J58" s="81">
        <f t="shared" si="0"/>
        <v>-93.61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453.53</v>
      </c>
      <c r="C59" s="18"/>
      <c r="D59" s="57"/>
      <c r="E59" s="177"/>
      <c r="F59" s="57"/>
      <c r="G59" s="57">
        <f>B59-D59-F59</f>
        <v>453.53</v>
      </c>
      <c r="H59" s="173"/>
      <c r="I59" s="175">
        <v>453.53</v>
      </c>
      <c r="J59" s="81">
        <f>B59-I59</f>
        <v>0</v>
      </c>
      <c r="K59" s="80"/>
      <c r="L59" s="186">
        <f t="shared" si="18"/>
        <v>453.53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188.02163300000001</v>
      </c>
      <c r="E61" s="177"/>
      <c r="F61" s="57">
        <f>SUM(F46:F58)</f>
        <v>28.710775862068964</v>
      </c>
      <c r="G61" s="57">
        <f>SUM(G46:G58)</f>
        <v>22705.787591137931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22705.787591137931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535</v>
      </c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535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45865.10518227586</v>
      </c>
      <c r="H64" s="184"/>
      <c r="I64" s="175"/>
      <c r="J64" s="81">
        <f t="shared" si="0"/>
        <v>0</v>
      </c>
      <c r="K64" s="80"/>
      <c r="L64" s="186">
        <f t="shared" si="18"/>
        <v>45865.10518227586</v>
      </c>
      <c r="M64" s="130"/>
      <c r="N64" s="87">
        <v>1</v>
      </c>
      <c r="O64" s="122" t="s">
        <v>201</v>
      </c>
      <c r="P64" s="225"/>
      <c r="Q64" s="225"/>
      <c r="R64" s="240">
        <v>19.45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0.14587499999999998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19.304124999999999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38018.111899999996</v>
      </c>
      <c r="G65" s="22"/>
      <c r="L65" s="132"/>
      <c r="M65" s="131"/>
      <c r="N65" s="87">
        <v>2</v>
      </c>
      <c r="O65" s="122" t="s">
        <v>201</v>
      </c>
      <c r="P65" s="225"/>
      <c r="Q65" s="225"/>
      <c r="R65" s="225">
        <f>15.68+5.45+44.39</f>
        <v>65.52</v>
      </c>
      <c r="S65" s="225"/>
      <c r="T65" s="87"/>
      <c r="U65" s="189">
        <f t="shared" si="27"/>
        <v>0</v>
      </c>
      <c r="V65" s="189">
        <f t="shared" si="28"/>
        <v>0.49139999999999995</v>
      </c>
      <c r="W65" s="189">
        <f t="shared" si="29"/>
        <v>0</v>
      </c>
      <c r="X65" s="189">
        <f t="shared" si="30"/>
        <v>0</v>
      </c>
      <c r="Y65" s="189">
        <f t="shared" si="31"/>
        <v>65.028599999999997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5"/>
      <c r="Q66" s="225"/>
      <c r="R66" s="221">
        <v>16.68</v>
      </c>
      <c r="S66" s="225"/>
      <c r="T66" s="87"/>
      <c r="U66" s="189">
        <f t="shared" si="27"/>
        <v>0</v>
      </c>
      <c r="V66" s="189">
        <f t="shared" si="28"/>
        <v>0.12509999999999999</v>
      </c>
      <c r="W66" s="189">
        <f t="shared" si="29"/>
        <v>0</v>
      </c>
      <c r="X66" s="189">
        <f t="shared" si="30"/>
        <v>0</v>
      </c>
      <c r="Y66" s="189">
        <f t="shared" si="31"/>
        <v>16.5549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225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37942.35</v>
      </c>
      <c r="C69" s="59"/>
      <c r="F69" s="87" t="s">
        <v>127</v>
      </c>
      <c r="G69" s="22"/>
      <c r="H69" s="89"/>
      <c r="I69" s="136"/>
      <c r="J69" s="136">
        <f>K52</f>
        <v>192.9</v>
      </c>
      <c r="N69" s="301" t="s">
        <v>108</v>
      </c>
      <c r="O69" s="301"/>
      <c r="P69" s="302"/>
      <c r="Q69" s="302"/>
      <c r="R69" s="192">
        <f>SUM(R64:R68)</f>
        <v>101.65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0.76237499999999991</v>
      </c>
      <c r="W69" s="192">
        <f t="shared" si="33"/>
        <v>0</v>
      </c>
      <c r="X69" s="192">
        <f t="shared" si="33"/>
        <v>0</v>
      </c>
      <c r="Y69" s="192">
        <f t="shared" si="33"/>
        <v>100.887625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-37905.35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>
        <v>140</v>
      </c>
      <c r="Q70" s="225">
        <v>2001</v>
      </c>
      <c r="R70" s="221">
        <v>9.16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6.8699999999999997E-2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9.0913000000000004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75.761899999997695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192.9</v>
      </c>
      <c r="N71" s="87">
        <v>2</v>
      </c>
      <c r="O71" s="122" t="s">
        <v>199</v>
      </c>
      <c r="P71" s="225">
        <v>148</v>
      </c>
      <c r="Q71" s="225">
        <v>2001</v>
      </c>
      <c r="R71" s="221">
        <v>342.03</v>
      </c>
      <c r="S71" s="225"/>
      <c r="T71" s="221"/>
      <c r="U71" s="189">
        <f t="shared" si="34"/>
        <v>0</v>
      </c>
      <c r="V71" s="189">
        <f t="shared" si="35"/>
        <v>2.5652249999999999</v>
      </c>
      <c r="W71" s="189">
        <f t="shared" si="36"/>
        <v>0</v>
      </c>
      <c r="X71" s="189">
        <f t="shared" si="37"/>
        <v>0</v>
      </c>
      <c r="Y71" s="189">
        <f t="shared" si="38"/>
        <v>339.46477499999997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25">
        <v>141</v>
      </c>
      <c r="Q72" s="225">
        <v>2001</v>
      </c>
      <c r="R72" s="221">
        <v>37.82</v>
      </c>
      <c r="S72" s="225"/>
      <c r="T72" s="225"/>
      <c r="U72" s="189">
        <f t="shared" si="34"/>
        <v>0</v>
      </c>
      <c r="V72" s="189">
        <f t="shared" si="35"/>
        <v>0.28365000000000001</v>
      </c>
      <c r="W72" s="189">
        <f t="shared" si="36"/>
        <v>0</v>
      </c>
      <c r="X72" s="189">
        <f t="shared" si="37"/>
        <v>0</v>
      </c>
      <c r="Y72" s="189">
        <f t="shared" si="38"/>
        <v>37.536349999999999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>
        <v>89</v>
      </c>
      <c r="Q73" s="225">
        <v>1001</v>
      </c>
      <c r="R73" s="221">
        <v>1493.67</v>
      </c>
      <c r="S73" s="225"/>
      <c r="T73" s="225">
        <v>89.32</v>
      </c>
      <c r="U73" s="189">
        <f t="shared" si="34"/>
        <v>3.85</v>
      </c>
      <c r="V73" s="189">
        <f t="shared" si="35"/>
        <v>11.202525</v>
      </c>
      <c r="W73" s="189">
        <f t="shared" si="36"/>
        <v>0</v>
      </c>
      <c r="X73" s="189">
        <f t="shared" si="37"/>
        <v>2.2330000000000001</v>
      </c>
      <c r="Y73" s="189">
        <f t="shared" si="38"/>
        <v>1482.4674750000001</v>
      </c>
      <c r="Z73" s="189">
        <f t="shared" si="38"/>
        <v>0</v>
      </c>
      <c r="AA73" s="189">
        <f t="shared" si="39"/>
        <v>83.236999999999995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55+10+195+130+85+60</f>
        <v>535</v>
      </c>
      <c r="S74" s="225"/>
      <c r="T74" s="225"/>
      <c r="U74" s="189">
        <f t="shared" si="34"/>
        <v>0</v>
      </c>
      <c r="V74" s="189">
        <f t="shared" si="35"/>
        <v>4.0125000000000002</v>
      </c>
      <c r="W74" s="189">
        <f t="shared" si="36"/>
        <v>0</v>
      </c>
      <c r="X74" s="189">
        <f t="shared" si="37"/>
        <v>0</v>
      </c>
      <c r="Y74" s="189">
        <f t="shared" si="38"/>
        <v>530.98749999999995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2417.6800000000003</v>
      </c>
      <c r="S75" s="192"/>
      <c r="T75" s="192">
        <f>SUM(T70:T74)</f>
        <v>89.32</v>
      </c>
      <c r="U75" s="192">
        <f>SUM(U70:U74)</f>
        <v>3.85</v>
      </c>
      <c r="V75" s="192">
        <f t="shared" ref="V75:AA75" si="41">SUM(V70:V74)</f>
        <v>18.1326</v>
      </c>
      <c r="W75" s="192">
        <f t="shared" si="41"/>
        <v>0</v>
      </c>
      <c r="X75" s="192">
        <f t="shared" si="41"/>
        <v>2.2330000000000001</v>
      </c>
      <c r="Y75" s="192">
        <f t="shared" si="41"/>
        <v>2399.5474000000004</v>
      </c>
      <c r="Z75" s="192">
        <f t="shared" si="41"/>
        <v>0</v>
      </c>
      <c r="AA75" s="193">
        <f t="shared" si="41"/>
        <v>83.236999999999995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77.11</v>
      </c>
      <c r="Q78" s="137"/>
      <c r="R78" s="82">
        <v>7.4999999999999997E-3</v>
      </c>
      <c r="S78" s="194">
        <f>+(P78+Q78)*R78</f>
        <v>0.57832499999999998</v>
      </c>
      <c r="T78" s="219">
        <f>+(P78+Q78)-S78</f>
        <v>76.531674999999993</v>
      </c>
      <c r="U78" s="211">
        <v>37.96</v>
      </c>
      <c r="V78" s="112"/>
      <c r="W78" s="113">
        <v>1.4999999999999999E-2</v>
      </c>
      <c r="X78" s="196">
        <f>+(U78+V78)*W78</f>
        <v>0.56940000000000002</v>
      </c>
      <c r="Y78" s="254">
        <f>+(U78+V78)-X78</f>
        <v>37.390599999999999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261.22000000000003</v>
      </c>
      <c r="Q79" s="137">
        <v>65.349999999999994</v>
      </c>
      <c r="R79" s="82">
        <v>7.4999999999999997E-3</v>
      </c>
      <c r="S79" s="194">
        <f t="shared" ref="S79:S97" si="43">+(P79+Q79)*R79</f>
        <v>2.4492750000000001</v>
      </c>
      <c r="T79" s="219">
        <f t="shared" ref="T79:T97" si="44">+(P79+Q79)-S79</f>
        <v>324.12072500000005</v>
      </c>
      <c r="U79" s="211">
        <v>19.59</v>
      </c>
      <c r="V79" s="112"/>
      <c r="W79" s="113">
        <v>1.4999999999999999E-2</v>
      </c>
      <c r="X79" s="196">
        <f t="shared" ref="X79:X97" si="45">+(U79+V79)*W79</f>
        <v>0.29385</v>
      </c>
      <c r="Y79" s="254">
        <f t="shared" ref="Y79:Y97" si="46">+(U79+V79)-X79</f>
        <v>19.296150000000001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v>277.64999999999998</v>
      </c>
      <c r="R80" s="82">
        <v>7.4999999999999997E-3</v>
      </c>
      <c r="S80" s="194">
        <f t="shared" si="43"/>
        <v>2.0823749999999999</v>
      </c>
      <c r="T80" s="219">
        <f t="shared" si="44"/>
        <v>275.56762499999996</v>
      </c>
      <c r="U80" s="211">
        <v>67.78</v>
      </c>
      <c r="V80" s="112"/>
      <c r="W80" s="113">
        <v>1.4999999999999999E-2</v>
      </c>
      <c r="X80" s="196">
        <f t="shared" si="45"/>
        <v>1.0166999999999999</v>
      </c>
      <c r="Y80" s="254">
        <f t="shared" si="46"/>
        <v>66.763300000000001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210.24</v>
      </c>
      <c r="Q81" s="137"/>
      <c r="R81" s="82">
        <v>7.4999999999999997E-3</v>
      </c>
      <c r="S81" s="194">
        <f t="shared" si="43"/>
        <v>1.5768</v>
      </c>
      <c r="T81" s="219">
        <f t="shared" si="44"/>
        <v>208.66320000000002</v>
      </c>
      <c r="U81" s="211">
        <v>85.78</v>
      </c>
      <c r="V81" s="112"/>
      <c r="W81" s="113">
        <v>1.4999999999999999E-2</v>
      </c>
      <c r="X81" s="196">
        <f t="shared" si="45"/>
        <v>1.2867</v>
      </c>
      <c r="Y81" s="213">
        <f t="shared" si="46"/>
        <v>84.493300000000005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538.71</v>
      </c>
      <c r="Q82" s="137">
        <v>13.11</v>
      </c>
      <c r="R82" s="82">
        <v>7.4999999999999997E-3</v>
      </c>
      <c r="S82" s="194">
        <f t="shared" si="43"/>
        <v>4.1386500000000002</v>
      </c>
      <c r="T82" s="219">
        <f t="shared" si="44"/>
        <v>547.68135000000007</v>
      </c>
      <c r="U82" s="211">
        <v>7.99</v>
      </c>
      <c r="V82" s="112"/>
      <c r="W82" s="113">
        <v>1.4999999999999999E-2</v>
      </c>
      <c r="X82" s="196">
        <f t="shared" si="45"/>
        <v>0.11985</v>
      </c>
      <c r="Y82" s="213">
        <f t="shared" si="46"/>
        <v>7.8701500000000006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11.97</v>
      </c>
      <c r="Q83" s="137">
        <v>12.57</v>
      </c>
      <c r="R83" s="82">
        <v>7.4999999999999997E-3</v>
      </c>
      <c r="S83" s="194">
        <f t="shared" si="43"/>
        <v>0.18404999999999999</v>
      </c>
      <c r="T83" s="219">
        <f t="shared" si="44"/>
        <v>24.35595</v>
      </c>
      <c r="U83" s="211">
        <v>65.98</v>
      </c>
      <c r="V83" s="112"/>
      <c r="W83" s="113">
        <v>1.4999999999999999E-2</v>
      </c>
      <c r="X83" s="196">
        <f t="shared" si="45"/>
        <v>0.98970000000000002</v>
      </c>
      <c r="Y83" s="254">
        <f t="shared" si="46"/>
        <v>64.990300000000005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226.48</v>
      </c>
      <c r="Q84" s="87">
        <v>47.84</v>
      </c>
      <c r="R84" s="82">
        <v>7.4999999999999997E-3</v>
      </c>
      <c r="S84" s="194">
        <f t="shared" si="43"/>
        <v>2.0573999999999999</v>
      </c>
      <c r="T84" s="219">
        <f t="shared" si="44"/>
        <v>272.26260000000002</v>
      </c>
      <c r="U84" s="112">
        <v>75.569999999999993</v>
      </c>
      <c r="V84" s="112"/>
      <c r="W84" s="113">
        <v>1.4999999999999999E-2</v>
      </c>
      <c r="X84" s="196">
        <f t="shared" si="45"/>
        <v>1.1335499999999998</v>
      </c>
      <c r="Y84" s="254">
        <f t="shared" si="46"/>
        <v>74.436449999999994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>
        <v>23.15</v>
      </c>
      <c r="V85" s="112"/>
      <c r="W85" s="113">
        <v>1.4999999999999999E-2</v>
      </c>
      <c r="X85" s="196">
        <f t="shared" si="45"/>
        <v>0.34724999999999995</v>
      </c>
      <c r="Y85" s="217">
        <f t="shared" si="46"/>
        <v>22.80275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109.39</v>
      </c>
      <c r="Q86" s="87">
        <v>44.8</v>
      </c>
      <c r="R86" s="82">
        <v>7.4999999999999997E-3</v>
      </c>
      <c r="S86" s="194">
        <f t="shared" si="43"/>
        <v>1.156425</v>
      </c>
      <c r="T86" s="254">
        <f t="shared" si="44"/>
        <v>153.03357499999998</v>
      </c>
      <c r="U86" s="112">
        <v>138.24</v>
      </c>
      <c r="V86" s="112"/>
      <c r="W86" s="113">
        <v>1.4999999999999999E-2</v>
      </c>
      <c r="X86" s="196">
        <f t="shared" si="45"/>
        <v>2.0735999999999999</v>
      </c>
      <c r="Y86" s="217">
        <f t="shared" si="46"/>
        <v>136.16640000000001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323</v>
      </c>
      <c r="Q87" s="87">
        <v>56.8</v>
      </c>
      <c r="R87" s="82">
        <v>7.4999999999999997E-3</v>
      </c>
      <c r="S87" s="194">
        <f t="shared" si="43"/>
        <v>2.8485</v>
      </c>
      <c r="T87" s="216">
        <f t="shared" si="44"/>
        <v>376.95150000000001</v>
      </c>
      <c r="U87" s="112">
        <v>98.24</v>
      </c>
      <c r="V87" s="112"/>
      <c r="W87" s="113">
        <v>1.4999999999999999E-2</v>
      </c>
      <c r="X87" s="196">
        <f t="shared" si="45"/>
        <v>1.4735999999999998</v>
      </c>
      <c r="Y87" s="217">
        <f t="shared" si="46"/>
        <v>96.76639999999999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1758.1200000000003</v>
      </c>
      <c r="Q98" s="195">
        <f>SUM(Q78:Q97)</f>
        <v>518.12</v>
      </c>
      <c r="R98" s="111"/>
      <c r="S98" s="195">
        <f>SUM(S78:S97)</f>
        <v>17.0718</v>
      </c>
      <c r="T98" s="195">
        <f>SUM(T78:T97)</f>
        <v>2259.1682000000001</v>
      </c>
      <c r="U98" s="114">
        <f>SUM(U78:U97)</f>
        <v>620.28</v>
      </c>
      <c r="V98" s="114">
        <f>SUM(V78:V97)</f>
        <v>0</v>
      </c>
      <c r="W98" s="112"/>
      <c r="X98" s="197">
        <f>SUM(X78:X97)</f>
        <v>9.304199999999998</v>
      </c>
      <c r="Y98" s="197">
        <f>SUM(Y78:Y97)</f>
        <v>610.97579999999994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115.07</v>
      </c>
    </row>
    <row r="102" spans="14:30" x14ac:dyDescent="0.25">
      <c r="N102" s="85"/>
      <c r="P102" s="215">
        <f t="shared" ref="P102:P107" si="50">P79+Q79+U79</f>
        <v>346.16</v>
      </c>
    </row>
    <row r="103" spans="14:30" x14ac:dyDescent="0.25">
      <c r="N103" s="85"/>
      <c r="P103" s="215">
        <f>P80+Q80+U80</f>
        <v>345.42999999999995</v>
      </c>
    </row>
    <row r="104" spans="14:30" x14ac:dyDescent="0.25">
      <c r="N104" s="85"/>
      <c r="P104" s="215">
        <f>P81+Q81+U81</f>
        <v>296.02</v>
      </c>
    </row>
    <row r="105" spans="14:30" x14ac:dyDescent="0.25">
      <c r="N105" s="85"/>
      <c r="P105" s="215">
        <f t="shared" si="50"/>
        <v>559.81000000000006</v>
      </c>
    </row>
    <row r="106" spans="14:30" x14ac:dyDescent="0.25">
      <c r="N106" s="85"/>
      <c r="P106" s="215">
        <f t="shared" si="50"/>
        <v>90.52000000000001</v>
      </c>
    </row>
    <row r="107" spans="14:30" x14ac:dyDescent="0.25">
      <c r="N107" s="85"/>
      <c r="P107" s="246">
        <f t="shared" si="50"/>
        <v>349.89</v>
      </c>
    </row>
    <row r="108" spans="14:30" x14ac:dyDescent="0.25">
      <c r="N108" s="85"/>
      <c r="P108" s="246">
        <f>P85+Q85+U85</f>
        <v>23.15</v>
      </c>
    </row>
    <row r="109" spans="14:30" x14ac:dyDescent="0.25">
      <c r="N109" s="85"/>
      <c r="P109" s="246">
        <f>P86+Q86+U86</f>
        <v>292.43</v>
      </c>
    </row>
    <row r="110" spans="14:30" x14ac:dyDescent="0.25">
      <c r="N110" s="85"/>
      <c r="P110" s="84">
        <f>P87+Q87+U87</f>
        <v>478.04</v>
      </c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U67" zoomScale="90" zoomScaleNormal="90" workbookViewId="0">
      <selection activeCell="X93" sqref="X9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1593</v>
      </c>
      <c r="C12" s="15"/>
      <c r="D12" s="56"/>
      <c r="E12" s="16"/>
      <c r="F12" s="56"/>
      <c r="G12" s="56"/>
      <c r="H12" s="17"/>
      <c r="I12" s="83">
        <v>1593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164</v>
      </c>
      <c r="Q12" s="158">
        <v>11</v>
      </c>
      <c r="R12" s="159">
        <v>1542.15</v>
      </c>
      <c r="S12" s="160"/>
      <c r="T12" s="160">
        <v>6.76</v>
      </c>
      <c r="U12" s="189">
        <f>((T12/U$10)*U$9)</f>
        <v>0.29137931034482761</v>
      </c>
      <c r="V12" s="189">
        <f>R12*V$10</f>
        <v>11.566125</v>
      </c>
      <c r="W12" s="189">
        <f>+S12*V$10</f>
        <v>0</v>
      </c>
      <c r="X12" s="189">
        <f>+T12*X$10</f>
        <v>0.16900000000000001</v>
      </c>
      <c r="Y12" s="189">
        <f>R12-V12</f>
        <v>1530.583875</v>
      </c>
      <c r="Z12" s="189">
        <f>S12-W12</f>
        <v>0</v>
      </c>
      <c r="AA12" s="189">
        <f>T12-U12-X12</f>
        <v>6.299620689655173</v>
      </c>
      <c r="AB12" s="156"/>
    </row>
    <row r="13" spans="1:28" ht="15.75" x14ac:dyDescent="0.25">
      <c r="A13" s="86" t="s">
        <v>74</v>
      </c>
      <c r="B13" s="89">
        <v>3241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3241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546</v>
      </c>
      <c r="Q13" s="158">
        <v>2</v>
      </c>
      <c r="R13" s="159">
        <v>1449</v>
      </c>
      <c r="S13" s="160"/>
      <c r="T13" s="161">
        <v>134.59</v>
      </c>
      <c r="U13" s="189">
        <f t="shared" ref="U13:U41" si="2">((T13/U$10)*U$9)</f>
        <v>5.8012931034482769</v>
      </c>
      <c r="V13" s="189">
        <f t="shared" ref="V13:V41" si="3">R13*V$10</f>
        <v>10.8675</v>
      </c>
      <c r="W13" s="189">
        <f t="shared" ref="W13:W41" si="4">+S13*V$10</f>
        <v>0</v>
      </c>
      <c r="X13" s="189">
        <f t="shared" ref="X13:X41" si="5">+T13*X$10</f>
        <v>3.3647500000000004</v>
      </c>
      <c r="Y13" s="189">
        <f t="shared" ref="Y13:Z41" si="6">R13-V13</f>
        <v>1438.1324999999999</v>
      </c>
      <c r="Z13" s="189">
        <f t="shared" si="6"/>
        <v>0</v>
      </c>
      <c r="AA13" s="189">
        <f t="shared" ref="AA13:AA41" si="7">T13-U13-X13</f>
        <v>125.42395689655173</v>
      </c>
      <c r="AB13" s="156"/>
    </row>
    <row r="14" spans="1:28" ht="15.75" x14ac:dyDescent="0.25">
      <c r="A14" s="86" t="s">
        <v>81</v>
      </c>
      <c r="B14" s="57">
        <f>B13*B8</f>
        <v>18182.010000000002</v>
      </c>
      <c r="C14" s="15"/>
      <c r="D14" s="56"/>
      <c r="E14" s="16"/>
      <c r="F14" s="56"/>
      <c r="G14" s="56"/>
      <c r="H14" s="17"/>
      <c r="I14" s="83"/>
      <c r="J14" s="81">
        <f t="shared" si="0"/>
        <v>18182.010000000002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547</v>
      </c>
      <c r="Q14" s="158">
        <v>2</v>
      </c>
      <c r="R14" s="159">
        <v>1061.0999999999999</v>
      </c>
      <c r="S14" s="160"/>
      <c r="T14" s="161"/>
      <c r="U14" s="189">
        <f t="shared" si="2"/>
        <v>0</v>
      </c>
      <c r="V14" s="189">
        <f t="shared" si="3"/>
        <v>7.9582499999999987</v>
      </c>
      <c r="W14" s="189">
        <f t="shared" si="4"/>
        <v>0</v>
      </c>
      <c r="X14" s="189">
        <f t="shared" si="5"/>
        <v>0</v>
      </c>
      <c r="Y14" s="189">
        <f t="shared" si="6"/>
        <v>1053.14175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528</v>
      </c>
      <c r="Q15" s="158">
        <v>4</v>
      </c>
      <c r="R15" s="159">
        <v>1350.83</v>
      </c>
      <c r="S15" s="160"/>
      <c r="T15" s="161"/>
      <c r="U15" s="189">
        <f t="shared" si="2"/>
        <v>0</v>
      </c>
      <c r="V15" s="189">
        <f t="shared" si="3"/>
        <v>10.131224999999999</v>
      </c>
      <c r="W15" s="189">
        <f t="shared" si="4"/>
        <v>0</v>
      </c>
      <c r="X15" s="189">
        <f t="shared" si="5"/>
        <v>0</v>
      </c>
      <c r="Y15" s="189">
        <f t="shared" si="6"/>
        <v>1340.6987749999998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529</v>
      </c>
      <c r="Q16" s="158">
        <v>4</v>
      </c>
      <c r="R16" s="159">
        <v>1626.69</v>
      </c>
      <c r="S16" s="160"/>
      <c r="T16" s="161"/>
      <c r="U16" s="189">
        <f t="shared" si="2"/>
        <v>0</v>
      </c>
      <c r="V16" s="189">
        <f t="shared" si="3"/>
        <v>12.200175</v>
      </c>
      <c r="W16" s="189">
        <f t="shared" si="4"/>
        <v>0</v>
      </c>
      <c r="X16" s="189">
        <f t="shared" si="5"/>
        <v>0</v>
      </c>
      <c r="Y16" s="189">
        <f t="shared" si="6"/>
        <v>1614.4898250000001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543</v>
      </c>
      <c r="Q17" s="158">
        <v>14</v>
      </c>
      <c r="R17" s="159">
        <v>2728.49</v>
      </c>
      <c r="S17" s="160"/>
      <c r="T17" s="161"/>
      <c r="U17" s="189">
        <f t="shared" si="2"/>
        <v>0</v>
      </c>
      <c r="V17" s="189">
        <f t="shared" si="3"/>
        <v>20.463674999999999</v>
      </c>
      <c r="W17" s="189">
        <f t="shared" si="4"/>
        <v>0</v>
      </c>
      <c r="X17" s="189">
        <f t="shared" si="5"/>
        <v>0</v>
      </c>
      <c r="Y17" s="189">
        <f t="shared" si="6"/>
        <v>2708.0263249999998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177</v>
      </c>
      <c r="Q18" s="158">
        <v>10</v>
      </c>
      <c r="R18" s="159">
        <v>1304.9000000000001</v>
      </c>
      <c r="S18" s="160"/>
      <c r="T18" s="161"/>
      <c r="U18" s="189">
        <f t="shared" si="2"/>
        <v>0</v>
      </c>
      <c r="V18" s="189">
        <f t="shared" si="3"/>
        <v>9.7867499999999996</v>
      </c>
      <c r="W18" s="189">
        <f t="shared" si="4"/>
        <v>0</v>
      </c>
      <c r="X18" s="189">
        <f t="shared" si="5"/>
        <v>0</v>
      </c>
      <c r="Y18" s="189">
        <f t="shared" si="6"/>
        <v>1295.1132500000001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3241</v>
      </c>
      <c r="C19" s="95"/>
      <c r="D19" s="94"/>
      <c r="E19" s="96"/>
      <c r="F19" s="94"/>
      <c r="G19" s="94"/>
      <c r="H19" s="98"/>
      <c r="I19" s="99"/>
      <c r="J19" s="185">
        <f>B19-I19</f>
        <v>3241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178</v>
      </c>
      <c r="Q19" s="158">
        <v>1</v>
      </c>
      <c r="R19" s="159">
        <v>912.37</v>
      </c>
      <c r="S19" s="160"/>
      <c r="T19" s="161"/>
      <c r="U19" s="189">
        <f t="shared" si="2"/>
        <v>0</v>
      </c>
      <c r="V19" s="189">
        <f t="shared" si="3"/>
        <v>6.8427749999999996</v>
      </c>
      <c r="W19" s="189">
        <f t="shared" si="4"/>
        <v>0</v>
      </c>
      <c r="X19" s="189">
        <f t="shared" si="5"/>
        <v>0</v>
      </c>
      <c r="Y19" s="189">
        <f t="shared" si="6"/>
        <v>905.52722500000004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18182.010000000002</v>
      </c>
      <c r="C20" s="95"/>
      <c r="D20" s="94"/>
      <c r="E20" s="96"/>
      <c r="F20" s="94"/>
      <c r="G20" s="94"/>
      <c r="H20" s="98"/>
      <c r="I20" s="99">
        <v>18182.099999999999</v>
      </c>
      <c r="J20" s="185">
        <f t="shared" si="0"/>
        <v>-8.999999999650754E-2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611</v>
      </c>
      <c r="Q20" s="158">
        <v>18</v>
      </c>
      <c r="R20" s="159">
        <v>485.47</v>
      </c>
      <c r="S20" s="160"/>
      <c r="T20" s="161">
        <v>119.23</v>
      </c>
      <c r="U20" s="189">
        <f t="shared" si="2"/>
        <v>5.1392241379310351</v>
      </c>
      <c r="V20" s="189">
        <f t="shared" si="3"/>
        <v>3.641025</v>
      </c>
      <c r="W20" s="189">
        <f t="shared" si="4"/>
        <v>0</v>
      </c>
      <c r="X20" s="189">
        <f t="shared" si="5"/>
        <v>2.9807500000000005</v>
      </c>
      <c r="Y20" s="189">
        <f t="shared" si="6"/>
        <v>481.82897500000001</v>
      </c>
      <c r="Z20" s="189">
        <f t="shared" si="6"/>
        <v>0</v>
      </c>
      <c r="AA20" s="189">
        <f t="shared" si="7"/>
        <v>111.11002586206897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165</v>
      </c>
      <c r="Q21" s="158">
        <v>11</v>
      </c>
      <c r="R21" s="159">
        <v>952.56</v>
      </c>
      <c r="S21" s="160"/>
      <c r="T21" s="161">
        <v>12.37</v>
      </c>
      <c r="U21" s="189">
        <f t="shared" si="2"/>
        <v>0.53318965517241379</v>
      </c>
      <c r="V21" s="189">
        <f t="shared" si="3"/>
        <v>7.1441999999999997</v>
      </c>
      <c r="W21" s="189">
        <f t="shared" si="4"/>
        <v>0</v>
      </c>
      <c r="X21" s="189">
        <f t="shared" si="5"/>
        <v>0.30925000000000002</v>
      </c>
      <c r="Y21" s="189">
        <f t="shared" si="6"/>
        <v>945.41579999999999</v>
      </c>
      <c r="Z21" s="189">
        <f t="shared" si="6"/>
        <v>0</v>
      </c>
      <c r="AA21" s="189">
        <f t="shared" si="7"/>
        <v>11.527560344827585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612</v>
      </c>
      <c r="Q22" s="158">
        <v>18</v>
      </c>
      <c r="R22" s="162">
        <v>1705.46</v>
      </c>
      <c r="S22" s="160"/>
      <c r="T22" s="160">
        <v>115.14</v>
      </c>
      <c r="U22" s="189">
        <f t="shared" si="2"/>
        <v>4.9629310344827591</v>
      </c>
      <c r="V22" s="189">
        <f t="shared" si="3"/>
        <v>12.79095</v>
      </c>
      <c r="W22" s="189">
        <f t="shared" si="4"/>
        <v>0</v>
      </c>
      <c r="X22" s="189">
        <f t="shared" si="5"/>
        <v>2.8785000000000003</v>
      </c>
      <c r="Y22" s="189">
        <f t="shared" si="6"/>
        <v>1692.66905</v>
      </c>
      <c r="Z22" s="189">
        <f t="shared" si="6"/>
        <v>0</v>
      </c>
      <c r="AA22" s="189">
        <f t="shared" si="7"/>
        <v>107.29856896551723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13.11</v>
      </c>
      <c r="C29" s="100"/>
      <c r="D29" s="66"/>
      <c r="E29" s="67"/>
      <c r="F29" s="66"/>
      <c r="G29" s="66"/>
      <c r="H29" s="102"/>
      <c r="I29" s="79">
        <v>13.11</v>
      </c>
      <c r="J29" s="81">
        <f t="shared" si="0"/>
        <v>0</v>
      </c>
      <c r="K29" s="80">
        <v>13.11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73.5471</v>
      </c>
      <c r="C30" s="100"/>
      <c r="D30" s="66"/>
      <c r="E30" s="67"/>
      <c r="F30" s="66"/>
      <c r="G30" s="66"/>
      <c r="H30" s="102"/>
      <c r="I30" s="79">
        <v>73.55</v>
      </c>
      <c r="J30" s="81">
        <f t="shared" si="0"/>
        <v>-2.899999999996794E-3</v>
      </c>
      <c r="K30" s="80">
        <v>73.55</v>
      </c>
      <c r="L30" s="186">
        <f>K30-B30</f>
        <v>2.899999999996794E-3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13.11</v>
      </c>
      <c r="C35" s="95"/>
      <c r="D35" s="94"/>
      <c r="E35" s="96"/>
      <c r="F35" s="94"/>
      <c r="G35" s="94"/>
      <c r="H35" s="98"/>
      <c r="I35" s="99">
        <v>13.11</v>
      </c>
      <c r="J35" s="185">
        <f t="shared" si="0"/>
        <v>0</v>
      </c>
      <c r="K35" s="99">
        <v>13.11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73.5471</v>
      </c>
      <c r="C36" s="95"/>
      <c r="D36" s="94"/>
      <c r="E36" s="96"/>
      <c r="F36" s="94"/>
      <c r="G36" s="94"/>
      <c r="H36" s="98"/>
      <c r="I36" s="99">
        <v>73.55</v>
      </c>
      <c r="J36" s="185">
        <f t="shared" si="0"/>
        <v>-2.899999999996794E-3</v>
      </c>
      <c r="K36" s="99">
        <v>73.55</v>
      </c>
      <c r="L36" s="187">
        <f>K36-B36</f>
        <v>2.899999999996794E-3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47.84</v>
      </c>
      <c r="C37" s="100"/>
      <c r="D37" s="66"/>
      <c r="E37" s="67"/>
      <c r="F37" s="66"/>
      <c r="G37" s="66"/>
      <c r="H37" s="102"/>
      <c r="I37" s="79">
        <v>47.84</v>
      </c>
      <c r="J37" s="81">
        <f t="shared" si="0"/>
        <v>0</v>
      </c>
      <c r="K37" s="80">
        <v>47.84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268.38240000000002</v>
      </c>
      <c r="C38" s="100"/>
      <c r="D38" s="66"/>
      <c r="E38" s="67"/>
      <c r="F38" s="66"/>
      <c r="G38" s="66"/>
      <c r="H38" s="102"/>
      <c r="I38" s="79"/>
      <c r="J38" s="81">
        <f t="shared" si="0"/>
        <v>268.38240000000002</v>
      </c>
      <c r="K38" s="80">
        <v>268.38</v>
      </c>
      <c r="L38" s="186">
        <f>K38-B38</f>
        <v>-2.4000000000228283E-3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15119.02</v>
      </c>
      <c r="S42" s="190">
        <f t="shared" si="8"/>
        <v>0</v>
      </c>
      <c r="T42" s="190">
        <f t="shared" si="8"/>
        <v>388.09</v>
      </c>
      <c r="U42" s="190">
        <f t="shared" si="8"/>
        <v>16.728017241379312</v>
      </c>
      <c r="V42" s="190">
        <f t="shared" si="8"/>
        <v>113.39264999999999</v>
      </c>
      <c r="W42" s="190">
        <f t="shared" si="8"/>
        <v>0</v>
      </c>
      <c r="X42" s="190">
        <f t="shared" si="8"/>
        <v>9.7022500000000012</v>
      </c>
      <c r="Y42" s="190">
        <f t="shared" si="8"/>
        <v>15005.627350000001</v>
      </c>
      <c r="Z42" s="190">
        <f t="shared" si="8"/>
        <v>0</v>
      </c>
      <c r="AA42" s="190">
        <f t="shared" si="8"/>
        <v>361.65973275862069</v>
      </c>
      <c r="AB42" s="166"/>
    </row>
    <row r="43" spans="1:28" ht="15.75" x14ac:dyDescent="0.25">
      <c r="A43" s="93" t="s">
        <v>101</v>
      </c>
      <c r="B43" s="97">
        <f>+B37+B39+B41</f>
        <v>47.84</v>
      </c>
      <c r="C43" s="95"/>
      <c r="D43" s="94"/>
      <c r="E43" s="96"/>
      <c r="F43" s="94"/>
      <c r="G43" s="94"/>
      <c r="H43" s="98"/>
      <c r="I43" s="99"/>
      <c r="J43" s="185">
        <f t="shared" si="0"/>
        <v>47.84</v>
      </c>
      <c r="K43" s="99">
        <v>47.84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268.38240000000002</v>
      </c>
      <c r="C44" s="95"/>
      <c r="D44" s="94"/>
      <c r="E44" s="96"/>
      <c r="F44" s="94"/>
      <c r="G44" s="94"/>
      <c r="H44" s="98"/>
      <c r="I44" s="99"/>
      <c r="J44" s="185">
        <f t="shared" si="0"/>
        <v>268.38240000000002</v>
      </c>
      <c r="K44" s="99">
        <v>268.38</v>
      </c>
      <c r="L44" s="187">
        <f>K44-B44</f>
        <v>-2.4000000000228283E-3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15119.02</v>
      </c>
      <c r="C46" s="116">
        <v>7.4999999999999997E-3</v>
      </c>
      <c r="D46" s="117">
        <f>B46*C46</f>
        <v>113.39265</v>
      </c>
      <c r="E46" s="172">
        <v>0</v>
      </c>
      <c r="F46" s="117">
        <f t="shared" ref="F46:F50" si="15">D46*E46</f>
        <v>0</v>
      </c>
      <c r="G46" s="117">
        <f t="shared" ref="G46:G51" si="16">B46-D46-F46</f>
        <v>15005.627350000001</v>
      </c>
      <c r="H46" s="173">
        <f>B$6+1</f>
        <v>44752</v>
      </c>
      <c r="I46" s="174">
        <v>15119.02</v>
      </c>
      <c r="J46" s="81">
        <f t="shared" si="0"/>
        <v>0</v>
      </c>
      <c r="K46" s="80">
        <v>15338.39</v>
      </c>
      <c r="L46" s="186">
        <f t="shared" ref="L46:L64" si="17">+G46-K46</f>
        <v>-332.76264999999876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342.59</v>
      </c>
      <c r="C48" s="116">
        <v>7.4999999999999997E-3</v>
      </c>
      <c r="D48" s="117">
        <f t="shared" si="18"/>
        <v>2.5694249999999998</v>
      </c>
      <c r="E48" s="172">
        <v>0</v>
      </c>
      <c r="F48" s="117">
        <f t="shared" si="15"/>
        <v>0</v>
      </c>
      <c r="G48" s="117">
        <f t="shared" si="16"/>
        <v>340.02057499999995</v>
      </c>
      <c r="H48" s="173">
        <f t="shared" ref="H48:H61" si="19">B$6+1</f>
        <v>44752</v>
      </c>
      <c r="I48" s="176">
        <v>342.62</v>
      </c>
      <c r="J48" s="81">
        <f t="shared" si="0"/>
        <v>-3.0000000000029559E-2</v>
      </c>
      <c r="K48" s="80"/>
      <c r="L48" s="186">
        <f t="shared" si="17"/>
        <v>340.02057499999995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1971.83</v>
      </c>
      <c r="C49" s="116">
        <v>7.4999999999999997E-3</v>
      </c>
      <c r="D49" s="117">
        <f t="shared" si="18"/>
        <v>14.788724999999999</v>
      </c>
      <c r="E49" s="172">
        <v>0</v>
      </c>
      <c r="F49" s="117">
        <f t="shared" si="15"/>
        <v>0</v>
      </c>
      <c r="G49" s="117">
        <f t="shared" si="16"/>
        <v>1957.041275</v>
      </c>
      <c r="H49" s="173">
        <f t="shared" si="19"/>
        <v>44752</v>
      </c>
      <c r="I49" s="176">
        <v>1551.83</v>
      </c>
      <c r="J49" s="81">
        <f t="shared" si="0"/>
        <v>420</v>
      </c>
      <c r="K49" s="80"/>
      <c r="L49" s="186">
        <f t="shared" si="17"/>
        <v>1957.041275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3459.3199999999997</v>
      </c>
      <c r="C50" s="116">
        <v>7.4999999999999997E-3</v>
      </c>
      <c r="D50" s="117">
        <f t="shared" si="18"/>
        <v>25.944899999999997</v>
      </c>
      <c r="E50" s="172">
        <v>0</v>
      </c>
      <c r="F50" s="117">
        <f t="shared" si="15"/>
        <v>0</v>
      </c>
      <c r="G50" s="117">
        <f t="shared" si="16"/>
        <v>3433.3750999999997</v>
      </c>
      <c r="H50" s="173">
        <f t="shared" si="19"/>
        <v>44752</v>
      </c>
      <c r="I50" s="175">
        <v>4216.22</v>
      </c>
      <c r="J50" s="81">
        <f t="shared" si="0"/>
        <v>-756.90000000000055</v>
      </c>
      <c r="K50" s="80"/>
      <c r="L50" s="186">
        <f t="shared" si="17"/>
        <v>3433.3750999999997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756.28</v>
      </c>
      <c r="C51" s="116">
        <v>1.4999999999999999E-2</v>
      </c>
      <c r="D51" s="117">
        <f>+B51*C51</f>
        <v>11.344199999999999</v>
      </c>
      <c r="E51" s="172">
        <v>0</v>
      </c>
      <c r="F51" s="117">
        <f>D51*E51</f>
        <v>0</v>
      </c>
      <c r="G51" s="117">
        <f t="shared" si="16"/>
        <v>744.93579999999997</v>
      </c>
      <c r="H51" s="173">
        <f t="shared" si="19"/>
        <v>44752</v>
      </c>
      <c r="I51" s="175"/>
      <c r="J51" s="81">
        <f t="shared" si="0"/>
        <v>756.28</v>
      </c>
      <c r="K51" s="80"/>
      <c r="L51" s="186">
        <f t="shared" si="17"/>
        <v>744.93579999999997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388.09</v>
      </c>
      <c r="C52" s="116">
        <v>2.5000000000000001E-2</v>
      </c>
      <c r="D52" s="117">
        <f>B52*C52</f>
        <v>9.7022499999999994</v>
      </c>
      <c r="E52" s="172">
        <v>0.05</v>
      </c>
      <c r="F52" s="117">
        <f>(B52/E$10)*E52</f>
        <v>16.728017241379312</v>
      </c>
      <c r="G52" s="117">
        <f>B52-D52-F52</f>
        <v>361.65973275862069</v>
      </c>
      <c r="H52" s="188">
        <f t="shared" si="19"/>
        <v>44752</v>
      </c>
      <c r="I52" s="176">
        <v>388.09</v>
      </c>
      <c r="J52" s="81">
        <f t="shared" si="0"/>
        <v>0</v>
      </c>
      <c r="K52" s="80">
        <v>49.12</v>
      </c>
      <c r="L52" s="186">
        <f>K52-G52</f>
        <v>-312.53973275862069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204</v>
      </c>
      <c r="B56" s="117">
        <f>T75</f>
        <v>22.71</v>
      </c>
      <c r="C56" s="116">
        <v>2.5000000000000001E-2</v>
      </c>
      <c r="D56" s="117">
        <f t="shared" si="20"/>
        <v>0.56775000000000009</v>
      </c>
      <c r="E56" s="172">
        <v>0.05</v>
      </c>
      <c r="F56" s="117">
        <f t="shared" si="21"/>
        <v>0.97887931034482778</v>
      </c>
      <c r="G56" s="117">
        <f t="shared" si="22"/>
        <v>21.163370689655174</v>
      </c>
      <c r="H56" s="173">
        <f t="shared" si="19"/>
        <v>44752</v>
      </c>
      <c r="I56" s="219">
        <v>22.71</v>
      </c>
      <c r="J56" s="81">
        <f t="shared" si="0"/>
        <v>0</v>
      </c>
      <c r="K56" s="80"/>
      <c r="L56" s="186">
        <f t="shared" si="17"/>
        <v>21.163370689655174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445.5</v>
      </c>
      <c r="C59" s="18"/>
      <c r="D59" s="57"/>
      <c r="E59" s="177"/>
      <c r="F59" s="57"/>
      <c r="G59" s="57">
        <f>B59-D59-F59</f>
        <v>445.5</v>
      </c>
      <c r="H59" s="173"/>
      <c r="I59" s="175">
        <v>445.5</v>
      </c>
      <c r="J59" s="81">
        <f>B59-I59</f>
        <v>0</v>
      </c>
      <c r="K59" s="80"/>
      <c r="L59" s="186">
        <f t="shared" si="17"/>
        <v>445.5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178.30989999999997</v>
      </c>
      <c r="E61" s="177"/>
      <c r="F61" s="57">
        <f>SUM(F46:F58)</f>
        <v>17.706896551724139</v>
      </c>
      <c r="G61" s="57">
        <f>SUM(G46:G58)</f>
        <v>21863.823203448275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7"/>
        <v>21863.823203448275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420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259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44173.146406896551</v>
      </c>
      <c r="H64" s="184"/>
      <c r="I64" s="175"/>
      <c r="J64" s="81">
        <f t="shared" si="0"/>
        <v>0</v>
      </c>
      <c r="K64" s="80"/>
      <c r="L64" s="186">
        <f t="shared" si="17"/>
        <v>44173.146406896551</v>
      </c>
      <c r="M64" s="130"/>
      <c r="N64" s="87">
        <v>1</v>
      </c>
      <c r="O64" s="122" t="s">
        <v>202</v>
      </c>
      <c r="P64" s="225">
        <v>8576</v>
      </c>
      <c r="Q64" s="225"/>
      <c r="R64" s="225">
        <v>177.25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1.329375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175.920625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42197.27949999999</v>
      </c>
      <c r="G65" s="22"/>
      <c r="L65" s="132"/>
      <c r="M65" s="131"/>
      <c r="N65" s="87">
        <v>2</v>
      </c>
      <c r="O65" s="122" t="s">
        <v>202</v>
      </c>
      <c r="P65" s="225"/>
      <c r="Q65" s="225"/>
      <c r="R65" s="221">
        <v>25.82</v>
      </c>
      <c r="S65" s="225"/>
      <c r="T65" s="87"/>
      <c r="U65" s="189">
        <f t="shared" si="27"/>
        <v>0</v>
      </c>
      <c r="V65" s="189">
        <f t="shared" si="28"/>
        <v>0.19364999999999999</v>
      </c>
      <c r="W65" s="189">
        <f t="shared" si="29"/>
        <v>0</v>
      </c>
      <c r="X65" s="189">
        <f t="shared" si="30"/>
        <v>0</v>
      </c>
      <c r="Y65" s="189">
        <f t="shared" si="31"/>
        <v>25.626349999999999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202</v>
      </c>
      <c r="P66" s="225"/>
      <c r="Q66" s="225"/>
      <c r="R66" s="221">
        <v>114.21</v>
      </c>
      <c r="S66" s="225"/>
      <c r="T66" s="87"/>
      <c r="U66" s="189">
        <f t="shared" si="27"/>
        <v>0</v>
      </c>
      <c r="V66" s="189">
        <f t="shared" si="28"/>
        <v>0.85657499999999998</v>
      </c>
      <c r="W66" s="189">
        <f t="shared" si="29"/>
        <v>0</v>
      </c>
      <c r="X66" s="189">
        <f t="shared" si="30"/>
        <v>0</v>
      </c>
      <c r="Y66" s="189">
        <f t="shared" si="31"/>
        <v>113.35342499999999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202</v>
      </c>
      <c r="P67" s="225"/>
      <c r="Q67" s="225"/>
      <c r="R67" s="225">
        <v>25.31</v>
      </c>
      <c r="S67" s="225"/>
      <c r="T67" s="87"/>
      <c r="U67" s="189">
        <f t="shared" si="27"/>
        <v>0</v>
      </c>
      <c r="V67" s="189">
        <f t="shared" si="28"/>
        <v>0.18982499999999999</v>
      </c>
      <c r="W67" s="189">
        <f t="shared" si="29"/>
        <v>0</v>
      </c>
      <c r="X67" s="189">
        <f t="shared" si="30"/>
        <v>0</v>
      </c>
      <c r="Y67" s="189">
        <f t="shared" si="31"/>
        <v>25.120175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41624.949999999997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42134.16</v>
      </c>
      <c r="C69" s="59"/>
      <c r="F69" s="87" t="s">
        <v>127</v>
      </c>
      <c r="G69" s="22"/>
      <c r="H69" s="89"/>
      <c r="I69" s="136"/>
      <c r="J69" s="136">
        <f>K52</f>
        <v>49.12</v>
      </c>
      <c r="N69" s="301" t="s">
        <v>108</v>
      </c>
      <c r="O69" s="301"/>
      <c r="P69" s="302"/>
      <c r="Q69" s="302"/>
      <c r="R69" s="192">
        <f>SUM(R64:R68)</f>
        <v>342.59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2.5694249999999998</v>
      </c>
      <c r="W69" s="192">
        <f t="shared" si="33"/>
        <v>0</v>
      </c>
      <c r="X69" s="192">
        <f t="shared" si="33"/>
        <v>0</v>
      </c>
      <c r="Y69" s="192">
        <f t="shared" si="33"/>
        <v>340.02057500000001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-509.2100000000064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>
        <v>80</v>
      </c>
      <c r="Q70" s="225">
        <v>2001</v>
      </c>
      <c r="R70" s="221">
        <v>462.11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3.4658250000000002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458.64417500000002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63.119499999986147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49.12</v>
      </c>
      <c r="N71" s="87">
        <v>2</v>
      </c>
      <c r="O71" s="122" t="s">
        <v>199</v>
      </c>
      <c r="P71" s="225">
        <v>150</v>
      </c>
      <c r="Q71" s="225">
        <v>2001</v>
      </c>
      <c r="R71" s="221">
        <v>276.31</v>
      </c>
      <c r="S71" s="225"/>
      <c r="T71" s="225">
        <v>22.71</v>
      </c>
      <c r="U71" s="189">
        <f t="shared" si="34"/>
        <v>0.97887931034482778</v>
      </c>
      <c r="V71" s="189">
        <f t="shared" si="35"/>
        <v>2.0723249999999998</v>
      </c>
      <c r="W71" s="189">
        <f t="shared" si="36"/>
        <v>0</v>
      </c>
      <c r="X71" s="189">
        <f t="shared" si="37"/>
        <v>0.56775000000000009</v>
      </c>
      <c r="Y71" s="189">
        <f t="shared" si="38"/>
        <v>274.23767500000002</v>
      </c>
      <c r="Z71" s="189">
        <f t="shared" si="38"/>
        <v>0</v>
      </c>
      <c r="AA71" s="189">
        <f t="shared" si="39"/>
        <v>21.163370689655174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25">
        <v>151</v>
      </c>
      <c r="Q72" s="225">
        <v>2001</v>
      </c>
      <c r="R72" s="221">
        <v>783.12</v>
      </c>
      <c r="S72" s="225"/>
      <c r="T72" s="225"/>
      <c r="U72" s="189">
        <f t="shared" si="34"/>
        <v>0</v>
      </c>
      <c r="V72" s="189">
        <f t="shared" si="35"/>
        <v>5.8734000000000002</v>
      </c>
      <c r="W72" s="189">
        <f t="shared" si="36"/>
        <v>0</v>
      </c>
      <c r="X72" s="189">
        <f t="shared" si="37"/>
        <v>0</v>
      </c>
      <c r="Y72" s="189">
        <f t="shared" si="38"/>
        <v>777.24660000000006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>
        <v>144</v>
      </c>
      <c r="Q73" s="225">
        <v>2001</v>
      </c>
      <c r="R73" s="221">
        <v>30.29</v>
      </c>
      <c r="S73" s="225"/>
      <c r="T73" s="225"/>
      <c r="U73" s="189">
        <f t="shared" si="34"/>
        <v>0</v>
      </c>
      <c r="V73" s="189">
        <f t="shared" si="35"/>
        <v>0.22717499999999999</v>
      </c>
      <c r="W73" s="189">
        <f t="shared" si="36"/>
        <v>0</v>
      </c>
      <c r="X73" s="189">
        <f t="shared" si="37"/>
        <v>0</v>
      </c>
      <c r="Y73" s="189">
        <f t="shared" si="38"/>
        <v>30.062825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258</v>
      </c>
      <c r="P74" s="225"/>
      <c r="Q74" s="225"/>
      <c r="R74" s="221">
        <f>95+145+30+90+10+50</f>
        <v>420</v>
      </c>
      <c r="S74" s="225"/>
      <c r="T74" s="221"/>
      <c r="U74" s="189">
        <f t="shared" si="34"/>
        <v>0</v>
      </c>
      <c r="V74" s="189">
        <f t="shared" si="35"/>
        <v>3.15</v>
      </c>
      <c r="W74" s="189">
        <f t="shared" si="36"/>
        <v>0</v>
      </c>
      <c r="X74" s="189">
        <f t="shared" si="37"/>
        <v>0</v>
      </c>
      <c r="Y74" s="189">
        <f t="shared" si="38"/>
        <v>416.85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1971.83</v>
      </c>
      <c r="S75" s="192"/>
      <c r="T75" s="192">
        <f>SUM(T70:T74)</f>
        <v>22.71</v>
      </c>
      <c r="U75" s="192">
        <f>SUM(U70:U74)</f>
        <v>0.97887931034482778</v>
      </c>
      <c r="V75" s="192">
        <f t="shared" ref="V75:AA75" si="41">SUM(V70:V74)</f>
        <v>14.788725000000001</v>
      </c>
      <c r="W75" s="192">
        <f t="shared" si="41"/>
        <v>0</v>
      </c>
      <c r="X75" s="192">
        <f t="shared" si="41"/>
        <v>0.56775000000000009</v>
      </c>
      <c r="Y75" s="192">
        <f t="shared" si="41"/>
        <v>1957.041275</v>
      </c>
      <c r="Z75" s="192">
        <f t="shared" si="41"/>
        <v>0</v>
      </c>
      <c r="AA75" s="193">
        <f t="shared" si="41"/>
        <v>21.163370689655174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437.37</v>
      </c>
      <c r="Q78" s="137">
        <v>85.98</v>
      </c>
      <c r="R78" s="82">
        <v>7.4999999999999997E-3</v>
      </c>
      <c r="S78" s="194">
        <f>+(P78+Q78)*R78</f>
        <v>3.925125</v>
      </c>
      <c r="T78" s="254">
        <f>+(P78+Q78)-S78</f>
        <v>519.42487500000004</v>
      </c>
      <c r="U78" s="211">
        <v>188.47</v>
      </c>
      <c r="V78" s="112"/>
      <c r="W78" s="113">
        <v>1.4999999999999999E-2</v>
      </c>
      <c r="X78" s="196">
        <f>+(U78+V78)*W78</f>
        <v>2.8270499999999998</v>
      </c>
      <c r="Y78" s="254">
        <f>+(U78+V78)-X78</f>
        <v>185.64294999999998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667.08</v>
      </c>
      <c r="Q79" s="137">
        <v>34</v>
      </c>
      <c r="R79" s="82">
        <v>7.4999999999999997E-3</v>
      </c>
      <c r="S79" s="194">
        <f t="shared" ref="S79:S97" si="43">+(P79+Q79)*R79</f>
        <v>5.2580999999999998</v>
      </c>
      <c r="T79" s="254">
        <f t="shared" ref="T79:T97" si="44">+(P79+Q79)-S79</f>
        <v>695.82190000000003</v>
      </c>
      <c r="U79" s="211">
        <v>127.55</v>
      </c>
      <c r="V79" s="112"/>
      <c r="W79" s="113">
        <v>1.4999999999999999E-2</v>
      </c>
      <c r="X79" s="196">
        <f t="shared" ref="X79:X97" si="45">+(U79+V79)*W79</f>
        <v>1.9132499999999999</v>
      </c>
      <c r="Y79" s="254">
        <f t="shared" ref="Y79:Y97" si="46">+(U79+V79)-X79</f>
        <v>125.63674999999999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256.63</v>
      </c>
      <c r="Q80" s="137">
        <v>11.74</v>
      </c>
      <c r="R80" s="82">
        <v>7.4999999999999997E-3</v>
      </c>
      <c r="S80" s="194">
        <f t="shared" si="43"/>
        <v>2.012775</v>
      </c>
      <c r="T80" s="219">
        <f t="shared" si="44"/>
        <v>266.35722500000003</v>
      </c>
      <c r="U80" s="211">
        <v>85.11</v>
      </c>
      <c r="V80" s="112"/>
      <c r="W80" s="113">
        <v>1.4999999999999999E-2</v>
      </c>
      <c r="X80" s="196">
        <f t="shared" si="45"/>
        <v>1.2766499999999998</v>
      </c>
      <c r="Y80" s="213">
        <f t="shared" si="46"/>
        <v>83.833349999999996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257.41000000000003</v>
      </c>
      <c r="Q81" s="137"/>
      <c r="R81" s="82">
        <v>7.4999999999999997E-3</v>
      </c>
      <c r="S81" s="194">
        <f t="shared" si="43"/>
        <v>1.9305750000000002</v>
      </c>
      <c r="T81" s="219">
        <f t="shared" si="44"/>
        <v>255.47942500000002</v>
      </c>
      <c r="U81" s="211">
        <v>60</v>
      </c>
      <c r="V81" s="112"/>
      <c r="W81" s="113">
        <v>1.4999999999999999E-2</v>
      </c>
      <c r="X81" s="196">
        <f t="shared" si="45"/>
        <v>0.89999999999999991</v>
      </c>
      <c r="Y81" s="217">
        <f t="shared" si="46"/>
        <v>59.1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180.1</v>
      </c>
      <c r="Q82" s="137">
        <v>50.36</v>
      </c>
      <c r="R82" s="82">
        <v>7.4999999999999997E-3</v>
      </c>
      <c r="S82" s="194">
        <f t="shared" si="43"/>
        <v>1.7284499999999998</v>
      </c>
      <c r="T82" s="219">
        <f t="shared" si="44"/>
        <v>228.73154999999997</v>
      </c>
      <c r="U82" s="211">
        <v>26.87</v>
      </c>
      <c r="V82" s="112"/>
      <c r="W82" s="113">
        <v>1.4999999999999999E-2</v>
      </c>
      <c r="X82" s="196">
        <f t="shared" si="45"/>
        <v>0.40305000000000002</v>
      </c>
      <c r="Y82" s="213">
        <f t="shared" si="46"/>
        <v>26.466950000000001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351.46</v>
      </c>
      <c r="Q83" s="137">
        <v>121.91</v>
      </c>
      <c r="R83" s="82">
        <v>7.4999999999999997E-3</v>
      </c>
      <c r="S83" s="194">
        <f t="shared" si="43"/>
        <v>3.5502750000000001</v>
      </c>
      <c r="T83" s="219">
        <f t="shared" si="44"/>
        <v>469.81972500000001</v>
      </c>
      <c r="U83" s="211">
        <v>41.74</v>
      </c>
      <c r="V83" s="112"/>
      <c r="W83" s="113">
        <v>1.4999999999999999E-2</v>
      </c>
      <c r="X83" s="196">
        <f t="shared" si="45"/>
        <v>0.62609999999999999</v>
      </c>
      <c r="Y83" s="213">
        <f t="shared" si="46"/>
        <v>41.113900000000001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>
        <v>26.68</v>
      </c>
      <c r="V84" s="112"/>
      <c r="W84" s="113">
        <v>1.4999999999999999E-2</v>
      </c>
      <c r="X84" s="196">
        <f t="shared" si="45"/>
        <v>0.4002</v>
      </c>
      <c r="Y84" s="217">
        <f t="shared" si="46"/>
        <v>26.279799999999998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>
        <v>149.69</v>
      </c>
      <c r="R85" s="82">
        <v>7.4999999999999997E-3</v>
      </c>
      <c r="S85" s="194">
        <f t="shared" si="43"/>
        <v>1.1226749999999999</v>
      </c>
      <c r="T85" s="258">
        <f t="shared" si="44"/>
        <v>148.56732500000001</v>
      </c>
      <c r="U85" s="112">
        <v>88.09</v>
      </c>
      <c r="V85" s="112"/>
      <c r="W85" s="113">
        <v>1.4999999999999999E-2</v>
      </c>
      <c r="X85" s="196">
        <f t="shared" si="45"/>
        <v>1.32135</v>
      </c>
      <c r="Y85" s="217">
        <f t="shared" si="46"/>
        <v>86.768650000000008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62.36</v>
      </c>
      <c r="Q86" s="87">
        <v>15.88</v>
      </c>
      <c r="R86" s="82">
        <v>7.4999999999999997E-3</v>
      </c>
      <c r="S86" s="194">
        <f t="shared" si="43"/>
        <v>0.58679999999999999</v>
      </c>
      <c r="T86" s="258">
        <f t="shared" si="44"/>
        <v>77.653199999999998</v>
      </c>
      <c r="U86" s="112">
        <v>48.77</v>
      </c>
      <c r="V86" s="112"/>
      <c r="W86" s="113">
        <v>1.4999999999999999E-2</v>
      </c>
      <c r="X86" s="196">
        <f t="shared" si="45"/>
        <v>0.73155000000000003</v>
      </c>
      <c r="Y86" s="217">
        <f t="shared" si="46"/>
        <v>48.038450000000005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777.35</v>
      </c>
      <c r="Q87" s="137"/>
      <c r="R87" s="82">
        <v>7.4999999999999997E-3</v>
      </c>
      <c r="S87" s="194">
        <f t="shared" si="43"/>
        <v>5.8301249999999998</v>
      </c>
      <c r="T87" s="219">
        <f t="shared" si="44"/>
        <v>771.51987500000007</v>
      </c>
      <c r="U87" s="211">
        <v>63</v>
      </c>
      <c r="V87" s="112"/>
      <c r="W87" s="113">
        <v>1.4999999999999999E-2</v>
      </c>
      <c r="X87" s="196">
        <f t="shared" si="45"/>
        <v>0.94499999999999995</v>
      </c>
      <c r="Y87" s="217">
        <f t="shared" si="46"/>
        <v>62.055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1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1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2989.7599999999998</v>
      </c>
      <c r="Q98" s="195">
        <f>SUM(Q78:Q97)</f>
        <v>469.56</v>
      </c>
      <c r="R98" s="111"/>
      <c r="S98" s="195">
        <f>SUM(S78:S97)</f>
        <v>25.944900000000001</v>
      </c>
      <c r="T98" s="195">
        <f>SUM(T78:T97)</f>
        <v>3433.3751000000002</v>
      </c>
      <c r="U98" s="114">
        <f>SUM(U78:U97)</f>
        <v>756.28</v>
      </c>
      <c r="V98" s="114">
        <f>SUM(V78:V97)</f>
        <v>0</v>
      </c>
      <c r="W98" s="112"/>
      <c r="X98" s="197">
        <f>SUM(X78:X97)</f>
        <v>11.344200000000003</v>
      </c>
      <c r="Y98" s="197">
        <f>SUM(Y78:Y97)</f>
        <v>744.93579999999997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84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711.82</v>
      </c>
    </row>
    <row r="105" spans="14:30" x14ac:dyDescent="0.25">
      <c r="N105" s="85"/>
      <c r="Q105" s="215">
        <f t="shared" ref="Q105:Q113" si="50">P79+Q79+U79</f>
        <v>828.63</v>
      </c>
    </row>
    <row r="106" spans="14:30" x14ac:dyDescent="0.25">
      <c r="N106" s="85"/>
      <c r="Q106" s="215">
        <f t="shared" si="50"/>
        <v>353.48</v>
      </c>
    </row>
    <row r="107" spans="14:30" x14ac:dyDescent="0.25">
      <c r="N107" s="85"/>
      <c r="Q107" s="215">
        <f t="shared" si="50"/>
        <v>317.41000000000003</v>
      </c>
    </row>
    <row r="108" spans="14:30" x14ac:dyDescent="0.25">
      <c r="N108" s="85"/>
      <c r="Q108" s="215">
        <f t="shared" si="50"/>
        <v>257.33</v>
      </c>
    </row>
    <row r="109" spans="14:30" x14ac:dyDescent="0.25">
      <c r="N109" s="85"/>
      <c r="Q109" s="215">
        <f t="shared" si="50"/>
        <v>515.11</v>
      </c>
    </row>
    <row r="110" spans="14:30" x14ac:dyDescent="0.25">
      <c r="N110" s="85"/>
      <c r="Q110" s="246">
        <f t="shared" si="50"/>
        <v>26.68</v>
      </c>
    </row>
    <row r="111" spans="14:30" x14ac:dyDescent="0.25">
      <c r="N111" s="85"/>
      <c r="Q111" s="246">
        <f t="shared" si="50"/>
        <v>237.78</v>
      </c>
    </row>
    <row r="112" spans="14:30" x14ac:dyDescent="0.25">
      <c r="N112" s="85"/>
      <c r="Q112" s="246">
        <f t="shared" si="50"/>
        <v>127.00999999999999</v>
      </c>
    </row>
    <row r="113" spans="14:17" x14ac:dyDescent="0.25">
      <c r="N113" s="85"/>
      <c r="Q113" s="215">
        <f t="shared" si="50"/>
        <v>840.35</v>
      </c>
    </row>
    <row r="114" spans="14:17" x14ac:dyDescent="0.25">
      <c r="N114" s="85"/>
      <c r="Q114" s="84"/>
    </row>
    <row r="115" spans="14:17" x14ac:dyDescent="0.25">
      <c r="N115" s="85"/>
    </row>
    <row r="116" spans="14:17" x14ac:dyDescent="0.25">
      <c r="N116" s="76"/>
    </row>
    <row r="118" spans="14:17" x14ac:dyDescent="0.25">
      <c r="N118" s="78"/>
    </row>
    <row r="119" spans="14:17" x14ac:dyDescent="0.25">
      <c r="N119" s="90"/>
    </row>
    <row r="120" spans="14:17" x14ac:dyDescent="0.25">
      <c r="N120" s="92"/>
    </row>
    <row r="121" spans="14:17" x14ac:dyDescent="0.25">
      <c r="N121" s="92"/>
    </row>
    <row r="122" spans="14:17" x14ac:dyDescent="0.25">
      <c r="N122" s="92"/>
    </row>
    <row r="123" spans="14:17" x14ac:dyDescent="0.25">
      <c r="N123" s="92"/>
    </row>
    <row r="124" spans="14:17" x14ac:dyDescent="0.25">
      <c r="N124" s="92"/>
    </row>
    <row r="125" spans="14:17" x14ac:dyDescent="0.25">
      <c r="N125" s="92"/>
    </row>
    <row r="126" spans="14:17" x14ac:dyDescent="0.25">
      <c r="N126" s="90"/>
    </row>
    <row r="127" spans="14:17" x14ac:dyDescent="0.25">
      <c r="N127" s="92"/>
    </row>
    <row r="128" spans="14:17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D63" sqref="D6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>
        <v>5.72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1360.5</v>
      </c>
      <c r="C12" s="15"/>
      <c r="D12" s="56"/>
      <c r="E12" s="16"/>
      <c r="F12" s="56"/>
      <c r="G12" s="56"/>
      <c r="H12" s="17"/>
      <c r="I12" s="83">
        <v>1360.5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166</v>
      </c>
      <c r="Q12" s="158">
        <v>11</v>
      </c>
      <c r="R12" s="159">
        <v>719.35</v>
      </c>
      <c r="S12" s="160"/>
      <c r="T12" s="160">
        <v>87.33</v>
      </c>
      <c r="U12" s="189">
        <f>((T12/U$10)*U$9)</f>
        <v>3.7642241379310351</v>
      </c>
      <c r="V12" s="189">
        <f>R12*V$10</f>
        <v>5.3951250000000002</v>
      </c>
      <c r="W12" s="189">
        <f>+S12*V$10</f>
        <v>0</v>
      </c>
      <c r="X12" s="189">
        <f>+T12*X$10</f>
        <v>2.1832500000000001</v>
      </c>
      <c r="Y12" s="189">
        <f>R12-V12</f>
        <v>713.95487500000002</v>
      </c>
      <c r="Z12" s="189">
        <f>S12-W12</f>
        <v>0</v>
      </c>
      <c r="AA12" s="189">
        <f>T12-U12-X12</f>
        <v>81.38252586206896</v>
      </c>
      <c r="AB12" s="156"/>
    </row>
    <row r="13" spans="1:28" ht="15.75" x14ac:dyDescent="0.25">
      <c r="A13" s="86" t="s">
        <v>74</v>
      </c>
      <c r="B13" s="89">
        <v>2428</v>
      </c>
      <c r="C13" s="15"/>
      <c r="D13" s="56"/>
      <c r="E13" s="16"/>
      <c r="F13" s="56"/>
      <c r="G13" s="56"/>
      <c r="H13" s="17"/>
      <c r="I13" s="83">
        <v>2428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167</v>
      </c>
      <c r="Q13" s="158">
        <v>11</v>
      </c>
      <c r="R13" s="159">
        <v>1682.05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12.615374999999998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1669.4346249999999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13621.08</v>
      </c>
      <c r="C14" s="15"/>
      <c r="D14" s="56"/>
      <c r="E14" s="16"/>
      <c r="F14" s="56"/>
      <c r="G14" s="56"/>
      <c r="H14" s="17"/>
      <c r="I14" s="83">
        <v>13621.08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548</v>
      </c>
      <c r="Q14" s="158">
        <v>2</v>
      </c>
      <c r="R14" s="159">
        <v>1301.6500000000001</v>
      </c>
      <c r="S14" s="160"/>
      <c r="T14" s="161"/>
      <c r="U14" s="189">
        <f t="shared" si="2"/>
        <v>0</v>
      </c>
      <c r="V14" s="189">
        <f t="shared" si="3"/>
        <v>9.7623750000000005</v>
      </c>
      <c r="W14" s="189">
        <f t="shared" si="4"/>
        <v>0</v>
      </c>
      <c r="X14" s="189">
        <f t="shared" si="5"/>
        <v>0</v>
      </c>
      <c r="Y14" s="189">
        <f t="shared" si="6"/>
        <v>1291.8876250000001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549</v>
      </c>
      <c r="Q15" s="158">
        <v>2</v>
      </c>
      <c r="R15" s="159">
        <v>1269.71</v>
      </c>
      <c r="S15" s="160"/>
      <c r="T15" s="161">
        <v>16.61</v>
      </c>
      <c r="U15" s="189">
        <f t="shared" si="2"/>
        <v>0.71594827586206899</v>
      </c>
      <c r="V15" s="189">
        <f t="shared" si="3"/>
        <v>9.5228249999999992</v>
      </c>
      <c r="W15" s="189">
        <f t="shared" si="4"/>
        <v>0</v>
      </c>
      <c r="X15" s="189">
        <f t="shared" si="5"/>
        <v>0.41525000000000001</v>
      </c>
      <c r="Y15" s="189">
        <f t="shared" si="6"/>
        <v>1260.187175</v>
      </c>
      <c r="Z15" s="189">
        <f t="shared" si="6"/>
        <v>0</v>
      </c>
      <c r="AA15" s="189">
        <f t="shared" si="7"/>
        <v>15.478801724137931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530</v>
      </c>
      <c r="Q16" s="158">
        <v>4</v>
      </c>
      <c r="R16" s="159">
        <v>1364.26</v>
      </c>
      <c r="S16" s="160"/>
      <c r="T16" s="161">
        <v>84.34</v>
      </c>
      <c r="U16" s="189">
        <f t="shared" si="2"/>
        <v>3.6353448275862075</v>
      </c>
      <c r="V16" s="189">
        <f t="shared" si="3"/>
        <v>10.231949999999999</v>
      </c>
      <c r="W16" s="189">
        <f t="shared" si="4"/>
        <v>0</v>
      </c>
      <c r="X16" s="189">
        <f t="shared" si="5"/>
        <v>2.1085000000000003</v>
      </c>
      <c r="Y16" s="189">
        <f t="shared" si="6"/>
        <v>1354.0280499999999</v>
      </c>
      <c r="Z16" s="189">
        <f t="shared" si="6"/>
        <v>0</v>
      </c>
      <c r="AA16" s="189">
        <f t="shared" si="7"/>
        <v>78.596155172413788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531</v>
      </c>
      <c r="Q17" s="158">
        <v>4</v>
      </c>
      <c r="R17" s="159">
        <v>2185.1799999999998</v>
      </c>
      <c r="S17" s="160"/>
      <c r="T17" s="161"/>
      <c r="U17" s="189">
        <f t="shared" si="2"/>
        <v>0</v>
      </c>
      <c r="V17" s="189">
        <f t="shared" si="3"/>
        <v>16.388849999999998</v>
      </c>
      <c r="W17" s="189">
        <f t="shared" si="4"/>
        <v>0</v>
      </c>
      <c r="X17" s="189">
        <f t="shared" si="5"/>
        <v>0</v>
      </c>
      <c r="Y17" s="189">
        <f t="shared" si="6"/>
        <v>2168.79115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544</v>
      </c>
      <c r="Q18" s="158">
        <v>14</v>
      </c>
      <c r="R18" s="159">
        <v>34.49</v>
      </c>
      <c r="S18" s="160"/>
      <c r="T18" s="161"/>
      <c r="U18" s="189">
        <f t="shared" si="2"/>
        <v>0</v>
      </c>
      <c r="V18" s="189">
        <f t="shared" si="3"/>
        <v>0.25867499999999999</v>
      </c>
      <c r="W18" s="189">
        <f t="shared" si="4"/>
        <v>0</v>
      </c>
      <c r="X18" s="189">
        <f t="shared" si="5"/>
        <v>0</v>
      </c>
      <c r="Y18" s="189">
        <f t="shared" si="6"/>
        <v>34.231325000000005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2428</v>
      </c>
      <c r="C19" s="95"/>
      <c r="D19" s="94"/>
      <c r="E19" s="96"/>
      <c r="F19" s="94"/>
      <c r="G19" s="94"/>
      <c r="H19" s="98"/>
      <c r="I19" s="99">
        <v>2428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545</v>
      </c>
      <c r="Q19" s="158">
        <v>14</v>
      </c>
      <c r="R19" s="159">
        <v>837.67</v>
      </c>
      <c r="S19" s="160"/>
      <c r="T19" s="161">
        <v>13.4</v>
      </c>
      <c r="U19" s="189">
        <f t="shared" si="2"/>
        <v>0.57758620689655182</v>
      </c>
      <c r="V19" s="189">
        <f t="shared" si="3"/>
        <v>6.2825249999999997</v>
      </c>
      <c r="W19" s="189">
        <f t="shared" si="4"/>
        <v>0</v>
      </c>
      <c r="X19" s="189">
        <f t="shared" si="5"/>
        <v>0.33500000000000002</v>
      </c>
      <c r="Y19" s="189">
        <f t="shared" si="6"/>
        <v>831.38747499999999</v>
      </c>
      <c r="Z19" s="189">
        <f t="shared" si="6"/>
        <v>0</v>
      </c>
      <c r="AA19" s="189">
        <f t="shared" si="7"/>
        <v>12.487413793103448</v>
      </c>
      <c r="AB19" s="156"/>
    </row>
    <row r="20" spans="1:28" ht="15.75" x14ac:dyDescent="0.25">
      <c r="A20" s="93" t="s">
        <v>80</v>
      </c>
      <c r="B20" s="97">
        <f>+B14+B16+B18</f>
        <v>13621.08</v>
      </c>
      <c r="C20" s="95"/>
      <c r="D20" s="94"/>
      <c r="E20" s="96"/>
      <c r="F20" s="94"/>
      <c r="G20" s="94"/>
      <c r="H20" s="98"/>
      <c r="I20" s="99">
        <v>13621.08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179</v>
      </c>
      <c r="Q20" s="158">
        <v>10</v>
      </c>
      <c r="R20" s="159">
        <v>389.74</v>
      </c>
      <c r="S20" s="160"/>
      <c r="T20" s="161">
        <v>53.51</v>
      </c>
      <c r="U20" s="189">
        <f t="shared" si="2"/>
        <v>2.3064655172413793</v>
      </c>
      <c r="V20" s="189">
        <f t="shared" si="3"/>
        <v>2.9230499999999999</v>
      </c>
      <c r="W20" s="189">
        <f t="shared" si="4"/>
        <v>0</v>
      </c>
      <c r="X20" s="189">
        <f t="shared" si="5"/>
        <v>1.33775</v>
      </c>
      <c r="Y20" s="189">
        <f t="shared" si="6"/>
        <v>386.81695000000002</v>
      </c>
      <c r="Z20" s="189">
        <f t="shared" si="6"/>
        <v>0</v>
      </c>
      <c r="AA20" s="189">
        <f t="shared" si="7"/>
        <v>49.86578448275862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>
        <v>10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180</v>
      </c>
      <c r="Q21" s="158">
        <v>10</v>
      </c>
      <c r="R21" s="159">
        <v>986.4</v>
      </c>
      <c r="S21" s="160"/>
      <c r="T21" s="161"/>
      <c r="U21" s="189">
        <f t="shared" si="2"/>
        <v>0</v>
      </c>
      <c r="V21" s="189">
        <f t="shared" si="3"/>
        <v>7.3979999999999997</v>
      </c>
      <c r="W21" s="189">
        <f t="shared" si="4"/>
        <v>0</v>
      </c>
      <c r="X21" s="189">
        <f t="shared" si="5"/>
        <v>0</v>
      </c>
      <c r="Y21" s="189">
        <f t="shared" si="6"/>
        <v>979.00199999999995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57.199999999999996</v>
      </c>
      <c r="C22" s="100"/>
      <c r="D22" s="66"/>
      <c r="E22" s="67"/>
      <c r="F22" s="66"/>
      <c r="G22" s="66"/>
      <c r="H22" s="102"/>
      <c r="I22" s="79">
        <v>57.2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613</v>
      </c>
      <c r="Q22" s="158">
        <v>18</v>
      </c>
      <c r="R22" s="162">
        <v>576.19000000000005</v>
      </c>
      <c r="S22" s="160"/>
      <c r="T22" s="160">
        <v>78.06</v>
      </c>
      <c r="U22" s="189">
        <f t="shared" si="2"/>
        <v>3.3646551724137939</v>
      </c>
      <c r="V22" s="189">
        <f t="shared" si="3"/>
        <v>4.3214250000000005</v>
      </c>
      <c r="W22" s="189">
        <f t="shared" si="4"/>
        <v>0</v>
      </c>
      <c r="X22" s="189">
        <f t="shared" si="5"/>
        <v>1.9515000000000002</v>
      </c>
      <c r="Y22" s="189">
        <f t="shared" si="6"/>
        <v>571.86857500000008</v>
      </c>
      <c r="Z22" s="189">
        <f t="shared" si="6"/>
        <v>0</v>
      </c>
      <c r="AA22" s="189">
        <f t="shared" si="7"/>
        <v>72.743844827586216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>
        <v>614</v>
      </c>
      <c r="Q23" s="158">
        <v>19</v>
      </c>
      <c r="R23" s="162">
        <v>1276.8399999999999</v>
      </c>
      <c r="S23" s="160"/>
      <c r="T23" s="160">
        <v>66.680000000000007</v>
      </c>
      <c r="U23" s="189">
        <f t="shared" si="2"/>
        <v>2.8741379310344835</v>
      </c>
      <c r="V23" s="189">
        <f t="shared" si="3"/>
        <v>9.5762999999999998</v>
      </c>
      <c r="W23" s="189">
        <f t="shared" si="4"/>
        <v>0</v>
      </c>
      <c r="X23" s="189">
        <f t="shared" si="5"/>
        <v>1.6670000000000003</v>
      </c>
      <c r="Y23" s="189">
        <f t="shared" si="6"/>
        <v>1267.2637</v>
      </c>
      <c r="Z23" s="189">
        <f t="shared" si="6"/>
        <v>0</v>
      </c>
      <c r="AA23" s="189">
        <f t="shared" si="7"/>
        <v>62.138862068965523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>
        <v>10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57.199999999999996</v>
      </c>
      <c r="C28" s="95"/>
      <c r="D28" s="94"/>
      <c r="E28" s="96"/>
      <c r="F28" s="94"/>
      <c r="G28" s="94"/>
      <c r="H28" s="98"/>
      <c r="I28" s="99">
        <v>57.2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36.4</v>
      </c>
      <c r="C29" s="100"/>
      <c r="D29" s="66"/>
      <c r="E29" s="67"/>
      <c r="F29" s="66"/>
      <c r="G29" s="66"/>
      <c r="H29" s="102"/>
      <c r="I29" s="79">
        <v>36.4</v>
      </c>
      <c r="J29" s="81">
        <f t="shared" si="0"/>
        <v>0</v>
      </c>
      <c r="K29" s="80">
        <v>36.4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204.20400000000001</v>
      </c>
      <c r="C30" s="100"/>
      <c r="D30" s="66"/>
      <c r="E30" s="67"/>
      <c r="F30" s="66"/>
      <c r="G30" s="66"/>
      <c r="H30" s="102"/>
      <c r="I30" s="79">
        <v>204.2</v>
      </c>
      <c r="J30" s="81">
        <f t="shared" si="0"/>
        <v>4.0000000000190994E-3</v>
      </c>
      <c r="K30" s="80">
        <v>204.2</v>
      </c>
      <c r="L30" s="186">
        <f>K30-B30</f>
        <v>-4.0000000000190994E-3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36.4</v>
      </c>
      <c r="C35" s="95"/>
      <c r="D35" s="94"/>
      <c r="E35" s="96"/>
      <c r="F35" s="94"/>
      <c r="G35" s="94"/>
      <c r="H35" s="98"/>
      <c r="I35" s="99">
        <v>36.4</v>
      </c>
      <c r="J35" s="185">
        <f t="shared" si="0"/>
        <v>0</v>
      </c>
      <c r="K35" s="99">
        <v>36.4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204.20400000000001</v>
      </c>
      <c r="C36" s="95"/>
      <c r="D36" s="94"/>
      <c r="E36" s="96"/>
      <c r="F36" s="94"/>
      <c r="G36" s="94"/>
      <c r="H36" s="98"/>
      <c r="I36" s="99">
        <v>204.2</v>
      </c>
      <c r="J36" s="185">
        <f t="shared" si="0"/>
        <v>4.0000000000190994E-3</v>
      </c>
      <c r="K36" s="99">
        <v>204.2</v>
      </c>
      <c r="L36" s="187">
        <f>K36-B36</f>
        <v>-4.0000000000190994E-3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30</v>
      </c>
      <c r="C37" s="100"/>
      <c r="D37" s="66"/>
      <c r="E37" s="67"/>
      <c r="F37" s="66"/>
      <c r="G37" s="66"/>
      <c r="H37" s="102"/>
      <c r="I37" s="79">
        <v>30</v>
      </c>
      <c r="J37" s="81">
        <f t="shared" si="0"/>
        <v>0</v>
      </c>
      <c r="K37" s="80">
        <v>30.92</v>
      </c>
      <c r="L37" s="186">
        <f>K37-B37</f>
        <v>0.92000000000000171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168.3</v>
      </c>
      <c r="C38" s="100"/>
      <c r="D38" s="66"/>
      <c r="E38" s="67"/>
      <c r="F38" s="66"/>
      <c r="G38" s="66"/>
      <c r="H38" s="102"/>
      <c r="I38" s="79">
        <v>173.46</v>
      </c>
      <c r="J38" s="81">
        <f t="shared" si="0"/>
        <v>-5.1599999999999966</v>
      </c>
      <c r="K38" s="80">
        <v>173.46</v>
      </c>
      <c r="L38" s="186">
        <f>K38-B38</f>
        <v>5.1599999999999966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12623.53</v>
      </c>
      <c r="S42" s="190">
        <f t="shared" si="8"/>
        <v>0</v>
      </c>
      <c r="T42" s="190">
        <f t="shared" si="8"/>
        <v>399.93</v>
      </c>
      <c r="U42" s="190">
        <f t="shared" si="8"/>
        <v>17.238362068965522</v>
      </c>
      <c r="V42" s="190">
        <f t="shared" si="8"/>
        <v>94.676474999999996</v>
      </c>
      <c r="W42" s="190">
        <f t="shared" si="8"/>
        <v>0</v>
      </c>
      <c r="X42" s="190">
        <f t="shared" si="8"/>
        <v>9.9982500000000005</v>
      </c>
      <c r="Y42" s="190">
        <f t="shared" si="8"/>
        <v>12528.853525</v>
      </c>
      <c r="Z42" s="190">
        <f t="shared" si="8"/>
        <v>0</v>
      </c>
      <c r="AA42" s="190">
        <f t="shared" si="8"/>
        <v>372.69338793103452</v>
      </c>
      <c r="AB42" s="166"/>
    </row>
    <row r="43" spans="1:28" ht="15.75" x14ac:dyDescent="0.25">
      <c r="A43" s="93" t="s">
        <v>101</v>
      </c>
      <c r="B43" s="97">
        <f>+B37+B39+B41</f>
        <v>30</v>
      </c>
      <c r="C43" s="95"/>
      <c r="D43" s="94"/>
      <c r="E43" s="96"/>
      <c r="F43" s="94"/>
      <c r="G43" s="94"/>
      <c r="H43" s="98"/>
      <c r="I43" s="99">
        <v>30.92</v>
      </c>
      <c r="J43" s="185">
        <f t="shared" si="0"/>
        <v>-0.92000000000000171</v>
      </c>
      <c r="K43" s="99">
        <v>30.92</v>
      </c>
      <c r="L43" s="187">
        <f>K43-B43</f>
        <v>0.92000000000000171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168.3</v>
      </c>
      <c r="C44" s="95"/>
      <c r="D44" s="94"/>
      <c r="E44" s="96"/>
      <c r="F44" s="94"/>
      <c r="G44" s="94"/>
      <c r="H44" s="98"/>
      <c r="I44" s="99">
        <v>173.46</v>
      </c>
      <c r="J44" s="185">
        <f t="shared" si="0"/>
        <v>-5.1599999999999966</v>
      </c>
      <c r="K44" s="99">
        <v>173.46</v>
      </c>
      <c r="L44" s="187">
        <f>K44-B44</f>
        <v>5.1599999999999966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12623.53</v>
      </c>
      <c r="C46" s="116">
        <v>7.4999999999999997E-3</v>
      </c>
      <c r="D46" s="117">
        <f>B46*C46</f>
        <v>94.676474999999996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12528.853525</v>
      </c>
      <c r="H46" s="173">
        <f>B$6+1</f>
        <v>44753</v>
      </c>
      <c r="I46" s="174">
        <v>12623.53</v>
      </c>
      <c r="J46" s="81">
        <f t="shared" si="0"/>
        <v>0</v>
      </c>
      <c r="K46" s="80">
        <v>12699.02</v>
      </c>
      <c r="L46" s="186">
        <f>K46-G46</f>
        <v>170.16647499999999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206</v>
      </c>
      <c r="B48" s="117">
        <f>R69</f>
        <v>348.34999999999997</v>
      </c>
      <c r="C48" s="116">
        <v>1.4999999999999999E-2</v>
      </c>
      <c r="D48" s="117">
        <f t="shared" si="17"/>
        <v>5.2252499999999991</v>
      </c>
      <c r="E48" s="172">
        <v>0</v>
      </c>
      <c r="F48" s="117">
        <f t="shared" si="15"/>
        <v>0</v>
      </c>
      <c r="G48" s="117">
        <f t="shared" si="16"/>
        <v>343.12474999999995</v>
      </c>
      <c r="H48" s="173">
        <f t="shared" ref="H48:H61" si="19">B$6+1</f>
        <v>44753</v>
      </c>
      <c r="I48" s="176">
        <v>348.35</v>
      </c>
      <c r="J48" s="81">
        <f t="shared" si="0"/>
        <v>0</v>
      </c>
      <c r="K48" s="80"/>
      <c r="L48" s="186">
        <f t="shared" si="18"/>
        <v>343.12474999999995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205</v>
      </c>
      <c r="B49" s="117">
        <f>R75</f>
        <v>3743.09</v>
      </c>
      <c r="C49" s="116">
        <v>7.4999999999999997E-3</v>
      </c>
      <c r="D49" s="117">
        <f t="shared" si="17"/>
        <v>28.073174999999999</v>
      </c>
      <c r="E49" s="172">
        <v>0</v>
      </c>
      <c r="F49" s="117">
        <f t="shared" si="15"/>
        <v>0</v>
      </c>
      <c r="G49" s="117">
        <f t="shared" si="16"/>
        <v>3715.0168250000002</v>
      </c>
      <c r="H49" s="173">
        <f t="shared" si="19"/>
        <v>44753</v>
      </c>
      <c r="I49" s="176">
        <v>3418.09</v>
      </c>
      <c r="J49" s="81">
        <f t="shared" si="0"/>
        <v>325</v>
      </c>
      <c r="K49" s="80"/>
      <c r="L49" s="186">
        <f t="shared" si="18"/>
        <v>3715.0168250000002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1598.3799999999999</v>
      </c>
      <c r="C50" s="116">
        <v>7.4999999999999997E-3</v>
      </c>
      <c r="D50" s="117">
        <f t="shared" si="17"/>
        <v>11.987849999999998</v>
      </c>
      <c r="E50" s="172">
        <v>0</v>
      </c>
      <c r="F50" s="117">
        <f t="shared" si="15"/>
        <v>0</v>
      </c>
      <c r="G50" s="117">
        <f t="shared" si="16"/>
        <v>1586.3921499999999</v>
      </c>
      <c r="H50" s="173">
        <f t="shared" si="19"/>
        <v>44753</v>
      </c>
      <c r="I50" s="175"/>
      <c r="J50" s="81">
        <f t="shared" si="0"/>
        <v>1598.3799999999999</v>
      </c>
      <c r="K50" s="80"/>
      <c r="L50" s="186">
        <f t="shared" si="18"/>
        <v>1586.3921499999999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366.23999999999995</v>
      </c>
      <c r="C51" s="116">
        <v>1.4999999999999999E-2</v>
      </c>
      <c r="D51" s="117">
        <f>+B51*C51</f>
        <v>5.4935999999999989</v>
      </c>
      <c r="E51" s="172">
        <v>0</v>
      </c>
      <c r="F51" s="117">
        <f>D51*E51</f>
        <v>0</v>
      </c>
      <c r="G51" s="117">
        <f t="shared" si="16"/>
        <v>360.74639999999994</v>
      </c>
      <c r="H51" s="173">
        <f t="shared" si="19"/>
        <v>44753</v>
      </c>
      <c r="I51" s="175">
        <v>1964.64</v>
      </c>
      <c r="J51" s="81">
        <f t="shared" si="0"/>
        <v>-1598.4</v>
      </c>
      <c r="K51" s="80"/>
      <c r="L51" s="186">
        <f t="shared" si="18"/>
        <v>360.74639999999994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399.93</v>
      </c>
      <c r="C52" s="116">
        <v>2.5000000000000001E-2</v>
      </c>
      <c r="D52" s="117">
        <f>B52*C52</f>
        <v>9.9982500000000005</v>
      </c>
      <c r="E52" s="172">
        <v>0.05</v>
      </c>
      <c r="F52" s="117">
        <f>(B52/E$10)*E52</f>
        <v>17.238362068965518</v>
      </c>
      <c r="G52" s="117">
        <f>B52-D52-F52</f>
        <v>372.69338793103452</v>
      </c>
      <c r="H52" s="188">
        <f t="shared" si="19"/>
        <v>44753</v>
      </c>
      <c r="I52" s="176">
        <v>399.93</v>
      </c>
      <c r="J52" s="81">
        <f t="shared" si="0"/>
        <v>0</v>
      </c>
      <c r="K52" s="80">
        <v>212.77</v>
      </c>
      <c r="L52" s="186">
        <f>K52-G52</f>
        <v>-159.92338793103451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134.21</v>
      </c>
      <c r="C56" s="116">
        <v>2.5000000000000001E-2</v>
      </c>
      <c r="D56" s="117">
        <f t="shared" si="20"/>
        <v>3.3552500000000003</v>
      </c>
      <c r="E56" s="172">
        <v>0.05</v>
      </c>
      <c r="F56" s="117">
        <f t="shared" si="21"/>
        <v>5.7849137931034491</v>
      </c>
      <c r="G56" s="117">
        <f t="shared" si="22"/>
        <v>125.06983620689655</v>
      </c>
      <c r="H56" s="173">
        <f t="shared" si="19"/>
        <v>44753</v>
      </c>
      <c r="I56" s="176">
        <v>149.21</v>
      </c>
      <c r="J56" s="81">
        <f t="shared" si="0"/>
        <v>-15</v>
      </c>
      <c r="K56" s="80"/>
      <c r="L56" s="186">
        <f t="shared" si="18"/>
        <v>125.06983620689655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158.80985000000001</v>
      </c>
      <c r="E61" s="177"/>
      <c r="F61" s="57">
        <f>SUM(F46:F58)</f>
        <v>23.023275862068967</v>
      </c>
      <c r="G61" s="57">
        <f>SUM(G46:G58)</f>
        <v>19031.896874137932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19031.896874137932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325</v>
      </c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325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38063.793748275864</v>
      </c>
      <c r="H64" s="184"/>
      <c r="I64" s="175"/>
      <c r="J64" s="81">
        <f t="shared" si="0"/>
        <v>0</v>
      </c>
      <c r="K64" s="80"/>
      <c r="L64" s="186">
        <f t="shared" si="18"/>
        <v>38063.793748275864</v>
      </c>
      <c r="M64" s="130"/>
      <c r="N64" s="87">
        <v>1</v>
      </c>
      <c r="O64" s="122" t="s">
        <v>225</v>
      </c>
      <c r="P64" s="87">
        <v>5955</v>
      </c>
      <c r="Q64" s="225"/>
      <c r="R64" s="240">
        <v>6.93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5.1974999999999993E-2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6.8780250000000001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34300.013999999996</v>
      </c>
      <c r="G65" s="22"/>
      <c r="L65" s="132"/>
      <c r="M65" s="131"/>
      <c r="N65" s="87">
        <v>2</v>
      </c>
      <c r="O65" s="122" t="s">
        <v>225</v>
      </c>
      <c r="P65" s="87"/>
      <c r="Q65" s="225"/>
      <c r="R65" s="236">
        <v>21.29</v>
      </c>
      <c r="S65" s="225"/>
      <c r="T65" s="87"/>
      <c r="U65" s="189">
        <f t="shared" si="27"/>
        <v>0</v>
      </c>
      <c r="V65" s="189">
        <f t="shared" si="28"/>
        <v>0.15967499999999998</v>
      </c>
      <c r="W65" s="189">
        <f t="shared" si="29"/>
        <v>0</v>
      </c>
      <c r="X65" s="189">
        <f t="shared" si="30"/>
        <v>0</v>
      </c>
      <c r="Y65" s="189">
        <f t="shared" si="31"/>
        <v>21.130324999999999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225</v>
      </c>
      <c r="P66" s="87"/>
      <c r="Q66" s="225"/>
      <c r="R66" s="240">
        <v>227.66</v>
      </c>
      <c r="S66" s="225"/>
      <c r="T66" s="87"/>
      <c r="U66" s="189">
        <f t="shared" si="27"/>
        <v>0</v>
      </c>
      <c r="V66" s="189">
        <f t="shared" si="28"/>
        <v>1.7074499999999999</v>
      </c>
      <c r="W66" s="189">
        <f t="shared" si="29"/>
        <v>0</v>
      </c>
      <c r="X66" s="189">
        <f t="shared" si="30"/>
        <v>0</v>
      </c>
      <c r="Y66" s="189">
        <f t="shared" si="31"/>
        <v>225.95255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225</v>
      </c>
      <c r="P67" s="87"/>
      <c r="Q67" s="225"/>
      <c r="R67" s="225">
        <f>19.8+10.09</f>
        <v>29.89</v>
      </c>
      <c r="S67" s="225"/>
      <c r="T67" s="87"/>
      <c r="U67" s="189">
        <f t="shared" si="27"/>
        <v>0</v>
      </c>
      <c r="V67" s="189">
        <f t="shared" si="28"/>
        <v>0.22417499999999999</v>
      </c>
      <c r="W67" s="189">
        <f t="shared" si="29"/>
        <v>0</v>
      </c>
      <c r="X67" s="189">
        <f t="shared" si="30"/>
        <v>0</v>
      </c>
      <c r="Y67" s="189">
        <f t="shared" si="31"/>
        <v>29.665825000000002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33849.21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225</v>
      </c>
      <c r="P68" s="87" t="s">
        <v>269</v>
      </c>
      <c r="Q68" s="225"/>
      <c r="R68" s="240">
        <f>45.97+16.61</f>
        <v>62.58</v>
      </c>
      <c r="S68" s="225"/>
      <c r="T68" s="87"/>
      <c r="U68" s="189">
        <f t="shared" si="27"/>
        <v>0</v>
      </c>
      <c r="V68" s="189">
        <f t="shared" si="28"/>
        <v>0.46934999999999999</v>
      </c>
      <c r="W68" s="189">
        <f t="shared" si="29"/>
        <v>0</v>
      </c>
      <c r="X68" s="189">
        <f t="shared" si="30"/>
        <v>0</v>
      </c>
      <c r="Y68" s="189">
        <f t="shared" si="31"/>
        <v>62.11065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34225.42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348.34999999999997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2.6126249999999995</v>
      </c>
      <c r="W69" s="192">
        <f t="shared" si="33"/>
        <v>0</v>
      </c>
      <c r="X69" s="192">
        <f t="shared" si="33"/>
        <v>0</v>
      </c>
      <c r="Y69" s="192">
        <f t="shared" si="33"/>
        <v>345.73737500000004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-376.20999999999913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 t="s">
        <v>271</v>
      </c>
      <c r="Q70" s="225">
        <v>1001</v>
      </c>
      <c r="R70" s="221">
        <f>881.17+2490.08</f>
        <v>3371.25</v>
      </c>
      <c r="S70" s="225"/>
      <c r="T70" s="225">
        <v>78.180000000000007</v>
      </c>
      <c r="U70" s="189">
        <f t="shared" ref="U70:U74" si="34">((T70/U$10)*U$9)</f>
        <v>3.3698275862068972</v>
      </c>
      <c r="V70" s="189">
        <f t="shared" ref="V70:V74" si="35">R70*V$10</f>
        <v>25.284375000000001</v>
      </c>
      <c r="W70" s="189">
        <f t="shared" ref="W70:W74" si="36">+S70*V$10</f>
        <v>0</v>
      </c>
      <c r="X70" s="189">
        <f t="shared" ref="X70:X74" si="37">+T70*X$10</f>
        <v>1.9545000000000003</v>
      </c>
      <c r="Y70" s="189">
        <f t="shared" ref="Y70:Z74" si="38">R70-V70</f>
        <v>3345.9656249999998</v>
      </c>
      <c r="Z70" s="189">
        <f t="shared" si="38"/>
        <v>0</v>
      </c>
      <c r="AA70" s="189">
        <f t="shared" ref="AA70:AA74" si="39">T70-U70-X70</f>
        <v>72.855672413793116</v>
      </c>
      <c r="AB70" s="87"/>
    </row>
    <row r="71" spans="1:30" ht="28.5" customHeight="1" thickBot="1" x14ac:dyDescent="0.3">
      <c r="A71" s="25" t="s">
        <v>56</v>
      </c>
      <c r="B71" s="70">
        <f>(B65-B69)-B72</f>
        <v>74.593999999997322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199</v>
      </c>
      <c r="P71" s="251" t="s">
        <v>270</v>
      </c>
      <c r="Q71" s="225">
        <v>2001</v>
      </c>
      <c r="R71" s="221">
        <v>46.84</v>
      </c>
      <c r="S71" s="225"/>
      <c r="T71" s="225">
        <v>56.03</v>
      </c>
      <c r="U71" s="189">
        <f t="shared" si="34"/>
        <v>2.415086206896552</v>
      </c>
      <c r="V71" s="189">
        <f t="shared" si="35"/>
        <v>0.3513</v>
      </c>
      <c r="W71" s="189">
        <f t="shared" si="36"/>
        <v>0</v>
      </c>
      <c r="X71" s="189">
        <f t="shared" si="37"/>
        <v>1.4007500000000002</v>
      </c>
      <c r="Y71" s="189">
        <f t="shared" si="38"/>
        <v>46.488700000000001</v>
      </c>
      <c r="Z71" s="189">
        <f t="shared" si="38"/>
        <v>0</v>
      </c>
      <c r="AA71" s="189">
        <f t="shared" si="39"/>
        <v>52.214163793103445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167</v>
      </c>
      <c r="P72" s="225"/>
      <c r="Q72" s="225"/>
      <c r="R72" s="221"/>
      <c r="S72" s="225"/>
      <c r="T72" s="225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167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258</v>
      </c>
      <c r="P74" s="251"/>
      <c r="Q74" s="225"/>
      <c r="R74" s="221">
        <f>55+85+35+50+70+30</f>
        <v>325</v>
      </c>
      <c r="S74" s="225"/>
      <c r="T74" s="225"/>
      <c r="U74" s="189">
        <f t="shared" si="34"/>
        <v>0</v>
      </c>
      <c r="V74" s="189">
        <f t="shared" si="35"/>
        <v>2.4375</v>
      </c>
      <c r="W74" s="189">
        <f t="shared" si="36"/>
        <v>0</v>
      </c>
      <c r="X74" s="189">
        <f t="shared" si="37"/>
        <v>0</v>
      </c>
      <c r="Y74" s="189">
        <f t="shared" si="38"/>
        <v>322.5625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3743.09</v>
      </c>
      <c r="S75" s="192"/>
      <c r="T75" s="192">
        <f>SUM(T70:T74)</f>
        <v>134.21</v>
      </c>
      <c r="U75" s="192">
        <f>SUM(U70:U74)</f>
        <v>5.7849137931034491</v>
      </c>
      <c r="V75" s="192">
        <f t="shared" ref="V75:AA75" si="41">SUM(V70:V74)</f>
        <v>28.073174999999999</v>
      </c>
      <c r="W75" s="192">
        <f t="shared" si="41"/>
        <v>0</v>
      </c>
      <c r="X75" s="192">
        <f t="shared" si="41"/>
        <v>3.3552500000000007</v>
      </c>
      <c r="Y75" s="192">
        <f t="shared" si="41"/>
        <v>3715.0168249999997</v>
      </c>
      <c r="Z75" s="192">
        <f t="shared" si="41"/>
        <v>0</v>
      </c>
      <c r="AA75" s="193">
        <f t="shared" si="41"/>
        <v>125.06983620689655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137.36000000000001</v>
      </c>
      <c r="Q78" s="137">
        <v>86.18</v>
      </c>
      <c r="R78" s="82">
        <v>7.4999999999999997E-3</v>
      </c>
      <c r="S78" s="194">
        <f>+(P78+Q78)*R78</f>
        <v>1.67655</v>
      </c>
      <c r="T78" s="254">
        <f>+(P78+Q78)-S78</f>
        <v>221.86345000000003</v>
      </c>
      <c r="U78" s="211">
        <v>113.68</v>
      </c>
      <c r="V78" s="112"/>
      <c r="W78" s="113">
        <v>1.4999999999999999E-2</v>
      </c>
      <c r="X78" s="196">
        <f>+(U78+V78)*W78</f>
        <v>1.7052</v>
      </c>
      <c r="Y78" s="254">
        <f>+(U78+V78)-X78</f>
        <v>111.9748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123.98</v>
      </c>
      <c r="Q79" s="137">
        <v>60</v>
      </c>
      <c r="R79" s="82">
        <v>7.4999999999999997E-3</v>
      </c>
      <c r="S79" s="194">
        <f t="shared" ref="S79:S97" si="43">+(P79+Q79)*R79</f>
        <v>1.37985</v>
      </c>
      <c r="T79" s="254">
        <f t="shared" ref="T79:T97" si="44">+(P79+Q79)-S79</f>
        <v>182.60015000000001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172.08</v>
      </c>
      <c r="Q80" s="137"/>
      <c r="R80" s="82">
        <v>7.4999999999999997E-3</v>
      </c>
      <c r="S80" s="194">
        <f t="shared" si="43"/>
        <v>1.2906</v>
      </c>
      <c r="T80" s="219">
        <f t="shared" si="44"/>
        <v>170.7894</v>
      </c>
      <c r="U80" s="211">
        <v>32.659999999999997</v>
      </c>
      <c r="V80" s="112"/>
      <c r="W80" s="113">
        <v>1.4999999999999999E-2</v>
      </c>
      <c r="X80" s="196">
        <f t="shared" si="45"/>
        <v>0.48989999999999995</v>
      </c>
      <c r="Y80" s="217">
        <f t="shared" si="46"/>
        <v>32.170099999999998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79.59</v>
      </c>
      <c r="Q81" s="137">
        <v>13.31</v>
      </c>
      <c r="R81" s="82">
        <v>7.4999999999999997E-3</v>
      </c>
      <c r="S81" s="194">
        <f t="shared" si="43"/>
        <v>0.69674999999999998</v>
      </c>
      <c r="T81" s="219">
        <f t="shared" si="44"/>
        <v>92.203250000000011</v>
      </c>
      <c r="U81" s="211">
        <v>36.4</v>
      </c>
      <c r="V81" s="112"/>
      <c r="W81" s="113">
        <v>1.4999999999999999E-2</v>
      </c>
      <c r="X81" s="196">
        <f t="shared" si="45"/>
        <v>0.54599999999999993</v>
      </c>
      <c r="Y81" s="254">
        <f t="shared" si="46"/>
        <v>35.853999999999999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111.63</v>
      </c>
      <c r="Q82" s="137">
        <v>30.93</v>
      </c>
      <c r="R82" s="82">
        <v>7.4999999999999997E-3</v>
      </c>
      <c r="S82" s="194">
        <f t="shared" si="43"/>
        <v>1.0691999999999999</v>
      </c>
      <c r="T82" s="254">
        <f t="shared" si="44"/>
        <v>141.49080000000001</v>
      </c>
      <c r="U82" s="211">
        <v>17.45</v>
      </c>
      <c r="V82" s="112"/>
      <c r="W82" s="113">
        <v>1.4999999999999999E-2</v>
      </c>
      <c r="X82" s="196">
        <f t="shared" si="45"/>
        <v>0.26174999999999998</v>
      </c>
      <c r="Y82" s="254">
        <f t="shared" si="46"/>
        <v>17.18825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220.42</v>
      </c>
      <c r="Q83" s="137">
        <v>44.44</v>
      </c>
      <c r="R83" s="82">
        <v>7.4999999999999997E-3</v>
      </c>
      <c r="S83" s="194">
        <f t="shared" si="43"/>
        <v>1.98645</v>
      </c>
      <c r="T83" s="254">
        <f t="shared" si="44"/>
        <v>262.87355000000002</v>
      </c>
      <c r="U83" s="211">
        <v>50</v>
      </c>
      <c r="V83" s="112"/>
      <c r="W83" s="113">
        <v>1.4999999999999999E-2</v>
      </c>
      <c r="X83" s="196">
        <f t="shared" si="45"/>
        <v>0.75</v>
      </c>
      <c r="Y83" s="254">
        <f t="shared" si="46"/>
        <v>49.25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27.79</v>
      </c>
      <c r="Q84" s="87"/>
      <c r="R84" s="82">
        <v>7.4999999999999997E-3</v>
      </c>
      <c r="S84" s="194">
        <f t="shared" si="43"/>
        <v>0.208425</v>
      </c>
      <c r="T84" s="254">
        <f t="shared" si="44"/>
        <v>27.581575000000001</v>
      </c>
      <c r="U84" s="112">
        <v>45.9</v>
      </c>
      <c r="V84" s="112"/>
      <c r="W84" s="113">
        <v>1.4999999999999999E-2</v>
      </c>
      <c r="X84" s="196">
        <f t="shared" si="45"/>
        <v>0.6885</v>
      </c>
      <c r="Y84" s="258">
        <f t="shared" si="46"/>
        <v>45.211500000000001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272.44</v>
      </c>
      <c r="Q85" s="87"/>
      <c r="R85" s="82">
        <v>7.4999999999999997E-3</v>
      </c>
      <c r="S85" s="194">
        <f t="shared" si="43"/>
        <v>2.0432999999999999</v>
      </c>
      <c r="T85" s="254">
        <f t="shared" si="44"/>
        <v>270.39670000000001</v>
      </c>
      <c r="U85" s="112">
        <v>23.71</v>
      </c>
      <c r="V85" s="112"/>
      <c r="W85" s="113">
        <v>1.4999999999999999E-2</v>
      </c>
      <c r="X85" s="196">
        <f t="shared" si="45"/>
        <v>0.35565000000000002</v>
      </c>
      <c r="Y85" s="258">
        <f t="shared" si="46"/>
        <v>23.35435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124.08</v>
      </c>
      <c r="Q87" s="87">
        <v>94.15</v>
      </c>
      <c r="R87" s="82">
        <v>7.4999999999999997E-3</v>
      </c>
      <c r="S87" s="194">
        <f t="shared" si="43"/>
        <v>1.636725</v>
      </c>
      <c r="T87" s="219">
        <f t="shared" si="44"/>
        <v>216.59327500000001</v>
      </c>
      <c r="U87" s="112">
        <v>46.44</v>
      </c>
      <c r="V87" s="112"/>
      <c r="W87" s="113">
        <v>1.4999999999999999E-2</v>
      </c>
      <c r="X87" s="196">
        <f t="shared" si="45"/>
        <v>0.69659999999999989</v>
      </c>
      <c r="Y87" s="217">
        <f t="shared" si="46"/>
        <v>45.743400000000001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217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1269.3699999999999</v>
      </c>
      <c r="Q98" s="195">
        <f>SUM(Q78:Q97)</f>
        <v>329.01</v>
      </c>
      <c r="R98" s="111"/>
      <c r="S98" s="195">
        <f>SUM(S78:S97)</f>
        <v>11.98785</v>
      </c>
      <c r="T98" s="195">
        <f>SUM(T78:T97)</f>
        <v>1586.3921499999999</v>
      </c>
      <c r="U98" s="114">
        <f>SUM(U78:U97)</f>
        <v>366.23999999999995</v>
      </c>
      <c r="V98" s="114">
        <f>SUM(V78:V97)</f>
        <v>0</v>
      </c>
      <c r="W98" s="112"/>
      <c r="X98" s="197">
        <f>SUM(X78:X97)</f>
        <v>5.4935999999999998</v>
      </c>
      <c r="Y98" s="197">
        <f>SUM(Y78:Y97)</f>
        <v>360.74639999999999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337.22</v>
      </c>
      <c r="Q101" s="84"/>
    </row>
    <row r="102" spans="14:30" x14ac:dyDescent="0.25">
      <c r="N102" s="85"/>
      <c r="O102" s="84"/>
      <c r="P102" s="84"/>
      <c r="Q102" s="84"/>
    </row>
    <row r="103" spans="14:30" x14ac:dyDescent="0.25">
      <c r="N103" s="85"/>
      <c r="O103" s="84"/>
      <c r="P103" s="233"/>
      <c r="Q103" s="84"/>
    </row>
    <row r="104" spans="14:30" x14ac:dyDescent="0.25">
      <c r="N104" s="85"/>
      <c r="O104" s="84"/>
      <c r="P104" s="215">
        <f>P79+Q79+U79</f>
        <v>183.98000000000002</v>
      </c>
      <c r="Q104" s="84"/>
    </row>
    <row r="105" spans="14:30" x14ac:dyDescent="0.25">
      <c r="N105" s="85"/>
      <c r="O105" s="84"/>
      <c r="P105" s="215">
        <f>P80+Q80+U80</f>
        <v>204.74</v>
      </c>
      <c r="Q105" s="84"/>
    </row>
    <row r="106" spans="14:30" x14ac:dyDescent="0.25">
      <c r="N106" s="85"/>
      <c r="O106" s="84"/>
      <c r="P106" s="215">
        <f>P81+U81+Q81</f>
        <v>129.30000000000001</v>
      </c>
      <c r="Q106" s="84"/>
    </row>
    <row r="107" spans="14:30" x14ac:dyDescent="0.25">
      <c r="N107" s="85"/>
      <c r="O107" s="84"/>
      <c r="P107" s="215">
        <f t="shared" ref="P107:P112" si="50">P82+Q82+U82</f>
        <v>160.01</v>
      </c>
      <c r="Q107" s="84"/>
    </row>
    <row r="108" spans="14:30" x14ac:dyDescent="0.25">
      <c r="N108" s="85"/>
      <c r="O108" s="84"/>
      <c r="P108" s="215">
        <f>P83+Q83+U83</f>
        <v>314.86</v>
      </c>
      <c r="Q108" s="84"/>
    </row>
    <row r="109" spans="14:30" x14ac:dyDescent="0.25">
      <c r="N109" s="85"/>
      <c r="O109" s="84"/>
      <c r="P109" s="246">
        <f t="shared" si="50"/>
        <v>73.69</v>
      </c>
      <c r="Q109" s="84"/>
    </row>
    <row r="110" spans="14:30" x14ac:dyDescent="0.25">
      <c r="N110" s="85"/>
      <c r="O110" s="84"/>
      <c r="P110" s="246">
        <f t="shared" si="50"/>
        <v>296.14999999999998</v>
      </c>
      <c r="Q110" s="84"/>
    </row>
    <row r="111" spans="14:30" x14ac:dyDescent="0.25">
      <c r="N111" s="85"/>
      <c r="O111" s="84"/>
      <c r="P111" s="84">
        <f>P86+Q86+U86</f>
        <v>0</v>
      </c>
      <c r="Q111" s="84"/>
    </row>
    <row r="112" spans="14:30" x14ac:dyDescent="0.25">
      <c r="N112" s="85"/>
      <c r="P112" s="85">
        <f t="shared" si="50"/>
        <v>264.67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1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30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1126.7</v>
      </c>
      <c r="C12" s="15"/>
      <c r="D12" s="56"/>
      <c r="E12" s="16"/>
      <c r="F12" s="56"/>
      <c r="G12" s="56"/>
      <c r="H12" s="17"/>
      <c r="I12" s="83">
        <v>1127.2</v>
      </c>
      <c r="J12" s="81">
        <f>B12-I12</f>
        <v>-0.5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168</v>
      </c>
      <c r="Q12" s="158">
        <v>11</v>
      </c>
      <c r="R12" s="159">
        <v>1717.27</v>
      </c>
      <c r="S12" s="160"/>
      <c r="T12" s="160">
        <v>58.08</v>
      </c>
      <c r="U12" s="189">
        <f>((T12/U$10)*U$9)</f>
        <v>2.5034482758620693</v>
      </c>
      <c r="V12" s="189">
        <f>R12*V$10</f>
        <v>12.879524999999999</v>
      </c>
      <c r="W12" s="189">
        <f>+S12*V$10</f>
        <v>0</v>
      </c>
      <c r="X12" s="189">
        <f>+T12*X$10</f>
        <v>1.452</v>
      </c>
      <c r="Y12" s="189">
        <f>R12-V12</f>
        <v>1704.3904749999999</v>
      </c>
      <c r="Z12" s="189">
        <f>S12-W12</f>
        <v>0</v>
      </c>
      <c r="AA12" s="189">
        <f>T12-U12-X12</f>
        <v>54.12455172413793</v>
      </c>
      <c r="AB12" s="156"/>
    </row>
    <row r="13" spans="1:28" ht="15.75" x14ac:dyDescent="0.25">
      <c r="A13" s="86" t="s">
        <v>74</v>
      </c>
      <c r="B13" s="89">
        <v>1999</v>
      </c>
      <c r="C13" s="15"/>
      <c r="D13" s="56"/>
      <c r="E13" s="16"/>
      <c r="F13" s="56"/>
      <c r="G13" s="56"/>
      <c r="H13" s="17"/>
      <c r="I13" s="83">
        <v>1999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190</v>
      </c>
      <c r="P13" s="158">
        <v>169</v>
      </c>
      <c r="Q13" s="158">
        <v>11</v>
      </c>
      <c r="R13" s="159">
        <v>1682.06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12.615449999999999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1669.4445499999999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11214.390000000001</v>
      </c>
      <c r="C14" s="15"/>
      <c r="D14" s="56"/>
      <c r="E14" s="16"/>
      <c r="F14" s="56"/>
      <c r="G14" s="56"/>
      <c r="H14" s="17"/>
      <c r="I14" s="83">
        <v>11214.39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550</v>
      </c>
      <c r="Q14" s="158">
        <v>2</v>
      </c>
      <c r="R14" s="159">
        <v>727.26</v>
      </c>
      <c r="S14" s="160"/>
      <c r="T14" s="161">
        <v>35.53</v>
      </c>
      <c r="U14" s="189">
        <f t="shared" si="2"/>
        <v>1.5314655172413796</v>
      </c>
      <c r="V14" s="189">
        <f t="shared" si="3"/>
        <v>5.4544499999999996</v>
      </c>
      <c r="W14" s="189">
        <f t="shared" si="4"/>
        <v>0</v>
      </c>
      <c r="X14" s="189">
        <f t="shared" si="5"/>
        <v>0.8882500000000001</v>
      </c>
      <c r="Y14" s="189">
        <f t="shared" si="6"/>
        <v>721.80555000000004</v>
      </c>
      <c r="Z14" s="189">
        <f t="shared" si="6"/>
        <v>0</v>
      </c>
      <c r="AA14" s="189">
        <f t="shared" si="7"/>
        <v>33.110284482758622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551</v>
      </c>
      <c r="Q15" s="158">
        <v>2</v>
      </c>
      <c r="R15" s="159">
        <v>1057.5899999999999</v>
      </c>
      <c r="S15" s="160"/>
      <c r="T15" s="161">
        <v>41.78</v>
      </c>
      <c r="U15" s="189">
        <f t="shared" si="2"/>
        <v>1.8008620689655175</v>
      </c>
      <c r="V15" s="189">
        <f t="shared" si="3"/>
        <v>7.9319249999999988</v>
      </c>
      <c r="W15" s="189">
        <f t="shared" si="4"/>
        <v>0</v>
      </c>
      <c r="X15" s="189">
        <f t="shared" si="5"/>
        <v>1.0445</v>
      </c>
      <c r="Y15" s="189">
        <f t="shared" si="6"/>
        <v>1049.6580749999998</v>
      </c>
      <c r="Z15" s="189">
        <f t="shared" si="6"/>
        <v>0</v>
      </c>
      <c r="AA15" s="189">
        <f t="shared" si="7"/>
        <v>38.934637931034487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532</v>
      </c>
      <c r="Q16" s="158">
        <v>4</v>
      </c>
      <c r="R16" s="159">
        <v>1264.53</v>
      </c>
      <c r="S16" s="160"/>
      <c r="T16" s="161"/>
      <c r="U16" s="189">
        <f t="shared" si="2"/>
        <v>0</v>
      </c>
      <c r="V16" s="189">
        <f t="shared" si="3"/>
        <v>9.4839749999999992</v>
      </c>
      <c r="W16" s="189">
        <f t="shared" si="4"/>
        <v>0</v>
      </c>
      <c r="X16" s="189">
        <f t="shared" si="5"/>
        <v>0</v>
      </c>
      <c r="Y16" s="189">
        <f t="shared" si="6"/>
        <v>1255.0460249999999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546</v>
      </c>
      <c r="Q17" s="158">
        <v>14</v>
      </c>
      <c r="R17" s="159">
        <v>131.9</v>
      </c>
      <c r="S17" s="160"/>
      <c r="T17" s="161"/>
      <c r="U17" s="189">
        <f t="shared" si="2"/>
        <v>0</v>
      </c>
      <c r="V17" s="189">
        <f t="shared" si="3"/>
        <v>0.98924999999999996</v>
      </c>
      <c r="W17" s="189">
        <f t="shared" si="4"/>
        <v>0</v>
      </c>
      <c r="X17" s="189">
        <f t="shared" si="5"/>
        <v>0</v>
      </c>
      <c r="Y17" s="189">
        <f t="shared" si="6"/>
        <v>130.91075000000001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181</v>
      </c>
      <c r="Q18" s="158">
        <v>10</v>
      </c>
      <c r="R18" s="159">
        <v>556</v>
      </c>
      <c r="S18" s="160"/>
      <c r="T18" s="161"/>
      <c r="U18" s="189">
        <f t="shared" si="2"/>
        <v>0</v>
      </c>
      <c r="V18" s="189">
        <f t="shared" si="3"/>
        <v>4.17</v>
      </c>
      <c r="W18" s="189">
        <f t="shared" si="4"/>
        <v>0</v>
      </c>
      <c r="X18" s="189">
        <f t="shared" si="5"/>
        <v>0</v>
      </c>
      <c r="Y18" s="189">
        <f t="shared" si="6"/>
        <v>551.83000000000004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1999</v>
      </c>
      <c r="C19" s="95"/>
      <c r="D19" s="94"/>
      <c r="E19" s="96"/>
      <c r="F19" s="94"/>
      <c r="G19" s="94"/>
      <c r="H19" s="98"/>
      <c r="I19" s="99">
        <v>1999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182</v>
      </c>
      <c r="Q19" s="158">
        <v>10</v>
      </c>
      <c r="R19" s="159">
        <v>1039.3499999999999</v>
      </c>
      <c r="S19" s="160"/>
      <c r="T19" s="161">
        <v>86.81</v>
      </c>
      <c r="U19" s="189">
        <f t="shared" si="2"/>
        <v>3.7418103448275866</v>
      </c>
      <c r="V19" s="189">
        <f t="shared" si="3"/>
        <v>7.7951249999999987</v>
      </c>
      <c r="W19" s="189">
        <f t="shared" si="4"/>
        <v>0</v>
      </c>
      <c r="X19" s="189">
        <f t="shared" si="5"/>
        <v>2.1702500000000002</v>
      </c>
      <c r="Y19" s="189">
        <f t="shared" si="6"/>
        <v>1031.5548749999998</v>
      </c>
      <c r="Z19" s="189">
        <f t="shared" si="6"/>
        <v>0</v>
      </c>
      <c r="AA19" s="189">
        <f t="shared" si="7"/>
        <v>80.897939655172422</v>
      </c>
      <c r="AB19" s="156"/>
    </row>
    <row r="20" spans="1:28" ht="15.75" x14ac:dyDescent="0.25">
      <c r="A20" s="93" t="s">
        <v>80</v>
      </c>
      <c r="B20" s="97">
        <f>+B14+B16+B18</f>
        <v>11214.390000000001</v>
      </c>
      <c r="C20" s="95"/>
      <c r="D20" s="94"/>
      <c r="E20" s="96"/>
      <c r="F20" s="94"/>
      <c r="G20" s="94"/>
      <c r="H20" s="98"/>
      <c r="I20" s="99">
        <v>11214.39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615</v>
      </c>
      <c r="Q20" s="158">
        <v>18</v>
      </c>
      <c r="R20" s="244">
        <v>853.56</v>
      </c>
      <c r="S20" s="160"/>
      <c r="T20" s="161"/>
      <c r="U20" s="189">
        <f t="shared" si="2"/>
        <v>0</v>
      </c>
      <c r="V20" s="189">
        <f t="shared" si="3"/>
        <v>6.4016999999999991</v>
      </c>
      <c r="W20" s="189">
        <f t="shared" si="4"/>
        <v>0</v>
      </c>
      <c r="X20" s="189">
        <f t="shared" si="5"/>
        <v>0</v>
      </c>
      <c r="Y20" s="189">
        <f t="shared" si="6"/>
        <v>847.15829999999994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616</v>
      </c>
      <c r="Q21" s="158">
        <v>18</v>
      </c>
      <c r="R21" s="244">
        <v>761.65</v>
      </c>
      <c r="S21" s="160"/>
      <c r="T21" s="247">
        <v>66.48</v>
      </c>
      <c r="U21" s="189">
        <f t="shared" si="2"/>
        <v>2.8655172413793109</v>
      </c>
      <c r="V21" s="189">
        <f t="shared" si="3"/>
        <v>5.7123749999999998</v>
      </c>
      <c r="W21" s="189">
        <f t="shared" si="4"/>
        <v>0</v>
      </c>
      <c r="X21" s="189">
        <f t="shared" si="5"/>
        <v>1.6620000000000001</v>
      </c>
      <c r="Y21" s="189">
        <f t="shared" si="6"/>
        <v>755.93762500000003</v>
      </c>
      <c r="Z21" s="189">
        <f t="shared" si="6"/>
        <v>0</v>
      </c>
      <c r="AA21" s="189">
        <f t="shared" si="7"/>
        <v>61.952482758620697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f>9.1+36.87</f>
        <v>45.97</v>
      </c>
      <c r="C29" s="100"/>
      <c r="D29" s="66"/>
      <c r="E29" s="67"/>
      <c r="F29" s="66"/>
      <c r="G29" s="66"/>
      <c r="H29" s="102"/>
      <c r="I29" s="79">
        <v>45.97</v>
      </c>
      <c r="J29" s="81">
        <f t="shared" si="0"/>
        <v>0</v>
      </c>
      <c r="K29" s="80">
        <v>45.97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257.89170000000001</v>
      </c>
      <c r="C30" s="100"/>
      <c r="D30" s="66"/>
      <c r="E30" s="67"/>
      <c r="F30" s="66"/>
      <c r="G30" s="66"/>
      <c r="H30" s="102"/>
      <c r="I30" s="79">
        <v>257.89</v>
      </c>
      <c r="J30" s="81">
        <f t="shared" si="0"/>
        <v>1.7000000000280124E-3</v>
      </c>
      <c r="K30" s="80">
        <v>257.89</v>
      </c>
      <c r="L30" s="186">
        <f>K30-B30</f>
        <v>-1.7000000000280124E-3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45.97</v>
      </c>
      <c r="C35" s="95"/>
      <c r="D35" s="94"/>
      <c r="E35" s="96"/>
      <c r="F35" s="94"/>
      <c r="G35" s="94"/>
      <c r="H35" s="98"/>
      <c r="I35" s="99">
        <v>45.97</v>
      </c>
      <c r="J35" s="185">
        <f t="shared" si="0"/>
        <v>0</v>
      </c>
      <c r="K35" s="99">
        <v>45.97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257.89170000000001</v>
      </c>
      <c r="C36" s="95"/>
      <c r="D36" s="94"/>
      <c r="E36" s="96"/>
      <c r="F36" s="94"/>
      <c r="G36" s="94"/>
      <c r="H36" s="98"/>
      <c r="I36" s="99">
        <v>257.89</v>
      </c>
      <c r="J36" s="185">
        <f t="shared" si="0"/>
        <v>1.7000000000280124E-3</v>
      </c>
      <c r="K36" s="99">
        <v>257.89</v>
      </c>
      <c r="L36" s="187">
        <f t="shared" si="8"/>
        <v>-1.7000000000280124E-3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9.01</v>
      </c>
      <c r="C37" s="100"/>
      <c r="D37" s="66"/>
      <c r="E37" s="67"/>
      <c r="F37" s="66"/>
      <c r="G37" s="66"/>
      <c r="H37" s="102"/>
      <c r="I37" s="79">
        <v>9.01</v>
      </c>
      <c r="J37" s="81">
        <f t="shared" si="0"/>
        <v>0</v>
      </c>
      <c r="K37" s="80">
        <v>9.01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50.546100000000003</v>
      </c>
      <c r="C38" s="100"/>
      <c r="D38" s="66"/>
      <c r="E38" s="67"/>
      <c r="F38" s="66"/>
      <c r="G38" s="66"/>
      <c r="H38" s="102"/>
      <c r="I38" s="79">
        <v>50.55</v>
      </c>
      <c r="J38" s="81">
        <f t="shared" si="0"/>
        <v>-3.8999999999944635E-3</v>
      </c>
      <c r="K38" s="80">
        <v>50.55</v>
      </c>
      <c r="L38" s="186">
        <f t="shared" si="8"/>
        <v>3.8999999999944635E-3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9791.1699999999983</v>
      </c>
      <c r="S42" s="190">
        <f t="shared" si="9"/>
        <v>0</v>
      </c>
      <c r="T42" s="190">
        <f t="shared" si="9"/>
        <v>288.68</v>
      </c>
      <c r="U42" s="190">
        <f t="shared" si="9"/>
        <v>12.443103448275863</v>
      </c>
      <c r="V42" s="190">
        <f t="shared" si="9"/>
        <v>73.433774999999997</v>
      </c>
      <c r="W42" s="190">
        <f t="shared" si="9"/>
        <v>0</v>
      </c>
      <c r="X42" s="190">
        <f t="shared" si="9"/>
        <v>7.2170000000000005</v>
      </c>
      <c r="Y42" s="190">
        <f t="shared" si="9"/>
        <v>9717.7362249999987</v>
      </c>
      <c r="Z42" s="190">
        <f t="shared" si="9"/>
        <v>0</v>
      </c>
      <c r="AA42" s="190">
        <f t="shared" si="9"/>
        <v>269.01989655172417</v>
      </c>
      <c r="AB42" s="166"/>
    </row>
    <row r="43" spans="1:28" ht="15.75" x14ac:dyDescent="0.25">
      <c r="A43" s="93" t="s">
        <v>101</v>
      </c>
      <c r="B43" s="97">
        <f>+B37+B39+B41</f>
        <v>9.01</v>
      </c>
      <c r="C43" s="95"/>
      <c r="D43" s="94"/>
      <c r="E43" s="96"/>
      <c r="F43" s="94"/>
      <c r="G43" s="94"/>
      <c r="H43" s="98"/>
      <c r="I43" s="99">
        <v>9.01</v>
      </c>
      <c r="J43" s="185">
        <f t="shared" si="0"/>
        <v>0</v>
      </c>
      <c r="K43" s="99">
        <v>9.01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50.546100000000003</v>
      </c>
      <c r="C44" s="95"/>
      <c r="D44" s="94"/>
      <c r="E44" s="96"/>
      <c r="F44" s="94"/>
      <c r="G44" s="94"/>
      <c r="H44" s="98"/>
      <c r="I44" s="99">
        <v>50.55</v>
      </c>
      <c r="J44" s="185">
        <f t="shared" si="0"/>
        <v>-3.8999999999944635E-3</v>
      </c>
      <c r="K44" s="99">
        <v>50.55</v>
      </c>
      <c r="L44" s="187">
        <f>K44-B44</f>
        <v>3.8999999999944635E-3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9791.1699999999983</v>
      </c>
      <c r="C46" s="116">
        <v>7.4999999999999997E-3</v>
      </c>
      <c r="D46" s="117">
        <f>B46*C46</f>
        <v>73.433774999999983</v>
      </c>
      <c r="E46" s="172">
        <v>0</v>
      </c>
      <c r="F46" s="117">
        <f t="shared" ref="F46:F50" si="16">D46*E46</f>
        <v>0</v>
      </c>
      <c r="G46" s="117">
        <f t="shared" ref="G46:G51" si="17">B46-D46-F46</f>
        <v>9717.7362249999987</v>
      </c>
      <c r="H46" s="173">
        <f>B$6+1</f>
        <v>44754</v>
      </c>
      <c r="I46" s="174">
        <v>9678.9699999999993</v>
      </c>
      <c r="J46" s="81">
        <f t="shared" si="0"/>
        <v>112.19999999999891</v>
      </c>
      <c r="K46" s="80">
        <v>9862.57</v>
      </c>
      <c r="L46" s="186">
        <f t="shared" ref="L46:L64" si="18">+G46-K46</f>
        <v>-144.83377500000097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99.240000000000009</v>
      </c>
      <c r="C48" s="116">
        <v>7.4999999999999997E-3</v>
      </c>
      <c r="D48" s="117">
        <f t="shared" si="19"/>
        <v>0.74430000000000007</v>
      </c>
      <c r="E48" s="172">
        <v>0</v>
      </c>
      <c r="F48" s="117">
        <f t="shared" si="16"/>
        <v>0</v>
      </c>
      <c r="G48" s="117">
        <f t="shared" si="17"/>
        <v>98.495700000000014</v>
      </c>
      <c r="H48" s="173">
        <f t="shared" ref="H48:H61" si="20">B$6+1</f>
        <v>44754</v>
      </c>
      <c r="I48" s="219">
        <v>99.24</v>
      </c>
      <c r="J48" s="81">
        <f t="shared" si="0"/>
        <v>0</v>
      </c>
      <c r="K48" s="80"/>
      <c r="L48" s="186">
        <f t="shared" si="18"/>
        <v>98.495700000000014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205</v>
      </c>
      <c r="B49" s="117">
        <f>R75</f>
        <v>2887.45</v>
      </c>
      <c r="C49" s="116">
        <v>7.4999999999999997E-3</v>
      </c>
      <c r="D49" s="117">
        <f t="shared" si="19"/>
        <v>21.655874999999998</v>
      </c>
      <c r="E49" s="172">
        <v>0</v>
      </c>
      <c r="F49" s="117">
        <f t="shared" si="16"/>
        <v>0</v>
      </c>
      <c r="G49" s="117">
        <f t="shared" si="17"/>
        <v>2865.7941249999999</v>
      </c>
      <c r="H49" s="173">
        <f t="shared" si="20"/>
        <v>44754</v>
      </c>
      <c r="I49" s="176">
        <v>2289.67</v>
      </c>
      <c r="J49" s="81">
        <f t="shared" si="0"/>
        <v>597.77999999999975</v>
      </c>
      <c r="K49" s="80"/>
      <c r="L49" s="186">
        <f t="shared" si="18"/>
        <v>2865.7941249999999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1383.29</v>
      </c>
      <c r="C50" s="116">
        <v>7.4999999999999997E-3</v>
      </c>
      <c r="D50" s="117">
        <f t="shared" si="19"/>
        <v>10.374675</v>
      </c>
      <c r="E50" s="172">
        <v>0</v>
      </c>
      <c r="F50" s="117">
        <f t="shared" si="16"/>
        <v>0</v>
      </c>
      <c r="G50" s="117">
        <f t="shared" si="17"/>
        <v>1372.9153249999999</v>
      </c>
      <c r="H50" s="173">
        <f t="shared" si="20"/>
        <v>44754</v>
      </c>
      <c r="I50" s="175"/>
      <c r="J50" s="81">
        <f t="shared" si="0"/>
        <v>1383.29</v>
      </c>
      <c r="K50" s="80">
        <v>1372.92</v>
      </c>
      <c r="L50" s="186">
        <f t="shared" si="18"/>
        <v>-4.6750000001338776E-3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430.11</v>
      </c>
      <c r="C51" s="116">
        <v>1.4999999999999999E-2</v>
      </c>
      <c r="D51" s="117">
        <f>+B51*C51</f>
        <v>6.4516499999999999</v>
      </c>
      <c r="E51" s="172">
        <v>0</v>
      </c>
      <c r="F51" s="117">
        <f>D51*E51</f>
        <v>0</v>
      </c>
      <c r="G51" s="117">
        <f t="shared" si="17"/>
        <v>423.65835000000004</v>
      </c>
      <c r="H51" s="173">
        <f t="shared" si="20"/>
        <v>44754</v>
      </c>
      <c r="I51" s="175">
        <v>1815.2</v>
      </c>
      <c r="J51" s="81">
        <f t="shared" si="0"/>
        <v>-1385.0900000000001</v>
      </c>
      <c r="K51" s="80">
        <v>423.66</v>
      </c>
      <c r="L51" s="186">
        <f t="shared" si="18"/>
        <v>-1.64999999998372E-3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288.68</v>
      </c>
      <c r="C52" s="116">
        <v>2.5000000000000001E-2</v>
      </c>
      <c r="D52" s="117">
        <f>B52*C52</f>
        <v>7.2170000000000005</v>
      </c>
      <c r="E52" s="172">
        <v>0.05</v>
      </c>
      <c r="F52" s="117">
        <f>(B52/E$10)*E52</f>
        <v>12.443103448275863</v>
      </c>
      <c r="G52" s="117">
        <f>B52-D52-F52</f>
        <v>269.01989655172417</v>
      </c>
      <c r="H52" s="188">
        <f t="shared" si="20"/>
        <v>44754</v>
      </c>
      <c r="I52" s="176">
        <v>288.68</v>
      </c>
      <c r="J52" s="81">
        <f t="shared" si="0"/>
        <v>0</v>
      </c>
      <c r="K52" s="80">
        <v>132.94999999999999</v>
      </c>
      <c r="L52" s="186">
        <f t="shared" si="18"/>
        <v>136.06989655172418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209</v>
      </c>
      <c r="B56" s="117">
        <f>T75</f>
        <v>212.47</v>
      </c>
      <c r="C56" s="116">
        <v>2.5000000000000001E-2</v>
      </c>
      <c r="D56" s="117">
        <f t="shared" si="21"/>
        <v>5.31175</v>
      </c>
      <c r="E56" s="172">
        <v>0.05</v>
      </c>
      <c r="F56" s="117">
        <f t="shared" si="22"/>
        <v>9.1581896551724142</v>
      </c>
      <c r="G56" s="117">
        <f t="shared" si="23"/>
        <v>198.0000603448276</v>
      </c>
      <c r="H56" s="173">
        <f t="shared" si="20"/>
        <v>44754</v>
      </c>
      <c r="I56" s="176"/>
      <c r="J56" s="81">
        <f t="shared" si="0"/>
        <v>212.47</v>
      </c>
      <c r="K56" s="80"/>
      <c r="L56" s="186">
        <f t="shared" si="18"/>
        <v>198.0000603448276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125.18902499999997</v>
      </c>
      <c r="E61" s="177"/>
      <c r="F61" s="57">
        <f>SUM(F46:F58)</f>
        <v>21.601293103448278</v>
      </c>
      <c r="G61" s="57">
        <f>SUM(G46:G58)</f>
        <v>14945.619681896551</v>
      </c>
      <c r="H61" s="173">
        <f t="shared" si="20"/>
        <v>44754</v>
      </c>
      <c r="I61" s="175"/>
      <c r="J61" s="81">
        <f t="shared" si="0"/>
        <v>0</v>
      </c>
      <c r="K61" s="80"/>
      <c r="L61" s="186">
        <f t="shared" si="18"/>
        <v>14945.619681896551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>
        <v>0</v>
      </c>
      <c r="G62" s="57"/>
      <c r="H62" s="173">
        <f>B$6+1</f>
        <v>44754</v>
      </c>
      <c r="I62" s="176"/>
      <c r="J62" s="81">
        <f t="shared" si="0"/>
        <v>420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259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29891.239363793102</v>
      </c>
      <c r="H64" s="184"/>
      <c r="I64" s="175"/>
      <c r="J64" s="81">
        <f t="shared" si="0"/>
        <v>0</v>
      </c>
      <c r="K64" s="80"/>
      <c r="L64" s="186">
        <f t="shared" si="18"/>
        <v>29891.239363793102</v>
      </c>
      <c r="M64" s="130"/>
      <c r="N64" s="87">
        <v>1</v>
      </c>
      <c r="O64" s="122" t="s">
        <v>251</v>
      </c>
      <c r="P64" s="87"/>
      <c r="Q64" s="225"/>
      <c r="R64" s="221">
        <v>30.29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0.22717499999999999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30.062825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27321.937800000007</v>
      </c>
      <c r="G65" s="22"/>
      <c r="L65" s="132"/>
      <c r="M65" s="131"/>
      <c r="N65" s="87">
        <v>2</v>
      </c>
      <c r="O65" s="122" t="s">
        <v>208</v>
      </c>
      <c r="P65" s="87">
        <v>5166</v>
      </c>
      <c r="Q65" s="225"/>
      <c r="R65" s="225">
        <v>68.95</v>
      </c>
      <c r="S65" s="225"/>
      <c r="T65" s="87"/>
      <c r="U65" s="189">
        <f t="shared" si="28"/>
        <v>0</v>
      </c>
      <c r="V65" s="189">
        <f t="shared" si="29"/>
        <v>0.51712500000000006</v>
      </c>
      <c r="W65" s="189">
        <f t="shared" si="30"/>
        <v>0</v>
      </c>
      <c r="X65" s="189">
        <f t="shared" si="31"/>
        <v>0</v>
      </c>
      <c r="Y65" s="189">
        <f t="shared" si="32"/>
        <v>68.432874999999996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208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208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26696.85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185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27008.9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99.240000000000009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0.74430000000000007</v>
      </c>
      <c r="W69" s="192">
        <f t="shared" si="34"/>
        <v>0</v>
      </c>
      <c r="X69" s="192">
        <f t="shared" si="34"/>
        <v>0</v>
      </c>
      <c r="Y69" s="192">
        <f t="shared" si="34"/>
        <v>98.495699999999999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-312.05000000000291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214</v>
      </c>
      <c r="P70" s="251">
        <v>84</v>
      </c>
      <c r="Q70" s="225">
        <v>2001</v>
      </c>
      <c r="R70" s="236">
        <v>107.11</v>
      </c>
      <c r="S70" s="225"/>
      <c r="T70" s="225">
        <v>205.27</v>
      </c>
      <c r="U70" s="189">
        <f t="shared" ref="U70:U74" si="35">((T70/U$10)*U$9)</f>
        <v>8.8478448275862078</v>
      </c>
      <c r="V70" s="189">
        <f t="shared" ref="V70:V74" si="36">R70*V$10</f>
        <v>0.80332499999999996</v>
      </c>
      <c r="W70" s="189">
        <f t="shared" ref="W70:W74" si="37">+S70*V$10</f>
        <v>0</v>
      </c>
      <c r="X70" s="189">
        <f t="shared" ref="X70:X74" si="38">+T70*X$10</f>
        <v>5.1317500000000003</v>
      </c>
      <c r="Y70" s="189">
        <f t="shared" ref="Y70:Z74" si="39">R70-V70</f>
        <v>106.306675</v>
      </c>
      <c r="Z70" s="189">
        <f t="shared" si="39"/>
        <v>0</v>
      </c>
      <c r="AA70" s="189">
        <f t="shared" ref="AA70:AA74" si="40">T70-U70-X70</f>
        <v>191.29040517241378</v>
      </c>
      <c r="AB70" s="87"/>
    </row>
    <row r="71" spans="1:30" ht="28.5" customHeight="1" thickBot="1" x14ac:dyDescent="0.3">
      <c r="A71" s="25" t="s">
        <v>56</v>
      </c>
      <c r="B71" s="70">
        <f>(B65-B69)-B72</f>
        <v>313.03780000000552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214</v>
      </c>
      <c r="P71" s="251">
        <v>154</v>
      </c>
      <c r="Q71" s="225">
        <v>2001</v>
      </c>
      <c r="R71" s="221">
        <v>417.59</v>
      </c>
      <c r="S71" s="225"/>
      <c r="T71" s="225"/>
      <c r="U71" s="189">
        <f t="shared" si="35"/>
        <v>0</v>
      </c>
      <c r="V71" s="189">
        <f t="shared" si="36"/>
        <v>3.1319249999999998</v>
      </c>
      <c r="W71" s="189">
        <f t="shared" si="37"/>
        <v>0</v>
      </c>
      <c r="X71" s="189">
        <f t="shared" si="38"/>
        <v>0</v>
      </c>
      <c r="Y71" s="189">
        <f t="shared" si="39"/>
        <v>414.45807499999995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207</v>
      </c>
      <c r="P72" s="251">
        <v>93</v>
      </c>
      <c r="Q72" s="225">
        <v>1001</v>
      </c>
      <c r="R72" s="221">
        <v>1942.75</v>
      </c>
      <c r="S72" s="225"/>
      <c r="T72" s="221">
        <v>7.2</v>
      </c>
      <c r="U72" s="189">
        <f t="shared" si="35"/>
        <v>0.31034482758620696</v>
      </c>
      <c r="V72" s="189">
        <f t="shared" si="36"/>
        <v>14.570625</v>
      </c>
      <c r="W72" s="189">
        <f t="shared" si="37"/>
        <v>0</v>
      </c>
      <c r="X72" s="189">
        <f t="shared" si="38"/>
        <v>0.18000000000000002</v>
      </c>
      <c r="Y72" s="189">
        <f t="shared" si="39"/>
        <v>1928.1793749999999</v>
      </c>
      <c r="Z72" s="189">
        <f t="shared" si="39"/>
        <v>0</v>
      </c>
      <c r="AA72" s="189">
        <f t="shared" si="40"/>
        <v>6.7096551724137932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207</v>
      </c>
      <c r="P73" s="250"/>
      <c r="Q73" s="225"/>
      <c r="R73" s="221"/>
      <c r="S73" s="225"/>
      <c r="T73" s="221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55" t="s">
        <v>252</v>
      </c>
      <c r="P74" s="250"/>
      <c r="Q74" s="225"/>
      <c r="R74" s="256">
        <f>50+160+100+65+45</f>
        <v>420</v>
      </c>
      <c r="S74" s="225"/>
      <c r="T74" s="225"/>
      <c r="U74" s="189">
        <f t="shared" si="35"/>
        <v>0</v>
      </c>
      <c r="V74" s="189">
        <f t="shared" si="36"/>
        <v>3.15</v>
      </c>
      <c r="W74" s="189">
        <f t="shared" si="37"/>
        <v>0</v>
      </c>
      <c r="X74" s="189">
        <f t="shared" si="38"/>
        <v>0</v>
      </c>
      <c r="Y74" s="189">
        <f t="shared" si="39"/>
        <v>416.85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2887.45</v>
      </c>
      <c r="S75" s="192"/>
      <c r="T75" s="192">
        <f>SUM(T70:T74)</f>
        <v>212.47</v>
      </c>
      <c r="U75" s="192">
        <f>SUM(U70:U74)</f>
        <v>9.1581896551724142</v>
      </c>
      <c r="V75" s="192">
        <f t="shared" ref="V75:AA75" si="42">SUM(V70:V74)</f>
        <v>21.655874999999998</v>
      </c>
      <c r="W75" s="192">
        <f t="shared" si="42"/>
        <v>0</v>
      </c>
      <c r="X75" s="192">
        <f t="shared" si="42"/>
        <v>5.31175</v>
      </c>
      <c r="Y75" s="192">
        <f t="shared" si="42"/>
        <v>2865.7941249999999</v>
      </c>
      <c r="Z75" s="192">
        <f t="shared" si="42"/>
        <v>0</v>
      </c>
      <c r="AA75" s="193">
        <f t="shared" si="42"/>
        <v>198.00006034482757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26.27</v>
      </c>
      <c r="Q78" s="137">
        <v>7.54</v>
      </c>
      <c r="R78" s="82">
        <v>7.4999999999999997E-3</v>
      </c>
      <c r="S78" s="194">
        <f>+(P78+Q78)*R78</f>
        <v>0.25357499999999999</v>
      </c>
      <c r="T78" s="254">
        <f>+(P78+Q78)-S78</f>
        <v>33.556425000000004</v>
      </c>
      <c r="U78" s="211">
        <v>43.02</v>
      </c>
      <c r="V78" s="112"/>
      <c r="W78" s="113">
        <v>1.4999999999999999E-2</v>
      </c>
      <c r="X78" s="196">
        <f>+(U78+V78)*W78</f>
        <v>0.64529999999999998</v>
      </c>
      <c r="Y78" s="254">
        <f>+(U78+V78)-X78</f>
        <v>42.374700000000004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221">
        <v>43.09</v>
      </c>
      <c r="Q79" s="137">
        <v>306.47000000000003</v>
      </c>
      <c r="R79" s="82">
        <v>7.4999999999999997E-3</v>
      </c>
      <c r="S79" s="194">
        <f t="shared" ref="S79:S97" si="44">+(P79+Q79)*R79</f>
        <v>2.6217000000000001</v>
      </c>
      <c r="T79" s="254">
        <f t="shared" ref="T79:T97" si="45">+(P79+Q79)-S79</f>
        <v>346.93830000000008</v>
      </c>
      <c r="U79" s="211">
        <v>17.54</v>
      </c>
      <c r="V79" s="112"/>
      <c r="W79" s="113">
        <v>1.4999999999999999E-2</v>
      </c>
      <c r="X79" s="196">
        <f t="shared" ref="X79:X97" si="46">+(U79+V79)*W79</f>
        <v>0.2631</v>
      </c>
      <c r="Y79" s="254">
        <f t="shared" ref="Y79:Y97" si="47">+(U79+V79)-X79</f>
        <v>17.276899999999998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85.17</v>
      </c>
      <c r="Q80" s="137">
        <v>35.79</v>
      </c>
      <c r="R80" s="82">
        <v>7.4999999999999997E-3</v>
      </c>
      <c r="S80" s="194">
        <f t="shared" si="44"/>
        <v>0.90720000000000001</v>
      </c>
      <c r="T80" s="258">
        <f t="shared" si="45"/>
        <v>120.0528</v>
      </c>
      <c r="U80" s="211">
        <v>87.39</v>
      </c>
      <c r="V80" s="112"/>
      <c r="W80" s="113">
        <v>1.4999999999999999E-2</v>
      </c>
      <c r="X80" s="196">
        <f t="shared" si="46"/>
        <v>1.3108500000000001</v>
      </c>
      <c r="Y80" s="213">
        <f t="shared" si="47"/>
        <v>86.079149999999998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88.37</v>
      </c>
      <c r="Q81" s="137">
        <v>52.81</v>
      </c>
      <c r="R81" s="82">
        <v>7.4999999999999997E-3</v>
      </c>
      <c r="S81" s="194">
        <f t="shared" si="44"/>
        <v>1.0588500000000001</v>
      </c>
      <c r="T81" s="258">
        <f t="shared" si="45"/>
        <v>140.12115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153.05000000000001</v>
      </c>
      <c r="Q82" s="137"/>
      <c r="R82" s="82">
        <v>7.4999999999999997E-3</v>
      </c>
      <c r="S82" s="194">
        <f t="shared" si="44"/>
        <v>1.147875</v>
      </c>
      <c r="T82" s="254">
        <f t="shared" si="45"/>
        <v>151.90212500000001</v>
      </c>
      <c r="U82" s="211">
        <v>83.09</v>
      </c>
      <c r="V82" s="112"/>
      <c r="W82" s="113">
        <v>1.4999999999999999E-2</v>
      </c>
      <c r="X82" s="196">
        <f t="shared" si="46"/>
        <v>1.2463500000000001</v>
      </c>
      <c r="Y82" s="217">
        <f t="shared" si="47"/>
        <v>81.843649999999997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17.100000000000001</v>
      </c>
      <c r="R83" s="82">
        <v>7.4999999999999997E-3</v>
      </c>
      <c r="S83" s="194">
        <f t="shared" si="44"/>
        <v>0.12825</v>
      </c>
      <c r="T83" s="254">
        <f>+(P83+Q83)-S83</f>
        <v>16.97175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81.13</v>
      </c>
      <c r="Q84" s="137">
        <v>81.97</v>
      </c>
      <c r="R84" s="82">
        <v>7.4999999999999997E-3</v>
      </c>
      <c r="S84" s="194">
        <f t="shared" si="44"/>
        <v>1.2232499999999999</v>
      </c>
      <c r="T84" s="254">
        <f t="shared" si="45"/>
        <v>161.87674999999999</v>
      </c>
      <c r="U84" s="112">
        <v>101.56</v>
      </c>
      <c r="V84" s="112"/>
      <c r="W84" s="113">
        <v>1.4999999999999999E-2</v>
      </c>
      <c r="X84" s="196">
        <f t="shared" si="46"/>
        <v>1.5234000000000001</v>
      </c>
      <c r="Y84" s="254">
        <f t="shared" si="47"/>
        <v>100.03660000000001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98.02</v>
      </c>
      <c r="Q85" s="87"/>
      <c r="R85" s="82">
        <v>7.4999999999999997E-3</v>
      </c>
      <c r="S85" s="194">
        <f t="shared" si="44"/>
        <v>0.73514999999999997</v>
      </c>
      <c r="T85" s="258">
        <f t="shared" si="45"/>
        <v>97.284849999999992</v>
      </c>
      <c r="U85" s="112">
        <v>20.440000000000001</v>
      </c>
      <c r="V85" s="112"/>
      <c r="W85" s="113">
        <v>1.4999999999999999E-2</v>
      </c>
      <c r="X85" s="196">
        <f t="shared" si="46"/>
        <v>0.30659999999999998</v>
      </c>
      <c r="Y85" s="254">
        <f t="shared" si="47"/>
        <v>20.133400000000002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238.04</v>
      </c>
      <c r="Q86" s="87">
        <v>68.47</v>
      </c>
      <c r="R86" s="82">
        <v>7.4999999999999997E-3</v>
      </c>
      <c r="S86" s="194">
        <f t="shared" si="44"/>
        <v>2.2988249999999999</v>
      </c>
      <c r="T86" s="258">
        <f t="shared" si="45"/>
        <v>304.21117499999997</v>
      </c>
      <c r="U86" s="112">
        <v>77.069999999999993</v>
      </c>
      <c r="V86" s="112"/>
      <c r="W86" s="113">
        <v>1.4999999999999999E-2</v>
      </c>
      <c r="X86" s="196">
        <f t="shared" si="46"/>
        <v>1.1560499999999998</v>
      </c>
      <c r="Y86" s="254">
        <f t="shared" si="47"/>
        <v>75.91395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19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217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813.14</v>
      </c>
      <c r="Q98" s="195">
        <f>SUM(Q78:Q97)</f>
        <v>570.15000000000009</v>
      </c>
      <c r="R98" s="111"/>
      <c r="S98" s="195">
        <f>SUM(S78:S97)</f>
        <v>10.374675</v>
      </c>
      <c r="T98" s="195">
        <f>SUM(T78:T97)</f>
        <v>1372.9153250000002</v>
      </c>
      <c r="U98" s="114">
        <f>SUM(U78:U97)</f>
        <v>430.11</v>
      </c>
      <c r="V98" s="114">
        <f>SUM(V78:V97)</f>
        <v>0</v>
      </c>
      <c r="W98" s="112"/>
      <c r="X98" s="197">
        <f>SUM(X78:X97)</f>
        <v>6.4516499999999999</v>
      </c>
      <c r="Y98" s="197">
        <f>SUM(Y78:Y97)</f>
        <v>423.65834999999998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76.830000000000013</v>
      </c>
      <c r="R102" s="84"/>
    </row>
    <row r="103" spans="14:30" x14ac:dyDescent="0.25">
      <c r="N103" s="85"/>
      <c r="P103" s="84"/>
      <c r="Q103" s="215">
        <f>P79+Q79+U79</f>
        <v>367.10000000000008</v>
      </c>
      <c r="R103" s="84"/>
    </row>
    <row r="104" spans="14:30" x14ac:dyDescent="0.25">
      <c r="N104" s="85"/>
      <c r="P104" s="84"/>
      <c r="Q104" s="215">
        <f>P80+U80+Q80</f>
        <v>208.35</v>
      </c>
      <c r="R104" s="84"/>
    </row>
    <row r="105" spans="14:30" x14ac:dyDescent="0.25">
      <c r="N105" s="85"/>
      <c r="P105" s="84"/>
      <c r="Q105" s="215">
        <f>P81+Q81+U81</f>
        <v>141.18</v>
      </c>
      <c r="R105" s="84"/>
    </row>
    <row r="106" spans="14:30" x14ac:dyDescent="0.25">
      <c r="N106" s="85"/>
      <c r="P106" s="84"/>
      <c r="Q106" s="215">
        <f t="shared" ref="Q106:Q111" si="51">P82+Q82+U82</f>
        <v>236.14000000000001</v>
      </c>
      <c r="R106" s="84"/>
    </row>
    <row r="107" spans="14:30" x14ac:dyDescent="0.25">
      <c r="N107" s="85"/>
      <c r="P107" s="84"/>
      <c r="Q107" s="215">
        <f>P83+Q83+U83</f>
        <v>17.100000000000001</v>
      </c>
      <c r="R107" s="84"/>
    </row>
    <row r="108" spans="14:30" x14ac:dyDescent="0.25">
      <c r="N108" s="85"/>
      <c r="P108" s="84"/>
      <c r="Q108" s="246">
        <f t="shared" si="51"/>
        <v>264.65999999999997</v>
      </c>
      <c r="R108" s="84"/>
    </row>
    <row r="109" spans="14:30" x14ac:dyDescent="0.25">
      <c r="N109" s="85"/>
      <c r="P109" s="84"/>
      <c r="Q109" s="84">
        <f>P85+Q85+U85</f>
        <v>118.46</v>
      </c>
      <c r="R109" s="84"/>
    </row>
    <row r="110" spans="14:30" x14ac:dyDescent="0.25">
      <c r="N110" s="85"/>
      <c r="P110" s="84"/>
      <c r="Q110" s="84">
        <f t="shared" si="51"/>
        <v>383.58</v>
      </c>
      <c r="R110" s="84"/>
    </row>
    <row r="111" spans="14:30" x14ac:dyDescent="0.25">
      <c r="N111" s="85"/>
      <c r="Q111" s="84">
        <f t="shared" si="51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5" customFormat="1" ht="16.5" customHeight="1" x14ac:dyDescent="0.25">
      <c r="A2" s="278"/>
      <c r="B2" s="285" t="s">
        <v>146</v>
      </c>
      <c r="C2" s="286"/>
      <c r="D2" s="286"/>
      <c r="E2" s="286"/>
      <c r="F2" s="286"/>
      <c r="G2" s="286"/>
      <c r="H2" s="286"/>
      <c r="I2" s="287"/>
    </row>
    <row r="3" spans="1:9" s="5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1'!G$46</f>
        <v>15115.1795</v>
      </c>
      <c r="C9" s="199">
        <f>+'DIA 1'!G$52</f>
        <v>267.73387931034483</v>
      </c>
      <c r="D9" s="203">
        <f>B9+C9</f>
        <v>15382.913379310345</v>
      </c>
      <c r="E9" s="204">
        <f>+'DIA 1'!K$46</f>
        <v>15139.45</v>
      </c>
      <c r="F9" s="205">
        <f>+'DIA 1'!K$52</f>
        <v>244.88</v>
      </c>
      <c r="G9" s="206">
        <f>B9-E9</f>
        <v>-24.270500000000538</v>
      </c>
      <c r="H9" s="206">
        <f>C9-F9</f>
        <v>22.853879310344837</v>
      </c>
    </row>
    <row r="10" spans="1:9" x14ac:dyDescent="0.25">
      <c r="A10" s="46">
        <f>'DIA 2'!B$6</f>
        <v>44744</v>
      </c>
      <c r="B10" s="199">
        <f>'DIA 2'!G$46</f>
        <v>14485.587125000002</v>
      </c>
      <c r="C10" s="199">
        <f>'DIA 2'!G$52</f>
        <v>371.48192241379303</v>
      </c>
      <c r="D10" s="203">
        <f t="shared" ref="D10:D39" si="0">B10+C10</f>
        <v>14857.069047413795</v>
      </c>
      <c r="E10" s="199">
        <f>'DIA 2'!K$46</f>
        <v>14848.36</v>
      </c>
      <c r="F10" s="199">
        <f>'DIA 2'!K$52</f>
        <v>30.79</v>
      </c>
      <c r="G10" s="206">
        <f t="shared" ref="G10:G39" si="1">B10-E10</f>
        <v>-362.77287499999875</v>
      </c>
      <c r="H10" s="206">
        <f t="shared" ref="H10:H39" si="2">C10-F10</f>
        <v>340.69192241379301</v>
      </c>
    </row>
    <row r="11" spans="1:9" x14ac:dyDescent="0.25">
      <c r="A11" s="46">
        <f>'DIA 3'!B$6</f>
        <v>44745</v>
      </c>
      <c r="B11" s="199">
        <f>'DIA 3'!G$46</f>
        <v>12039.025</v>
      </c>
      <c r="C11" s="199">
        <f>'DIA 3'!G$52</f>
        <v>642.08604310344845</v>
      </c>
      <c r="D11" s="203">
        <f t="shared" si="0"/>
        <v>12681.111043103449</v>
      </c>
      <c r="E11" s="199">
        <f>'DIA 3'!K$46</f>
        <v>12570.24</v>
      </c>
      <c r="F11" s="199">
        <f>'DIA 3'!K$52</f>
        <v>143.34</v>
      </c>
      <c r="G11" s="206">
        <f t="shared" si="1"/>
        <v>-531.21500000000015</v>
      </c>
      <c r="H11" s="206">
        <f t="shared" si="2"/>
        <v>498.74604310344841</v>
      </c>
    </row>
    <row r="12" spans="1:9" x14ac:dyDescent="0.25">
      <c r="A12" s="46">
        <f>'DIA 4'!B$6</f>
        <v>44746</v>
      </c>
      <c r="B12" s="199">
        <f>'DIA 4'!G$46</f>
        <v>8520.3445250000004</v>
      </c>
      <c r="C12" s="199">
        <f>'DIA 4'!G$52</f>
        <v>192.69756896551723</v>
      </c>
      <c r="D12" s="203">
        <f t="shared" si="0"/>
        <v>8713.0420939655178</v>
      </c>
      <c r="E12" s="199">
        <f>'DIA 4'!K$46</f>
        <v>8637.09</v>
      </c>
      <c r="F12" s="199">
        <f>'DIA 4'!K$52</f>
        <v>82.97</v>
      </c>
      <c r="G12" s="206">
        <f t="shared" si="1"/>
        <v>-116.74547499999971</v>
      </c>
      <c r="H12" s="206">
        <f t="shared" si="2"/>
        <v>109.72756896551724</v>
      </c>
    </row>
    <row r="13" spans="1:9" x14ac:dyDescent="0.25">
      <c r="A13" s="46">
        <f>'DIA 5'!B$6</f>
        <v>44747</v>
      </c>
      <c r="B13" s="199">
        <f>'DIA 5'!G$46</f>
        <v>11190.070275</v>
      </c>
      <c r="C13" s="199">
        <f>'DIA 5'!G$52</f>
        <v>560.40531034482763</v>
      </c>
      <c r="D13" s="203">
        <f t="shared" si="0"/>
        <v>11750.475585344828</v>
      </c>
      <c r="E13" s="199">
        <f>'DIA 5'!K$46</f>
        <v>11417.18</v>
      </c>
      <c r="F13" s="199">
        <f>'DIA 5'!K$52</f>
        <v>347.05</v>
      </c>
      <c r="G13" s="206">
        <f t="shared" si="1"/>
        <v>-227.10972500000025</v>
      </c>
      <c r="H13" s="206">
        <f t="shared" si="2"/>
        <v>213.35531034482761</v>
      </c>
    </row>
    <row r="14" spans="1:9" x14ac:dyDescent="0.25">
      <c r="A14" s="46">
        <f>'DIA 6'!B$6</f>
        <v>44748</v>
      </c>
      <c r="B14" s="199">
        <f>'DIA 6'!G$46</f>
        <v>8255.7936499999996</v>
      </c>
      <c r="C14" s="199">
        <f>'DIA 6'!G$52</f>
        <v>280.45426724137928</v>
      </c>
      <c r="D14" s="203">
        <f t="shared" si="0"/>
        <v>8536.2479172413787</v>
      </c>
      <c r="E14" s="199">
        <f>'DIA 6'!K$46</f>
        <v>8482.67</v>
      </c>
      <c r="F14" s="199">
        <f>'DIA 6'!K$52</f>
        <v>67.36</v>
      </c>
      <c r="G14" s="206">
        <f t="shared" si="1"/>
        <v>-226.87635000000046</v>
      </c>
      <c r="H14" s="206">
        <f t="shared" si="2"/>
        <v>213.09426724137927</v>
      </c>
    </row>
    <row r="15" spans="1:9" x14ac:dyDescent="0.25">
      <c r="A15" s="46">
        <f>'DIA 7'!B$6</f>
        <v>44749</v>
      </c>
      <c r="B15" s="199">
        <f>'DIA 7'!G$46</f>
        <v>9718.9371500000016</v>
      </c>
      <c r="C15" s="199">
        <f>'DIA 7'!G$52</f>
        <v>545.89568103448278</v>
      </c>
      <c r="D15" s="203">
        <f t="shared" si="0"/>
        <v>10264.832831034484</v>
      </c>
      <c r="E15" s="199">
        <f>'DIA 7'!K$46</f>
        <v>10236.59</v>
      </c>
      <c r="F15" s="199">
        <f>'DIA 7'!K$52</f>
        <v>59.78</v>
      </c>
      <c r="G15" s="206">
        <f t="shared" si="1"/>
        <v>-517.65284999999858</v>
      </c>
      <c r="H15" s="206">
        <f t="shared" si="2"/>
        <v>486.1156810344828</v>
      </c>
    </row>
    <row r="16" spans="1:9" x14ac:dyDescent="0.25">
      <c r="A16" s="46">
        <f>'DIA 8'!B$6</f>
        <v>44750</v>
      </c>
      <c r="B16" s="199">
        <f>'DIA 8'!G$46</f>
        <v>16621.367725</v>
      </c>
      <c r="C16" s="199">
        <f>'DIA 8'!G$52</f>
        <v>537.48997413793086</v>
      </c>
      <c r="D16" s="203">
        <f t="shared" si="0"/>
        <v>17158.85769913793</v>
      </c>
      <c r="E16" s="199">
        <f>'DIA 8'!K$46</f>
        <v>16988.43</v>
      </c>
      <c r="F16" s="199">
        <f>'DIA 8'!K$52</f>
        <v>192.9</v>
      </c>
      <c r="G16" s="206">
        <f t="shared" si="1"/>
        <v>-367.06227500000023</v>
      </c>
      <c r="H16" s="206">
        <f t="shared" si="2"/>
        <v>344.58997413793088</v>
      </c>
    </row>
    <row r="17" spans="1:8" x14ac:dyDescent="0.25">
      <c r="A17" s="46">
        <f>'DIA 9'!B$6</f>
        <v>44751</v>
      </c>
      <c r="B17" s="199">
        <f>'DIA 9'!G$46</f>
        <v>15005.627350000001</v>
      </c>
      <c r="C17" s="199">
        <f>'DIA 9'!G$52</f>
        <v>361.65973275862069</v>
      </c>
      <c r="D17" s="203">
        <f t="shared" si="0"/>
        <v>15367.287082758621</v>
      </c>
      <c r="E17" s="199">
        <f>'DIA 9'!K$46</f>
        <v>15338.39</v>
      </c>
      <c r="F17" s="199">
        <f>'DIA 9'!K$52</f>
        <v>49.12</v>
      </c>
      <c r="G17" s="206">
        <f t="shared" si="1"/>
        <v>-332.76264999999876</v>
      </c>
      <c r="H17" s="206">
        <f t="shared" si="2"/>
        <v>312.53973275862069</v>
      </c>
    </row>
    <row r="18" spans="1:8" x14ac:dyDescent="0.25">
      <c r="A18" s="46">
        <f>'DIA 10'!B$6</f>
        <v>44752</v>
      </c>
      <c r="B18" s="199">
        <f>'DIA 10'!G$46</f>
        <v>12528.853525</v>
      </c>
      <c r="C18" s="199">
        <f>'DIA 10'!G$52</f>
        <v>372.69338793103452</v>
      </c>
      <c r="D18" s="203">
        <f t="shared" si="0"/>
        <v>12901.546912931035</v>
      </c>
      <c r="E18" s="199">
        <f>'DIA 10'!K$46</f>
        <v>12699.02</v>
      </c>
      <c r="F18" s="199">
        <f>'DIA 10'!K$52</f>
        <v>212.77</v>
      </c>
      <c r="G18" s="206">
        <f t="shared" si="1"/>
        <v>-170.16647499999999</v>
      </c>
      <c r="H18" s="206">
        <f t="shared" si="2"/>
        <v>159.92338793103451</v>
      </c>
    </row>
    <row r="19" spans="1:8" x14ac:dyDescent="0.25">
      <c r="A19" s="46">
        <f>'DIA 11'!B$6</f>
        <v>44753</v>
      </c>
      <c r="B19" s="199">
        <f>'DIA 11'!G$46</f>
        <v>9717.7362249999987</v>
      </c>
      <c r="C19" s="199">
        <f>'DIA 11'!G$52</f>
        <v>269.01989655172417</v>
      </c>
      <c r="D19" s="203">
        <f t="shared" si="0"/>
        <v>9986.7561215517235</v>
      </c>
      <c r="E19" s="199">
        <f>'DIA 11'!K$46</f>
        <v>9862.57</v>
      </c>
      <c r="F19" s="199">
        <f>'DIA 11'!K$52</f>
        <v>132.94999999999999</v>
      </c>
      <c r="G19" s="206">
        <f t="shared" si="1"/>
        <v>-144.83377500000097</v>
      </c>
      <c r="H19" s="206">
        <f t="shared" si="2"/>
        <v>136.06989655172418</v>
      </c>
    </row>
    <row r="20" spans="1:8" x14ac:dyDescent="0.25">
      <c r="A20" s="46">
        <f>'DIA 12'!B$6</f>
        <v>44754</v>
      </c>
      <c r="B20" s="199">
        <f>'DIA 12'!G$46</f>
        <v>8345.6645250000001</v>
      </c>
      <c r="C20" s="199">
        <f>'DIA 12'!G$52</f>
        <v>378.62025</v>
      </c>
      <c r="D20" s="203">
        <f t="shared" si="0"/>
        <v>8724.2847750000001</v>
      </c>
      <c r="E20" s="199">
        <f>'DIA 12'!K$46</f>
        <v>8692.93</v>
      </c>
      <c r="F20" s="199">
        <f>'DIA 12'!K$52</f>
        <v>52.53</v>
      </c>
      <c r="G20" s="206">
        <f t="shared" si="1"/>
        <v>-347.26547500000015</v>
      </c>
      <c r="H20" s="206">
        <f t="shared" si="2"/>
        <v>326.09024999999997</v>
      </c>
    </row>
    <row r="21" spans="1:8" x14ac:dyDescent="0.25">
      <c r="A21" s="46">
        <f>'DIA 13'!B$6</f>
        <v>44755</v>
      </c>
      <c r="B21" s="199">
        <f>'DIA 13'!G$46</f>
        <v>8150.9856499999996</v>
      </c>
      <c r="C21" s="199">
        <f>'DIA 13'!G$52</f>
        <v>73.15387931034482</v>
      </c>
      <c r="D21" s="203">
        <f t="shared" si="0"/>
        <v>8224.1395293103451</v>
      </c>
      <c r="E21" s="199">
        <f>'DIA 13'!K$46</f>
        <v>8184.9</v>
      </c>
      <c r="F21" s="199">
        <f>'DIA 13'!K$52</f>
        <v>29.27</v>
      </c>
      <c r="G21" s="206">
        <f t="shared" si="1"/>
        <v>-33.914350000000013</v>
      </c>
      <c r="H21" s="206">
        <f t="shared" si="2"/>
        <v>43.883879310344824</v>
      </c>
    </row>
    <row r="22" spans="1:8" x14ac:dyDescent="0.25">
      <c r="A22" s="46">
        <f>'DIA 14'!B$6</f>
        <v>44756</v>
      </c>
      <c r="B22" s="199">
        <f>'DIA 14'!G$46</f>
        <v>13385.579524999999</v>
      </c>
      <c r="C22" s="199">
        <f>'DIA 14'!G$52</f>
        <v>255.19055172413795</v>
      </c>
      <c r="D22" s="203">
        <f t="shared" si="0"/>
        <v>13640.770076724137</v>
      </c>
      <c r="E22" s="199">
        <f>'DIA 14'!K$46</f>
        <v>13507.87</v>
      </c>
      <c r="F22" s="199">
        <f>'DIA 14'!K$52</f>
        <v>140.34</v>
      </c>
      <c r="G22" s="206">
        <f t="shared" si="1"/>
        <v>-122.29047500000161</v>
      </c>
      <c r="H22" s="206">
        <f t="shared" si="2"/>
        <v>114.85055172413794</v>
      </c>
    </row>
    <row r="23" spans="1:8" x14ac:dyDescent="0.25">
      <c r="A23" s="46">
        <f>'DIA 15'!B$6</f>
        <v>44757</v>
      </c>
      <c r="B23" s="199">
        <f>'DIA 15'!G$46</f>
        <v>14328.007900000002</v>
      </c>
      <c r="C23" s="199">
        <f>'DIA 15'!G$52</f>
        <v>514.87284482758616</v>
      </c>
      <c r="D23" s="203">
        <f t="shared" si="0"/>
        <v>14842.880744827589</v>
      </c>
      <c r="E23" s="199">
        <f>'DIA 15'!K$46</f>
        <v>14774.25</v>
      </c>
      <c r="F23" s="199">
        <f>'DIA 15'!K$52</f>
        <v>95.83</v>
      </c>
      <c r="G23" s="206">
        <f t="shared" si="1"/>
        <v>-446.24209999999766</v>
      </c>
      <c r="H23" s="206">
        <f t="shared" si="2"/>
        <v>419.04284482758618</v>
      </c>
    </row>
    <row r="24" spans="1:8" x14ac:dyDescent="0.25">
      <c r="A24" s="46">
        <f>'DIA 16'!B$6</f>
        <v>44728</v>
      </c>
      <c r="B24" s="199">
        <f>'DIA 16'!G$46</f>
        <v>14312.455425</v>
      </c>
      <c r="C24" s="199">
        <f>'DIA 16'!G$52</f>
        <v>633.22370689655179</v>
      </c>
      <c r="D24" s="203">
        <f t="shared" si="0"/>
        <v>14945.679131896552</v>
      </c>
      <c r="E24" s="199">
        <f>'DIA 16'!K$46</f>
        <v>14730.47</v>
      </c>
      <c r="F24" s="199">
        <f>'DIA 16'!K$52</f>
        <v>243.09</v>
      </c>
      <c r="G24" s="206">
        <f t="shared" si="1"/>
        <v>-418.01457499999924</v>
      </c>
      <c r="H24" s="206">
        <f t="shared" si="2"/>
        <v>390.13370689655176</v>
      </c>
    </row>
    <row r="25" spans="1:8" x14ac:dyDescent="0.25">
      <c r="A25" s="46">
        <f>'DIA 17'!B$6</f>
        <v>44759</v>
      </c>
      <c r="B25" s="199">
        <f>'DIA 17'!G$46</f>
        <v>13681.026925</v>
      </c>
      <c r="C25" s="199">
        <f>'DIA 17'!G$52</f>
        <v>1051.1606724137932</v>
      </c>
      <c r="D25" s="203">
        <f t="shared" si="0"/>
        <v>14732.187597413793</v>
      </c>
      <c r="E25" s="199">
        <f>'DIA 17'!K$46</f>
        <v>14281.13</v>
      </c>
      <c r="F25" s="199">
        <f>'DIA 17'!K$52</f>
        <v>487.59</v>
      </c>
      <c r="G25" s="206">
        <f t="shared" si="1"/>
        <v>-600.10307499999908</v>
      </c>
      <c r="H25" s="206">
        <f t="shared" si="2"/>
        <v>563.57067241379332</v>
      </c>
    </row>
    <row r="26" spans="1:8" x14ac:dyDescent="0.25">
      <c r="A26" s="46">
        <f>'DIA 18'!B$6</f>
        <v>44760</v>
      </c>
      <c r="B26" s="199">
        <f>'DIA 18'!G$46</f>
        <v>7471.6193999999987</v>
      </c>
      <c r="C26" s="199">
        <f>'DIA 18'!G$52</f>
        <v>77.449922413793118</v>
      </c>
      <c r="D26" s="203">
        <f t="shared" si="0"/>
        <v>7549.0693224137922</v>
      </c>
      <c r="E26" s="199">
        <f>'DIA 18'!K$46</f>
        <v>7528.45</v>
      </c>
      <c r="F26" s="199">
        <f>'DIA 18'!K$52</f>
        <v>23.92</v>
      </c>
      <c r="G26" s="206">
        <f t="shared" si="1"/>
        <v>-56.830600000001141</v>
      </c>
      <c r="H26" s="206">
        <f t="shared" si="2"/>
        <v>53.529922413793116</v>
      </c>
    </row>
    <row r="27" spans="1:8" x14ac:dyDescent="0.25">
      <c r="A27" s="46">
        <f>'DIA 19'!B$6</f>
        <v>44761</v>
      </c>
      <c r="B27" s="199">
        <f>'DIA 19'!G$46</f>
        <v>12795.478724999999</v>
      </c>
      <c r="C27" s="199">
        <f>'DIA 19'!G$52</f>
        <v>687.59055172413798</v>
      </c>
      <c r="D27" s="203">
        <f t="shared" si="0"/>
        <v>13483.069276724136</v>
      </c>
      <c r="E27" s="199">
        <f>'DIA 19'!K$46</f>
        <v>13435.45</v>
      </c>
      <c r="F27" s="199">
        <f>'DIA 19'!K$52</f>
        <v>34.630000000000003</v>
      </c>
      <c r="G27" s="206">
        <f t="shared" si="1"/>
        <v>-639.9712750000017</v>
      </c>
      <c r="H27" s="206">
        <f t="shared" si="2"/>
        <v>652.96055172413799</v>
      </c>
    </row>
    <row r="28" spans="1:8" x14ac:dyDescent="0.25">
      <c r="A28" s="46">
        <f>'DIA 20'!B$6</f>
        <v>44762</v>
      </c>
      <c r="B28" s="199">
        <f>'DIA 20'!G$46</f>
        <v>7118.7856499999998</v>
      </c>
      <c r="C28" s="199">
        <f>'DIA 20'!G$52</f>
        <v>206.2473448275862</v>
      </c>
      <c r="D28" s="203">
        <f t="shared" si="0"/>
        <v>7325.0329948275858</v>
      </c>
      <c r="E28" s="199">
        <f>'DIA 20'!K$46</f>
        <v>7230.52</v>
      </c>
      <c r="F28" s="199">
        <f>'DIA 20'!K$52</f>
        <v>101.28</v>
      </c>
      <c r="G28" s="206">
        <f t="shared" si="1"/>
        <v>-111.73435000000063</v>
      </c>
      <c r="H28" s="206">
        <f t="shared" si="2"/>
        <v>104.9673448275862</v>
      </c>
    </row>
    <row r="29" spans="1:8" x14ac:dyDescent="0.25">
      <c r="A29" s="46">
        <f>'DIA 21'!B$6</f>
        <v>44763</v>
      </c>
      <c r="B29" s="199">
        <f>'DIA 21'!G$46</f>
        <v>10852.580575000002</v>
      </c>
      <c r="C29" s="199">
        <f>'DIA 21'!G$52</f>
        <v>10.250862068965517</v>
      </c>
      <c r="D29" s="203">
        <f t="shared" si="0"/>
        <v>10862.831437068968</v>
      </c>
      <c r="E29" s="199">
        <f>'DIA 21'!K$46</f>
        <v>0</v>
      </c>
      <c r="F29" s="199">
        <f>'DIA 21'!K$52</f>
        <v>0</v>
      </c>
      <c r="G29" s="206">
        <f t="shared" si="1"/>
        <v>10852.580575000002</v>
      </c>
      <c r="H29" s="206">
        <f t="shared" si="2"/>
        <v>10.250862068965517</v>
      </c>
    </row>
    <row r="30" spans="1:8" x14ac:dyDescent="0.25">
      <c r="A30" s="46">
        <f>'DIA 22'!B$6</f>
        <v>44399</v>
      </c>
      <c r="B30" s="199">
        <f>'DIA 22'!G$46</f>
        <v>14108.853975000002</v>
      </c>
      <c r="C30" s="199">
        <f>'DIA 22'!G$52</f>
        <v>354.07409482758624</v>
      </c>
      <c r="D30" s="203">
        <f t="shared" si="0"/>
        <v>14462.928069827589</v>
      </c>
      <c r="E30" s="199">
        <f>'DIA 22'!K$46</f>
        <v>0</v>
      </c>
      <c r="F30" s="199">
        <f>'DIA 22'!K$52</f>
        <v>0</v>
      </c>
      <c r="G30" s="206">
        <f t="shared" si="1"/>
        <v>14108.853975000002</v>
      </c>
      <c r="H30" s="206">
        <f t="shared" si="2"/>
        <v>354.07409482758624</v>
      </c>
    </row>
    <row r="31" spans="1:8" x14ac:dyDescent="0.25">
      <c r="A31" s="46">
        <f>'DIA 23'!B$6</f>
        <v>44765</v>
      </c>
      <c r="B31" s="199">
        <f>'DIA 23'!G$46</f>
        <v>13438.658425</v>
      </c>
      <c r="C31" s="199">
        <f>'DIA 23'!G$52</f>
        <v>233.91535344827582</v>
      </c>
      <c r="D31" s="203">
        <f t="shared" si="0"/>
        <v>13672.573778448275</v>
      </c>
      <c r="E31" s="199">
        <f>'DIA 23'!K$46</f>
        <v>0</v>
      </c>
      <c r="F31" s="199">
        <f>'DIA 23'!K$52</f>
        <v>0</v>
      </c>
      <c r="G31" s="206">
        <f t="shared" si="1"/>
        <v>13438.658425</v>
      </c>
      <c r="H31" s="206">
        <f t="shared" si="2"/>
        <v>233.91535344827582</v>
      </c>
    </row>
    <row r="32" spans="1:8" x14ac:dyDescent="0.25">
      <c r="A32" s="46">
        <f>'DIA 24'!B$6</f>
        <v>44766</v>
      </c>
      <c r="B32" s="199">
        <f>'DIA 24'!G$46</f>
        <v>7993.7835749999986</v>
      </c>
      <c r="C32" s="199">
        <f>'DIA 24'!G$52</f>
        <v>104.82904310344827</v>
      </c>
      <c r="D32" s="203">
        <f t="shared" si="0"/>
        <v>8098.6126181034469</v>
      </c>
      <c r="E32" s="199">
        <f>'DIA 24'!K$46</f>
        <v>0</v>
      </c>
      <c r="F32" s="199">
        <f>'DIA 24'!K$52</f>
        <v>0</v>
      </c>
      <c r="G32" s="206">
        <f t="shared" si="1"/>
        <v>7993.7835749999986</v>
      </c>
      <c r="H32" s="206">
        <f t="shared" si="2"/>
        <v>104.82904310344827</v>
      </c>
    </row>
    <row r="33" spans="1:8" x14ac:dyDescent="0.25">
      <c r="A33" s="46">
        <f>'DIA 25'!B$6</f>
        <v>44767</v>
      </c>
      <c r="B33" s="199">
        <f>'DIA 25'!G$46</f>
        <v>4415.979875</v>
      </c>
      <c r="C33" s="199">
        <f>'DIA 25'!G$52</f>
        <v>55.345336206896555</v>
      </c>
      <c r="D33" s="203">
        <f t="shared" si="0"/>
        <v>4471.3252112068967</v>
      </c>
      <c r="E33" s="199">
        <f>'DIA 25'!K$46</f>
        <v>0</v>
      </c>
      <c r="F33" s="199">
        <f>'DIA 25'!K$52</f>
        <v>0</v>
      </c>
      <c r="G33" s="206">
        <f t="shared" si="1"/>
        <v>4415.979875</v>
      </c>
      <c r="H33" s="206">
        <f t="shared" si="2"/>
        <v>55.345336206896555</v>
      </c>
    </row>
    <row r="34" spans="1:8" x14ac:dyDescent="0.25">
      <c r="A34" s="46">
        <f>'DIA 26'!B$6</f>
        <v>44738</v>
      </c>
      <c r="B34" s="199">
        <f>'DIA 26'!G$46</f>
        <v>9799.8953749999982</v>
      </c>
      <c r="C34" s="199">
        <f>'DIA 26'!G$52</f>
        <v>498.34099999999995</v>
      </c>
      <c r="D34" s="203">
        <f t="shared" si="0"/>
        <v>10298.236374999999</v>
      </c>
      <c r="E34" s="199">
        <f>'DIA 26'!K$46</f>
        <v>0</v>
      </c>
      <c r="F34" s="199">
        <f>'DIA 26'!K$52</f>
        <v>0</v>
      </c>
      <c r="G34" s="206">
        <f t="shared" si="1"/>
        <v>9799.8953749999982</v>
      </c>
      <c r="H34" s="206">
        <f t="shared" si="2"/>
        <v>498.34099999999995</v>
      </c>
    </row>
    <row r="35" spans="1:8" x14ac:dyDescent="0.25">
      <c r="A35" s="46">
        <f>'DIA 27'!B$6</f>
        <v>44769</v>
      </c>
      <c r="B35" s="199">
        <f>'DIA 27'!G$46</f>
        <v>6909.914025</v>
      </c>
      <c r="C35" s="199">
        <f>'DIA 27'!G$52</f>
        <v>223.88814655172413</v>
      </c>
      <c r="D35" s="203">
        <f t="shared" si="0"/>
        <v>7133.8021715517243</v>
      </c>
      <c r="E35" s="199">
        <f>'DIA 27'!K$46</f>
        <v>0</v>
      </c>
      <c r="F35" s="199">
        <f>'DIA 27'!K$52</f>
        <v>0</v>
      </c>
      <c r="G35" s="206">
        <f t="shared" si="1"/>
        <v>6909.914025</v>
      </c>
      <c r="H35" s="206">
        <f t="shared" si="2"/>
        <v>223.88814655172413</v>
      </c>
    </row>
    <row r="36" spans="1:8" x14ac:dyDescent="0.25">
      <c r="A36" s="46">
        <f>'DIA 28'!B$6</f>
        <v>44770</v>
      </c>
      <c r="B36" s="199">
        <f>'DIA 28'!G$46</f>
        <v>8752.847574999998</v>
      </c>
      <c r="C36" s="199">
        <f>'DIA 28'!G$52</f>
        <v>176.45461206896553</v>
      </c>
      <c r="D36" s="203">
        <f t="shared" si="0"/>
        <v>8929.3021870689627</v>
      </c>
      <c r="E36" s="199">
        <f>'DIA 28'!K$46</f>
        <v>0</v>
      </c>
      <c r="F36" s="199">
        <f>'DIA 28'!K$52</f>
        <v>0</v>
      </c>
      <c r="G36" s="206">
        <f t="shared" si="1"/>
        <v>8752.847574999998</v>
      </c>
      <c r="H36" s="206">
        <f t="shared" si="2"/>
        <v>176.45461206896553</v>
      </c>
    </row>
    <row r="37" spans="1:8" x14ac:dyDescent="0.25">
      <c r="A37" s="46">
        <f>'DIA 29'!B$6</f>
        <v>44771</v>
      </c>
      <c r="B37" s="199">
        <f>'DIA 29'!G$46</f>
        <v>16672.253200000003</v>
      </c>
      <c r="C37" s="199">
        <f>'DIA 29'!G$52</f>
        <v>306.89217241379311</v>
      </c>
      <c r="D37" s="203">
        <f t="shared" si="0"/>
        <v>16979.145372413797</v>
      </c>
      <c r="E37" s="199">
        <f>'DIA 29'!K$46</f>
        <v>0</v>
      </c>
      <c r="F37" s="199">
        <f>'DIA 29'!K$52</f>
        <v>0</v>
      </c>
      <c r="G37" s="206">
        <f t="shared" si="1"/>
        <v>16672.253200000003</v>
      </c>
      <c r="H37" s="206">
        <f t="shared" si="2"/>
        <v>306.89217241379311</v>
      </c>
    </row>
    <row r="38" spans="1:8" x14ac:dyDescent="0.25">
      <c r="A38" s="46">
        <f>'DIA 30'!B$6</f>
        <v>44772</v>
      </c>
      <c r="B38" s="199">
        <f>'DIA 30'!G$46</f>
        <v>12429.405024999998</v>
      </c>
      <c r="C38" s="199">
        <f>'DIA 30'!G$52</f>
        <v>518.18107758620692</v>
      </c>
      <c r="D38" s="203">
        <f t="shared" si="0"/>
        <v>12947.586102586205</v>
      </c>
      <c r="E38" s="199">
        <f>'DIA 30'!K$46</f>
        <v>0</v>
      </c>
      <c r="F38" s="199">
        <f>'DIA 30'!K$52</f>
        <v>0</v>
      </c>
      <c r="G38" s="206">
        <f t="shared" si="1"/>
        <v>12429.405024999998</v>
      </c>
      <c r="H38" s="206">
        <f t="shared" si="2"/>
        <v>518.18107758620692</v>
      </c>
    </row>
    <row r="39" spans="1:8" x14ac:dyDescent="0.25">
      <c r="A39" s="46">
        <f>'DIA 31'!B$6</f>
        <v>44773</v>
      </c>
      <c r="B39" s="199">
        <f>'DIA 31'!G$46</f>
        <v>9874.9978500000016</v>
      </c>
      <c r="C39" s="199">
        <f>'DIA 31'!G$52</f>
        <v>160.49122413793103</v>
      </c>
      <c r="D39" s="203">
        <f t="shared" si="0"/>
        <v>10035.489074137933</v>
      </c>
      <c r="E39" s="199">
        <f>'DIA 31'!K$46</f>
        <v>0</v>
      </c>
      <c r="F39" s="199">
        <f>'DIA 31'!K$52</f>
        <v>0</v>
      </c>
      <c r="G39" s="206">
        <f t="shared" si="1"/>
        <v>9874.9978500000016</v>
      </c>
      <c r="H39" s="206">
        <f t="shared" si="2"/>
        <v>160.49122413793103</v>
      </c>
    </row>
    <row r="40" spans="1:8" x14ac:dyDescent="0.25">
      <c r="A40" s="53" t="s">
        <v>37</v>
      </c>
      <c r="B40" s="133">
        <f>SUM(B9:B39)</f>
        <v>348037.29525000002</v>
      </c>
      <c r="C40" s="133">
        <f>SUM(C9:C38)</f>
        <v>10761.299086206895</v>
      </c>
      <c r="D40" s="133">
        <f>SUM(D9:D38)</f>
        <v>348923.59648620686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0" zoomScale="90" zoomScaleNormal="90" workbookViewId="0">
      <selection activeCell="K56" sqref="K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44754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>
        <v>5.6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5.62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619</v>
      </c>
      <c r="C12" s="15"/>
      <c r="D12" s="56"/>
      <c r="E12" s="16"/>
      <c r="F12" s="56"/>
      <c r="G12" s="56"/>
      <c r="H12" s="17"/>
      <c r="I12" s="83">
        <v>619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170</v>
      </c>
      <c r="Q12" s="158">
        <v>11</v>
      </c>
      <c r="R12" s="244">
        <v>1879.74</v>
      </c>
      <c r="S12" s="160"/>
      <c r="T12" s="160"/>
      <c r="U12" s="189">
        <f>((T12/U$10)*U$9)</f>
        <v>0</v>
      </c>
      <c r="V12" s="189">
        <f>R12*V$10</f>
        <v>14.098049999999999</v>
      </c>
      <c r="W12" s="189">
        <f>+S12*V$10</f>
        <v>0</v>
      </c>
      <c r="X12" s="189">
        <f>+T12*X$10</f>
        <v>0</v>
      </c>
      <c r="Y12" s="189">
        <f>R12-V12</f>
        <v>1865.64195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75</v>
      </c>
      <c r="K13" s="75"/>
      <c r="L13" s="186">
        <f t="shared" ref="L13:L42" si="1">+G13-K13</f>
        <v>0</v>
      </c>
      <c r="M13" s="106"/>
      <c r="N13" s="104">
        <v>2</v>
      </c>
      <c r="O13" s="152" t="s">
        <v>190</v>
      </c>
      <c r="P13" s="158">
        <v>171</v>
      </c>
      <c r="Q13" s="158">
        <v>11</v>
      </c>
      <c r="R13" s="244">
        <v>1416.86</v>
      </c>
      <c r="S13" s="160"/>
      <c r="T13" s="161">
        <v>81.27</v>
      </c>
      <c r="U13" s="189">
        <f t="shared" ref="U13:U41" si="2">((T13/U$10)*U$9)</f>
        <v>3.5030172413793106</v>
      </c>
      <c r="V13" s="189">
        <f t="shared" ref="V13:V41" si="3">R13*V$10</f>
        <v>10.626449999999998</v>
      </c>
      <c r="W13" s="189">
        <f t="shared" ref="W13:W41" si="4">+S13*V$10</f>
        <v>0</v>
      </c>
      <c r="X13" s="189">
        <f t="shared" ref="X13:X41" si="5">+T13*X$10</f>
        <v>2.0317500000000002</v>
      </c>
      <c r="Y13" s="189">
        <f t="shared" ref="Y13:Z41" si="6">R13-V13</f>
        <v>1406.2335499999999</v>
      </c>
      <c r="Z13" s="189">
        <f t="shared" si="6"/>
        <v>0</v>
      </c>
      <c r="AA13" s="189">
        <f t="shared" ref="AA13:AA41" si="7">T13-U13-X13</f>
        <v>75.735232758620683</v>
      </c>
      <c r="AB13" s="156"/>
    </row>
    <row r="14" spans="1:28" ht="15.75" x14ac:dyDescent="0.25">
      <c r="A14" s="86" t="s">
        <v>81</v>
      </c>
      <c r="B14" s="57">
        <f>B13*B8</f>
        <v>420.75</v>
      </c>
      <c r="C14" s="15"/>
      <c r="D14" s="56"/>
      <c r="E14" s="16"/>
      <c r="F14" s="56"/>
      <c r="G14" s="56"/>
      <c r="H14" s="17"/>
      <c r="I14" s="83"/>
      <c r="J14" s="81">
        <f t="shared" si="0"/>
        <v>420.75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2</v>
      </c>
      <c r="Q14" s="158">
        <v>553</v>
      </c>
      <c r="R14" s="159">
        <v>852.38</v>
      </c>
      <c r="S14" s="160"/>
      <c r="T14" s="161">
        <v>31.72</v>
      </c>
      <c r="U14" s="189">
        <f t="shared" si="2"/>
        <v>1.3672413793103448</v>
      </c>
      <c r="V14" s="189">
        <f t="shared" si="3"/>
        <v>6.3928500000000001</v>
      </c>
      <c r="W14" s="189">
        <f t="shared" si="4"/>
        <v>0</v>
      </c>
      <c r="X14" s="189">
        <f t="shared" si="5"/>
        <v>0.79300000000000004</v>
      </c>
      <c r="Y14" s="189">
        <f t="shared" si="6"/>
        <v>845.98715000000004</v>
      </c>
      <c r="Z14" s="189">
        <f t="shared" si="6"/>
        <v>0</v>
      </c>
      <c r="AA14" s="189">
        <f t="shared" si="7"/>
        <v>29.559758620689657</v>
      </c>
      <c r="AB14" s="156"/>
    </row>
    <row r="15" spans="1:28" ht="15.75" x14ac:dyDescent="0.25">
      <c r="A15" s="86" t="s">
        <v>77</v>
      </c>
      <c r="B15" s="56">
        <v>837</v>
      </c>
      <c r="C15" s="15"/>
      <c r="D15" s="56"/>
      <c r="E15" s="16"/>
      <c r="F15" s="56"/>
      <c r="G15" s="56"/>
      <c r="H15" s="17"/>
      <c r="I15" s="83"/>
      <c r="J15" s="81">
        <f t="shared" si="0"/>
        <v>837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533</v>
      </c>
      <c r="Q15" s="158">
        <v>4</v>
      </c>
      <c r="R15" s="159">
        <v>444.51</v>
      </c>
      <c r="S15" s="160"/>
      <c r="T15" s="161">
        <v>53.26</v>
      </c>
      <c r="U15" s="189">
        <f t="shared" si="2"/>
        <v>2.295689655172414</v>
      </c>
      <c r="V15" s="189">
        <f t="shared" si="3"/>
        <v>3.3338249999999996</v>
      </c>
      <c r="W15" s="189">
        <f t="shared" si="4"/>
        <v>0</v>
      </c>
      <c r="X15" s="189">
        <f t="shared" si="5"/>
        <v>1.3315000000000001</v>
      </c>
      <c r="Y15" s="189">
        <f t="shared" si="6"/>
        <v>441.176175</v>
      </c>
      <c r="Z15" s="189">
        <f t="shared" si="6"/>
        <v>0</v>
      </c>
      <c r="AA15" s="189">
        <f t="shared" si="7"/>
        <v>49.632810344827583</v>
      </c>
      <c r="AB15" s="156"/>
    </row>
    <row r="16" spans="1:28" ht="15.75" x14ac:dyDescent="0.25">
      <c r="A16" s="86" t="s">
        <v>81</v>
      </c>
      <c r="B16" s="57">
        <f>B15*B9</f>
        <v>4687.2</v>
      </c>
      <c r="C16" s="15"/>
      <c r="D16" s="56"/>
      <c r="E16" s="16"/>
      <c r="F16" s="56"/>
      <c r="G16" s="56"/>
      <c r="H16" s="17"/>
      <c r="I16" s="83"/>
      <c r="J16" s="81">
        <f t="shared" si="0"/>
        <v>4687.2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534</v>
      </c>
      <c r="Q16" s="158">
        <v>4</v>
      </c>
      <c r="R16" s="159">
        <v>1157.6300000000001</v>
      </c>
      <c r="S16" s="160"/>
      <c r="T16" s="161">
        <v>96.32</v>
      </c>
      <c r="U16" s="189">
        <f t="shared" si="2"/>
        <v>4.1517241379310343</v>
      </c>
      <c r="V16" s="189">
        <f t="shared" si="3"/>
        <v>8.6822250000000007</v>
      </c>
      <c r="W16" s="189">
        <f t="shared" si="4"/>
        <v>0</v>
      </c>
      <c r="X16" s="189">
        <f t="shared" si="5"/>
        <v>2.4079999999999999</v>
      </c>
      <c r="Y16" s="189">
        <f t="shared" si="6"/>
        <v>1148.9477750000001</v>
      </c>
      <c r="Z16" s="189">
        <f t="shared" si="6"/>
        <v>0</v>
      </c>
      <c r="AA16" s="189">
        <f t="shared" si="7"/>
        <v>89.760275862068951</v>
      </c>
      <c r="AB16" s="156"/>
    </row>
    <row r="17" spans="1:28" ht="15.75" x14ac:dyDescent="0.25">
      <c r="A17" s="86" t="s">
        <v>78</v>
      </c>
      <c r="B17" s="56">
        <v>845</v>
      </c>
      <c r="C17" s="15"/>
      <c r="D17" s="56"/>
      <c r="E17" s="16"/>
      <c r="F17" s="56"/>
      <c r="G17" s="56"/>
      <c r="H17" s="17"/>
      <c r="I17" s="83"/>
      <c r="J17" s="81">
        <f t="shared" si="0"/>
        <v>845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183</v>
      </c>
      <c r="Q17" s="158">
        <v>10</v>
      </c>
      <c r="R17" s="159">
        <v>746</v>
      </c>
      <c r="S17" s="160"/>
      <c r="T17" s="161"/>
      <c r="U17" s="189">
        <f t="shared" si="2"/>
        <v>0</v>
      </c>
      <c r="V17" s="189">
        <f t="shared" si="3"/>
        <v>5.5949999999999998</v>
      </c>
      <c r="W17" s="189">
        <f t="shared" si="4"/>
        <v>0</v>
      </c>
      <c r="X17" s="189">
        <f t="shared" si="5"/>
        <v>0</v>
      </c>
      <c r="Y17" s="189">
        <f t="shared" si="6"/>
        <v>740.40499999999997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4748.8999999999996</v>
      </c>
      <c r="C18" s="15"/>
      <c r="D18" s="56"/>
      <c r="E18" s="16"/>
      <c r="F18" s="56"/>
      <c r="G18" s="56"/>
      <c r="H18" s="17"/>
      <c r="I18" s="83"/>
      <c r="J18" s="81">
        <f t="shared" si="0"/>
        <v>4748.8999999999996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184</v>
      </c>
      <c r="Q18" s="158">
        <v>10</v>
      </c>
      <c r="R18" s="159">
        <v>848.8</v>
      </c>
      <c r="S18" s="160"/>
      <c r="T18" s="161">
        <v>59.77</v>
      </c>
      <c r="U18" s="189">
        <f t="shared" si="2"/>
        <v>2.5762931034482763</v>
      </c>
      <c r="V18" s="189">
        <f t="shared" si="3"/>
        <v>6.3659999999999997</v>
      </c>
      <c r="W18" s="189">
        <f t="shared" si="4"/>
        <v>0</v>
      </c>
      <c r="X18" s="189">
        <f t="shared" si="5"/>
        <v>1.4942500000000001</v>
      </c>
      <c r="Y18" s="189">
        <f t="shared" si="6"/>
        <v>842.43399999999997</v>
      </c>
      <c r="Z18" s="189">
        <f t="shared" si="6"/>
        <v>0</v>
      </c>
      <c r="AA18" s="189">
        <f t="shared" si="7"/>
        <v>55.699456896551723</v>
      </c>
      <c r="AB18" s="156"/>
    </row>
    <row r="19" spans="1:28" ht="15.75" x14ac:dyDescent="0.25">
      <c r="A19" s="93" t="s">
        <v>79</v>
      </c>
      <c r="B19" s="97">
        <f>+B13+B15+B17</f>
        <v>1757</v>
      </c>
      <c r="C19" s="95"/>
      <c r="D19" s="94"/>
      <c r="E19" s="96"/>
      <c r="F19" s="94"/>
      <c r="G19" s="94"/>
      <c r="H19" s="98"/>
      <c r="I19" s="99"/>
      <c r="J19" s="185">
        <f>B19-I19</f>
        <v>1757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617</v>
      </c>
      <c r="Q19" s="158">
        <v>18</v>
      </c>
      <c r="R19" s="159">
        <v>383.67</v>
      </c>
      <c r="S19" s="160"/>
      <c r="T19" s="247">
        <v>27.58</v>
      </c>
      <c r="U19" s="189">
        <f t="shared" si="2"/>
        <v>1.1887931034482759</v>
      </c>
      <c r="V19" s="189">
        <f t="shared" si="3"/>
        <v>2.8775249999999999</v>
      </c>
      <c r="W19" s="189">
        <f t="shared" si="4"/>
        <v>0</v>
      </c>
      <c r="X19" s="189">
        <f t="shared" si="5"/>
        <v>0.6895</v>
      </c>
      <c r="Y19" s="189">
        <f t="shared" si="6"/>
        <v>380.79247500000002</v>
      </c>
      <c r="Z19" s="189">
        <f t="shared" si="6"/>
        <v>0</v>
      </c>
      <c r="AA19" s="189">
        <f t="shared" si="7"/>
        <v>25.701706896551723</v>
      </c>
      <c r="AB19" s="156"/>
    </row>
    <row r="20" spans="1:28" ht="15.75" x14ac:dyDescent="0.25">
      <c r="A20" s="93" t="s">
        <v>80</v>
      </c>
      <c r="B20" s="97">
        <f>+B14+B16+B18</f>
        <v>9856.8499999999985</v>
      </c>
      <c r="C20" s="95"/>
      <c r="D20" s="94"/>
      <c r="E20" s="96"/>
      <c r="F20" s="94"/>
      <c r="G20" s="94"/>
      <c r="H20" s="98"/>
      <c r="I20" s="99">
        <v>9874.34</v>
      </c>
      <c r="J20" s="185">
        <f t="shared" si="0"/>
        <v>-17.490000000001601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618</v>
      </c>
      <c r="Q20" s="158">
        <v>18</v>
      </c>
      <c r="R20" s="159">
        <v>517.15</v>
      </c>
      <c r="S20" s="160"/>
      <c r="T20" s="161">
        <v>56.37</v>
      </c>
      <c r="U20" s="189">
        <f t="shared" si="2"/>
        <v>2.4297413793103448</v>
      </c>
      <c r="V20" s="189">
        <f t="shared" si="3"/>
        <v>3.8786249999999995</v>
      </c>
      <c r="W20" s="189">
        <f t="shared" si="4"/>
        <v>0</v>
      </c>
      <c r="X20" s="189">
        <f t="shared" si="5"/>
        <v>1.4092500000000001</v>
      </c>
      <c r="Y20" s="189">
        <f t="shared" si="6"/>
        <v>513.27137500000003</v>
      </c>
      <c r="Z20" s="189">
        <f t="shared" si="6"/>
        <v>0</v>
      </c>
      <c r="AA20" s="189">
        <f t="shared" si="7"/>
        <v>52.531008620689654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552</v>
      </c>
      <c r="Q21" s="158">
        <v>2</v>
      </c>
      <c r="R21" s="159">
        <v>161.99</v>
      </c>
      <c r="S21" s="160"/>
      <c r="T21" s="161"/>
      <c r="U21" s="189">
        <f t="shared" si="2"/>
        <v>0</v>
      </c>
      <c r="V21" s="189">
        <f t="shared" si="3"/>
        <v>1.214925</v>
      </c>
      <c r="W21" s="189">
        <f t="shared" si="4"/>
        <v>0</v>
      </c>
      <c r="X21" s="189">
        <f t="shared" si="5"/>
        <v>0</v>
      </c>
      <c r="Y21" s="189">
        <f t="shared" si="6"/>
        <v>160.77507500000002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8"/>
      <c r="Q31" s="158"/>
      <c r="R31" s="162"/>
      <c r="S31" s="160"/>
      <c r="T31" s="160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17.07</v>
      </c>
      <c r="C39" s="100"/>
      <c r="D39" s="66"/>
      <c r="E39" s="67"/>
      <c r="F39" s="66"/>
      <c r="G39" s="66"/>
      <c r="H39" s="102"/>
      <c r="I39" s="79">
        <v>17.07</v>
      </c>
      <c r="J39" s="81">
        <f t="shared" si="0"/>
        <v>0</v>
      </c>
      <c r="K39" s="80">
        <v>17.07</v>
      </c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95.591999999999999</v>
      </c>
      <c r="C40" s="100"/>
      <c r="D40" s="66"/>
      <c r="E40" s="67"/>
      <c r="F40" s="66"/>
      <c r="G40" s="66"/>
      <c r="H40" s="102"/>
      <c r="I40" s="79">
        <v>95.59</v>
      </c>
      <c r="J40" s="81">
        <f t="shared" si="0"/>
        <v>1.9999999999953388E-3</v>
      </c>
      <c r="K40" s="80">
        <v>95.59</v>
      </c>
      <c r="L40" s="186">
        <f t="shared" si="8"/>
        <v>-1.9999999999953388E-3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8408.73</v>
      </c>
      <c r="S42" s="190">
        <f t="shared" si="9"/>
        <v>0</v>
      </c>
      <c r="T42" s="190">
        <f t="shared" si="9"/>
        <v>406.28999999999996</v>
      </c>
      <c r="U42" s="190">
        <f t="shared" si="9"/>
        <v>17.512500000000003</v>
      </c>
      <c r="V42" s="190">
        <f t="shared" si="9"/>
        <v>63.065474999999999</v>
      </c>
      <c r="W42" s="190">
        <f t="shared" si="9"/>
        <v>0</v>
      </c>
      <c r="X42" s="190">
        <f t="shared" si="9"/>
        <v>10.157249999999999</v>
      </c>
      <c r="Y42" s="190">
        <f t="shared" si="9"/>
        <v>8345.6645250000001</v>
      </c>
      <c r="Z42" s="190">
        <f t="shared" si="9"/>
        <v>0</v>
      </c>
      <c r="AA42" s="190">
        <f t="shared" si="9"/>
        <v>378.62025</v>
      </c>
      <c r="AB42" s="166"/>
    </row>
    <row r="43" spans="1:28" ht="15.75" x14ac:dyDescent="0.25">
      <c r="A43" s="93" t="s">
        <v>101</v>
      </c>
      <c r="B43" s="97">
        <f>+B37+B39+B41</f>
        <v>17.07</v>
      </c>
      <c r="C43" s="95"/>
      <c r="D43" s="94"/>
      <c r="E43" s="96"/>
      <c r="F43" s="94"/>
      <c r="G43" s="94"/>
      <c r="H43" s="98"/>
      <c r="I43" s="99">
        <v>17.07</v>
      </c>
      <c r="J43" s="185">
        <f t="shared" si="0"/>
        <v>0</v>
      </c>
      <c r="K43" s="99">
        <v>17.07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95.591999999999999</v>
      </c>
      <c r="C44" s="95"/>
      <c r="D44" s="94"/>
      <c r="E44" s="96"/>
      <c r="F44" s="94"/>
      <c r="G44" s="94"/>
      <c r="H44" s="98"/>
      <c r="I44" s="99">
        <v>95.59</v>
      </c>
      <c r="J44" s="185">
        <f t="shared" si="0"/>
        <v>1.9999999999953388E-3</v>
      </c>
      <c r="K44" s="99">
        <v>95.59</v>
      </c>
      <c r="L44" s="187">
        <f>K44-B44</f>
        <v>-1.9999999999953388E-3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8408.73</v>
      </c>
      <c r="C46" s="116">
        <v>7.4999999999999997E-3</v>
      </c>
      <c r="D46" s="117">
        <f>B46*C46</f>
        <v>63.065474999999992</v>
      </c>
      <c r="E46" s="172">
        <v>0</v>
      </c>
      <c r="F46" s="117">
        <f t="shared" ref="F46:F50" si="16">D46*E46</f>
        <v>0</v>
      </c>
      <c r="G46" s="117">
        <f t="shared" ref="G46:G51" si="17">B46-D46-F46</f>
        <v>8345.6645250000001</v>
      </c>
      <c r="H46" s="173">
        <f>B$6+1</f>
        <v>44755</v>
      </c>
      <c r="I46" s="174">
        <v>8408.73</v>
      </c>
      <c r="J46" s="81">
        <f t="shared" si="0"/>
        <v>0</v>
      </c>
      <c r="K46" s="80">
        <v>8692.93</v>
      </c>
      <c r="L46" s="186">
        <f>K46-G46</f>
        <v>347.26547500000015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323.70999999999998</v>
      </c>
      <c r="C48" s="116">
        <v>7.4999999999999997E-3</v>
      </c>
      <c r="D48" s="117">
        <f t="shared" si="18"/>
        <v>2.4278249999999999</v>
      </c>
      <c r="E48" s="172">
        <v>0</v>
      </c>
      <c r="F48" s="117">
        <f t="shared" si="16"/>
        <v>0</v>
      </c>
      <c r="G48" s="117">
        <f t="shared" si="17"/>
        <v>321.282175</v>
      </c>
      <c r="H48" s="173">
        <f t="shared" ref="H48:H61" si="20">B$6+1</f>
        <v>44755</v>
      </c>
      <c r="I48" s="176">
        <v>323.70999999999998</v>
      </c>
      <c r="J48" s="81">
        <f t="shared" si="0"/>
        <v>0</v>
      </c>
      <c r="K48" s="80">
        <v>321.27999999999997</v>
      </c>
      <c r="L48" s="186">
        <f t="shared" si="19"/>
        <v>2.1750000000224645E-3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213</v>
      </c>
      <c r="B49" s="117">
        <f>R75</f>
        <v>2720.08</v>
      </c>
      <c r="C49" s="116">
        <v>7.4999999999999997E-3</v>
      </c>
      <c r="D49" s="117">
        <f t="shared" si="18"/>
        <v>20.400599999999997</v>
      </c>
      <c r="E49" s="172">
        <v>0</v>
      </c>
      <c r="F49" s="117">
        <f t="shared" si="16"/>
        <v>0</v>
      </c>
      <c r="G49" s="117">
        <f t="shared" si="17"/>
        <v>2699.6794</v>
      </c>
      <c r="H49" s="173">
        <f t="shared" si="20"/>
        <v>44755</v>
      </c>
      <c r="I49" s="176">
        <v>2475.08</v>
      </c>
      <c r="J49" s="81">
        <f t="shared" si="0"/>
        <v>245</v>
      </c>
      <c r="K49" s="80">
        <v>2699.68</v>
      </c>
      <c r="L49" s="186">
        <f t="shared" si="19"/>
        <v>-5.9999999984938768E-4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1679.28</v>
      </c>
      <c r="C50" s="116">
        <v>7.4999999999999997E-3</v>
      </c>
      <c r="D50" s="117">
        <f t="shared" si="18"/>
        <v>12.5946</v>
      </c>
      <c r="E50" s="172">
        <v>0</v>
      </c>
      <c r="F50" s="117">
        <f t="shared" si="16"/>
        <v>0</v>
      </c>
      <c r="G50" s="117">
        <f t="shared" si="17"/>
        <v>1666.6854000000001</v>
      </c>
      <c r="H50" s="173">
        <f t="shared" si="20"/>
        <v>44755</v>
      </c>
      <c r="I50" s="175"/>
      <c r="J50" s="81">
        <f>B50-I50</f>
        <v>1679.28</v>
      </c>
      <c r="K50" s="80">
        <v>1666.69</v>
      </c>
      <c r="L50" s="186">
        <f t="shared" si="19"/>
        <v>-4.5999999999821739E-3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362.39</v>
      </c>
      <c r="C51" s="116">
        <v>1.4999999999999999E-2</v>
      </c>
      <c r="D51" s="117">
        <f>+B51*C51</f>
        <v>5.4358499999999994</v>
      </c>
      <c r="E51" s="172">
        <v>0</v>
      </c>
      <c r="F51" s="117">
        <f>D51*E51</f>
        <v>0</v>
      </c>
      <c r="G51" s="117">
        <f t="shared" si="17"/>
        <v>356.95414999999997</v>
      </c>
      <c r="H51" s="173">
        <f t="shared" si="20"/>
        <v>44755</v>
      </c>
      <c r="I51" s="175">
        <v>2041.77</v>
      </c>
      <c r="J51" s="81">
        <f t="shared" si="0"/>
        <v>-1679.38</v>
      </c>
      <c r="K51" s="80">
        <v>356.95</v>
      </c>
      <c r="L51" s="186">
        <f t="shared" si="19"/>
        <v>4.1499999999814463E-3</v>
      </c>
      <c r="M51" s="107"/>
      <c r="N51" s="104">
        <v>9</v>
      </c>
      <c r="O51" s="167" t="s">
        <v>69</v>
      </c>
      <c r="P51" s="158"/>
      <c r="Q51" s="158"/>
      <c r="R51" s="160"/>
      <c r="S51" s="160"/>
      <c r="T51" s="160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406.28999999999996</v>
      </c>
      <c r="C52" s="116">
        <v>2.5000000000000001E-2</v>
      </c>
      <c r="D52" s="117">
        <f>B52*C52</f>
        <v>10.157249999999999</v>
      </c>
      <c r="E52" s="172">
        <v>0.05</v>
      </c>
      <c r="F52" s="117">
        <f>(B52/E$10)*E52</f>
        <v>17.512499999999999</v>
      </c>
      <c r="G52" s="117">
        <f>B52-D52-F52</f>
        <v>378.62025</v>
      </c>
      <c r="H52" s="188">
        <f t="shared" si="20"/>
        <v>44755</v>
      </c>
      <c r="I52" s="176">
        <v>406.33</v>
      </c>
      <c r="J52" s="81">
        <f t="shared" si="0"/>
        <v>-4.0000000000020464E-2</v>
      </c>
      <c r="K52" s="80">
        <v>52.53</v>
      </c>
      <c r="L52" s="186">
        <f>K52-G52</f>
        <v>-326.09024999999997</v>
      </c>
      <c r="M52" s="107"/>
      <c r="N52" s="104">
        <v>10</v>
      </c>
      <c r="O52" s="167" t="s">
        <v>69</v>
      </c>
      <c r="P52" s="242"/>
      <c r="Q52" s="84"/>
      <c r="R52" s="160"/>
      <c r="S52" s="160"/>
      <c r="T52" s="160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44755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44755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44755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212</v>
      </c>
      <c r="B56" s="117">
        <f>T75</f>
        <v>69.11</v>
      </c>
      <c r="C56" s="116">
        <v>2.5000000000000001E-2</v>
      </c>
      <c r="D56" s="117">
        <f t="shared" si="21"/>
        <v>1.7277500000000001</v>
      </c>
      <c r="E56" s="172">
        <v>0.05</v>
      </c>
      <c r="F56" s="117">
        <f t="shared" si="22"/>
        <v>2.9788793103448281</v>
      </c>
      <c r="G56" s="117">
        <f t="shared" si="23"/>
        <v>64.403370689655176</v>
      </c>
      <c r="H56" s="173">
        <f t="shared" si="20"/>
        <v>44755</v>
      </c>
      <c r="I56" s="176">
        <v>69.11</v>
      </c>
      <c r="J56" s="81">
        <f t="shared" si="0"/>
        <v>0</v>
      </c>
      <c r="K56" s="80">
        <v>64.400000000000006</v>
      </c>
      <c r="L56" s="186">
        <f t="shared" si="19"/>
        <v>3.3706896551706222E-3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115.80934999999999</v>
      </c>
      <c r="E61" s="177"/>
      <c r="F61" s="57">
        <f>SUM(F46:F58)</f>
        <v>20.491379310344826</v>
      </c>
      <c r="G61" s="57">
        <f>SUM(G46:G58)</f>
        <v>13833.289270689656</v>
      </c>
      <c r="H61" s="173">
        <f t="shared" si="20"/>
        <v>44755</v>
      </c>
      <c r="I61" s="175"/>
      <c r="J61" s="81">
        <f t="shared" si="0"/>
        <v>0</v>
      </c>
      <c r="K61" s="80"/>
      <c r="L61" s="186">
        <f t="shared" si="19"/>
        <v>13833.289270689656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245</v>
      </c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245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241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27666.578541379313</v>
      </c>
      <c r="H64" s="184"/>
      <c r="I64" s="175"/>
      <c r="J64" s="81">
        <f t="shared" si="0"/>
        <v>0</v>
      </c>
      <c r="K64" s="80"/>
      <c r="L64" s="186">
        <f t="shared" si="19"/>
        <v>27666.578541379313</v>
      </c>
      <c r="M64" s="130"/>
      <c r="N64" s="87">
        <v>1</v>
      </c>
      <c r="O64" s="122" t="s">
        <v>211</v>
      </c>
      <c r="P64" s="225">
        <v>4927</v>
      </c>
      <c r="Q64" s="225"/>
      <c r="R64" s="240">
        <v>73.98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0.55484999999999995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73.425150000000002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24291.031999999999</v>
      </c>
      <c r="G65" s="22"/>
      <c r="L65" s="132"/>
      <c r="M65" s="131"/>
      <c r="N65" s="87">
        <v>2</v>
      </c>
      <c r="O65" s="122" t="s">
        <v>211</v>
      </c>
      <c r="P65" s="225"/>
      <c r="Q65" s="225"/>
      <c r="R65" s="225">
        <v>11</v>
      </c>
      <c r="S65" s="225"/>
      <c r="T65" s="87"/>
      <c r="U65" s="189">
        <f t="shared" si="28"/>
        <v>0</v>
      </c>
      <c r="V65" s="189">
        <f t="shared" si="29"/>
        <v>8.249999999999999E-2</v>
      </c>
      <c r="W65" s="189">
        <f t="shared" si="30"/>
        <v>0</v>
      </c>
      <c r="X65" s="189">
        <f t="shared" si="31"/>
        <v>0</v>
      </c>
      <c r="Y65" s="189">
        <f t="shared" si="32"/>
        <v>10.9175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174</v>
      </c>
      <c r="P66" s="225"/>
      <c r="Q66" s="225"/>
      <c r="R66" s="240">
        <v>154.71</v>
      </c>
      <c r="S66" s="225"/>
      <c r="T66" s="87"/>
      <c r="U66" s="189">
        <f t="shared" si="28"/>
        <v>0</v>
      </c>
      <c r="V66" s="189">
        <f t="shared" si="29"/>
        <v>1.1603250000000001</v>
      </c>
      <c r="W66" s="189">
        <f t="shared" si="30"/>
        <v>0</v>
      </c>
      <c r="X66" s="189">
        <f t="shared" si="31"/>
        <v>0</v>
      </c>
      <c r="Y66" s="189">
        <f t="shared" si="32"/>
        <v>153.54967500000001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211</v>
      </c>
      <c r="P67" s="225"/>
      <c r="Q67" s="225"/>
      <c r="R67" s="225">
        <v>84.02</v>
      </c>
      <c r="S67" s="225"/>
      <c r="T67" s="87"/>
      <c r="U67" s="189">
        <f t="shared" si="28"/>
        <v>0</v>
      </c>
      <c r="V67" s="189">
        <f t="shared" si="29"/>
        <v>0.63014999999999999</v>
      </c>
      <c r="W67" s="189">
        <f t="shared" si="30"/>
        <v>0</v>
      </c>
      <c r="X67" s="189">
        <f t="shared" si="31"/>
        <v>0</v>
      </c>
      <c r="Y67" s="189">
        <f t="shared" si="32"/>
        <v>83.389849999999996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23914.78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211</v>
      </c>
      <c r="P68" s="225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24183.75</v>
      </c>
      <c r="C69" s="59"/>
      <c r="F69" s="87" t="s">
        <v>127</v>
      </c>
      <c r="G69" s="22"/>
      <c r="H69" s="89"/>
      <c r="I69" s="136"/>
      <c r="J69" s="136">
        <f>K52</f>
        <v>52.53</v>
      </c>
      <c r="N69" s="301" t="s">
        <v>108</v>
      </c>
      <c r="O69" s="301"/>
      <c r="P69" s="302"/>
      <c r="Q69" s="302"/>
      <c r="R69" s="192">
        <f>SUM(R64:R68)</f>
        <v>323.70999999999998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2.4278249999999999</v>
      </c>
      <c r="W69" s="192">
        <f t="shared" si="34"/>
        <v>0</v>
      </c>
      <c r="X69" s="192">
        <f t="shared" si="34"/>
        <v>0</v>
      </c>
      <c r="Y69" s="192">
        <f t="shared" si="34"/>
        <v>321.28217500000005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-268.97000000000116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51">
        <v>149</v>
      </c>
      <c r="Q70" s="225">
        <v>2001</v>
      </c>
      <c r="R70" s="221">
        <v>3.23</v>
      </c>
      <c r="S70" s="225"/>
      <c r="T70" s="221"/>
      <c r="U70" s="189">
        <f t="shared" ref="U70:U74" si="35">((T70/U$10)*U$9)</f>
        <v>0</v>
      </c>
      <c r="V70" s="189">
        <f t="shared" ref="V70:V74" si="36">R70*V$10</f>
        <v>2.4225E-2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3.205775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107.28199999999924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52.53</v>
      </c>
      <c r="N71" s="87">
        <v>2</v>
      </c>
      <c r="O71" s="122" t="s">
        <v>210</v>
      </c>
      <c r="P71" s="251">
        <v>1</v>
      </c>
      <c r="Q71" s="225">
        <v>2001</v>
      </c>
      <c r="R71" s="221">
        <v>342.34</v>
      </c>
      <c r="S71" s="225"/>
      <c r="T71" s="221"/>
      <c r="U71" s="189">
        <f t="shared" si="35"/>
        <v>0</v>
      </c>
      <c r="V71" s="189">
        <f t="shared" si="36"/>
        <v>2.5675499999999998</v>
      </c>
      <c r="W71" s="189">
        <f t="shared" si="37"/>
        <v>0</v>
      </c>
      <c r="X71" s="189">
        <f t="shared" si="38"/>
        <v>0</v>
      </c>
      <c r="Y71" s="189">
        <f t="shared" si="39"/>
        <v>339.77244999999999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51">
        <v>94</v>
      </c>
      <c r="Q72" s="225">
        <v>1001</v>
      </c>
      <c r="R72" s="221">
        <v>241.45</v>
      </c>
      <c r="S72" s="225"/>
      <c r="T72" s="225">
        <v>10.92</v>
      </c>
      <c r="U72" s="189">
        <f t="shared" si="35"/>
        <v>0.47068965517241379</v>
      </c>
      <c r="V72" s="189">
        <f t="shared" si="36"/>
        <v>1.8108749999999998</v>
      </c>
      <c r="W72" s="189">
        <f t="shared" si="37"/>
        <v>0</v>
      </c>
      <c r="X72" s="189">
        <f t="shared" si="38"/>
        <v>0.27300000000000002</v>
      </c>
      <c r="Y72" s="189">
        <f t="shared" si="39"/>
        <v>239.63912499999998</v>
      </c>
      <c r="Z72" s="189">
        <f t="shared" si="39"/>
        <v>0</v>
      </c>
      <c r="AA72" s="189">
        <f t="shared" si="40"/>
        <v>10.176310344827586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51">
        <v>95</v>
      </c>
      <c r="Q73" s="225">
        <v>1001</v>
      </c>
      <c r="R73" s="221">
        <v>1888.06</v>
      </c>
      <c r="S73" s="225"/>
      <c r="T73" s="225">
        <v>58.19</v>
      </c>
      <c r="U73" s="189">
        <f t="shared" si="35"/>
        <v>2.5081896551724139</v>
      </c>
      <c r="V73" s="189">
        <f t="shared" si="36"/>
        <v>14.160449999999999</v>
      </c>
      <c r="W73" s="189">
        <f t="shared" si="37"/>
        <v>0</v>
      </c>
      <c r="X73" s="189">
        <f t="shared" si="38"/>
        <v>1.45475</v>
      </c>
      <c r="Y73" s="189">
        <f t="shared" si="39"/>
        <v>1873.8995499999999</v>
      </c>
      <c r="Z73" s="189">
        <f t="shared" si="39"/>
        <v>0</v>
      </c>
      <c r="AA73" s="189">
        <f t="shared" si="40"/>
        <v>54.227060344827585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50"/>
      <c r="Q74" s="225"/>
      <c r="R74" s="221">
        <f>60+50+25+25+75+10</f>
        <v>245</v>
      </c>
      <c r="S74" s="225"/>
      <c r="T74" s="225"/>
      <c r="U74" s="189">
        <f t="shared" si="35"/>
        <v>0</v>
      </c>
      <c r="V74" s="189">
        <f t="shared" si="36"/>
        <v>1.8374999999999999</v>
      </c>
      <c r="W74" s="189">
        <f t="shared" si="37"/>
        <v>0</v>
      </c>
      <c r="X74" s="189">
        <f t="shared" si="38"/>
        <v>0</v>
      </c>
      <c r="Y74" s="189">
        <f t="shared" si="39"/>
        <v>243.16249999999999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2720.08</v>
      </c>
      <c r="S75" s="192"/>
      <c r="T75" s="192">
        <f>SUM(T70:T74)</f>
        <v>69.11</v>
      </c>
      <c r="U75" s="192">
        <f>SUM(U70:U74)</f>
        <v>2.9788793103448277</v>
      </c>
      <c r="V75" s="192">
        <f t="shared" ref="V75:AA75" si="42">SUM(V70:V74)</f>
        <v>20.400599999999997</v>
      </c>
      <c r="W75" s="192">
        <f t="shared" si="42"/>
        <v>0</v>
      </c>
      <c r="X75" s="192">
        <f t="shared" si="42"/>
        <v>1.7277499999999999</v>
      </c>
      <c r="Y75" s="192">
        <f t="shared" si="42"/>
        <v>2699.6793999999995</v>
      </c>
      <c r="Z75" s="192">
        <f t="shared" si="42"/>
        <v>0</v>
      </c>
      <c r="AA75" s="193">
        <f t="shared" si="42"/>
        <v>64.403370689655176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76.11</v>
      </c>
      <c r="Q78" s="137">
        <v>64.489999999999995</v>
      </c>
      <c r="R78" s="82">
        <v>7.4999999999999997E-3</v>
      </c>
      <c r="S78" s="194">
        <f>+(P78+Q78)*R78</f>
        <v>1.0545</v>
      </c>
      <c r="T78" s="258">
        <f>+(P78+Q78)-S78</f>
        <v>139.5455</v>
      </c>
      <c r="U78" s="211">
        <v>0.34</v>
      </c>
      <c r="V78" s="112"/>
      <c r="W78" s="113">
        <v>1.4999999999999999E-2</v>
      </c>
      <c r="X78" s="196">
        <f>+(U78+V78)*W78</f>
        <v>5.1000000000000004E-3</v>
      </c>
      <c r="Y78" s="258">
        <f>+(U78+V78)-X78</f>
        <v>0.33490000000000003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313.08</v>
      </c>
      <c r="Q79" s="137">
        <v>130.69</v>
      </c>
      <c r="R79" s="82">
        <v>7.4999999999999997E-3</v>
      </c>
      <c r="S79" s="194">
        <f t="shared" ref="S79:S97" si="44">+(P79+Q79)*R79</f>
        <v>3.3282749999999997</v>
      </c>
      <c r="T79" s="258">
        <f t="shared" ref="T79:T97" si="45">+(P79+Q79)-S79</f>
        <v>440.44172499999996</v>
      </c>
      <c r="U79" s="211">
        <v>89.28</v>
      </c>
      <c r="V79" s="112"/>
      <c r="W79" s="113">
        <v>1.4999999999999999E-2</v>
      </c>
      <c r="X79" s="196">
        <f t="shared" ref="X79:X97" si="46">+(U79+V79)*W79</f>
        <v>1.3391999999999999</v>
      </c>
      <c r="Y79" s="258">
        <f t="shared" ref="Y79:Y97" si="47">+(U79+V79)-X79</f>
        <v>87.940799999999996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18.7</v>
      </c>
      <c r="Q80" s="137"/>
      <c r="R80" s="82">
        <v>7.4999999999999997E-3</v>
      </c>
      <c r="S80" s="194">
        <f t="shared" si="44"/>
        <v>0.14024999999999999</v>
      </c>
      <c r="T80" s="254">
        <f t="shared" si="45"/>
        <v>18.559750000000001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255.77</v>
      </c>
      <c r="Q81" s="137">
        <v>160.74</v>
      </c>
      <c r="R81" s="82">
        <v>7.4999999999999997E-3</v>
      </c>
      <c r="S81" s="194">
        <f t="shared" si="44"/>
        <v>3.1238249999999996</v>
      </c>
      <c r="T81" s="254">
        <f t="shared" si="45"/>
        <v>413.38617499999998</v>
      </c>
      <c r="U81" s="211">
        <v>23.35</v>
      </c>
      <c r="V81" s="112"/>
      <c r="W81" s="113">
        <v>1.4999999999999999E-2</v>
      </c>
      <c r="X81" s="196">
        <f t="shared" si="46"/>
        <v>0.35025000000000001</v>
      </c>
      <c r="Y81" s="258">
        <f t="shared" si="47"/>
        <v>22.999750000000002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239.96</v>
      </c>
      <c r="Q82" s="137">
        <v>19.670000000000002</v>
      </c>
      <c r="R82" s="82">
        <v>7.4999999999999997E-3</v>
      </c>
      <c r="S82" s="194">
        <f t="shared" si="44"/>
        <v>1.947225</v>
      </c>
      <c r="T82" s="254">
        <f t="shared" si="45"/>
        <v>257.68277499999999</v>
      </c>
      <c r="U82" s="211">
        <v>32.020000000000003</v>
      </c>
      <c r="V82" s="112"/>
      <c r="W82" s="113">
        <v>1.4999999999999999E-2</v>
      </c>
      <c r="X82" s="196">
        <f t="shared" si="46"/>
        <v>0.4803</v>
      </c>
      <c r="Y82" s="213">
        <f t="shared" si="47"/>
        <v>31.539700000000003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147.62</v>
      </c>
      <c r="Q83" s="137">
        <v>3.71</v>
      </c>
      <c r="R83" s="82">
        <v>7.4999999999999997E-3</v>
      </c>
      <c r="S83" s="194">
        <f t="shared" si="44"/>
        <v>1.1349750000000001</v>
      </c>
      <c r="T83" s="254">
        <f t="shared" si="45"/>
        <v>150.19502500000002</v>
      </c>
      <c r="U83" s="211">
        <v>77.89</v>
      </c>
      <c r="V83" s="112"/>
      <c r="W83" s="113">
        <v>1.4999999999999999E-2</v>
      </c>
      <c r="X83" s="196">
        <f t="shared" si="46"/>
        <v>1.16835</v>
      </c>
      <c r="Y83" s="258">
        <f t="shared" si="47"/>
        <v>76.721649999999997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17.18</v>
      </c>
      <c r="Q84" s="87">
        <v>8.69</v>
      </c>
      <c r="R84" s="82">
        <v>7.4999999999999997E-3</v>
      </c>
      <c r="S84" s="194">
        <f t="shared" si="44"/>
        <v>0.19402499999999998</v>
      </c>
      <c r="T84" s="254">
        <f t="shared" si="45"/>
        <v>25.675974999999998</v>
      </c>
      <c r="U84" s="112">
        <v>9.89</v>
      </c>
      <c r="V84" s="112"/>
      <c r="W84" s="113">
        <v>1.4999999999999999E-2</v>
      </c>
      <c r="X84" s="196">
        <f t="shared" si="46"/>
        <v>0.14835000000000001</v>
      </c>
      <c r="Y84" s="258">
        <f t="shared" si="47"/>
        <v>9.7416499999999999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200.05</v>
      </c>
      <c r="Q85" s="87">
        <v>22.82</v>
      </c>
      <c r="R85" s="82">
        <v>7.4999999999999997E-3</v>
      </c>
      <c r="S85" s="194">
        <f t="shared" si="44"/>
        <v>1.6715249999999999</v>
      </c>
      <c r="T85" s="254">
        <f t="shared" si="45"/>
        <v>221.198475</v>
      </c>
      <c r="U85" s="112">
        <v>129.62</v>
      </c>
      <c r="V85" s="112"/>
      <c r="W85" s="113">
        <v>1.4999999999999999E-2</v>
      </c>
      <c r="X85" s="196">
        <f t="shared" si="46"/>
        <v>1.9442999999999999</v>
      </c>
      <c r="Y85" s="258">
        <f t="shared" si="47"/>
        <v>127.67570000000001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1268.47</v>
      </c>
      <c r="Q98" s="195">
        <f>SUM(Q78:Q97)</f>
        <v>410.81</v>
      </c>
      <c r="R98" s="111"/>
      <c r="S98" s="195">
        <f>SUM(S78:S97)</f>
        <v>12.5946</v>
      </c>
      <c r="T98" s="195">
        <f>SUM(T78:T97)</f>
        <v>1666.6854000000001</v>
      </c>
      <c r="U98" s="114">
        <f>SUM(U78:U97)</f>
        <v>362.39</v>
      </c>
      <c r="V98" s="114">
        <f>SUM(V78:V97)</f>
        <v>0</v>
      </c>
      <c r="W98" s="112"/>
      <c r="X98" s="197">
        <f>SUM(X78:X97)</f>
        <v>5.4358500000000003</v>
      </c>
      <c r="Y98" s="197">
        <f>SUM(Y78:Y97)</f>
        <v>356.95415000000003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3">
        <f>P78+Q78+U78</f>
        <v>140.94</v>
      </c>
      <c r="R101" s="84"/>
    </row>
    <row r="102" spans="14:30" x14ac:dyDescent="0.25">
      <c r="N102" s="85"/>
      <c r="Q102" s="215">
        <f t="shared" ref="Q102" si="51">P79+Q79+U79</f>
        <v>533.04999999999995</v>
      </c>
      <c r="R102" s="84"/>
    </row>
    <row r="103" spans="14:30" x14ac:dyDescent="0.25">
      <c r="N103" s="85"/>
      <c r="Q103" s="215">
        <f t="shared" ref="Q103:Q107" si="52">P80+Q80+U80</f>
        <v>18.7</v>
      </c>
      <c r="R103" s="84"/>
    </row>
    <row r="104" spans="14:30" x14ac:dyDescent="0.25">
      <c r="N104" s="85"/>
      <c r="Q104" s="215">
        <f>P81+Q81+U81</f>
        <v>439.86</v>
      </c>
      <c r="R104" s="84"/>
    </row>
    <row r="105" spans="14:30" x14ac:dyDescent="0.25">
      <c r="N105" s="85"/>
      <c r="Q105" s="215">
        <f t="shared" si="52"/>
        <v>291.64999999999998</v>
      </c>
      <c r="R105" s="84"/>
    </row>
    <row r="106" spans="14:30" x14ac:dyDescent="0.25">
      <c r="N106" s="85"/>
      <c r="Q106" s="215">
        <f t="shared" si="52"/>
        <v>229.22000000000003</v>
      </c>
      <c r="R106" s="84"/>
    </row>
    <row r="107" spans="14:30" x14ac:dyDescent="0.25">
      <c r="N107" s="85"/>
      <c r="Q107" s="246">
        <f t="shared" si="52"/>
        <v>35.76</v>
      </c>
      <c r="R107" s="84"/>
    </row>
    <row r="108" spans="14:30" x14ac:dyDescent="0.25">
      <c r="N108" s="85"/>
      <c r="Q108" s="84">
        <f>P85+Q85+U85</f>
        <v>352.49</v>
      </c>
      <c r="R108" s="84"/>
    </row>
    <row r="109" spans="14:30" x14ac:dyDescent="0.25">
      <c r="N109" s="85"/>
      <c r="Q109" s="246">
        <f>P86+Q86+U86</f>
        <v>0</v>
      </c>
      <c r="R109" s="84"/>
    </row>
    <row r="110" spans="14:30" x14ac:dyDescent="0.25">
      <c r="N110" s="85"/>
      <c r="Q110" s="84">
        <f>P87+Q87+U87</f>
        <v>0</v>
      </c>
      <c r="R110" s="84"/>
    </row>
    <row r="111" spans="14:30" x14ac:dyDescent="0.25">
      <c r="N111" s="85"/>
      <c r="Q111" s="84"/>
      <c r="R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73" zoomScale="90" zoomScaleNormal="90" workbookViewId="0">
      <selection activeCell="T88" sqref="T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5.66</v>
      </c>
      <c r="C8" s="85" t="s">
        <v>92</v>
      </c>
      <c r="D8" s="108">
        <v>5.65</v>
      </c>
    </row>
    <row r="9" spans="1:28" x14ac:dyDescent="0.25">
      <c r="A9" s="7" t="s">
        <v>76</v>
      </c>
      <c r="B9" s="108">
        <v>5.62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1689.5</v>
      </c>
      <c r="C12" s="15"/>
      <c r="D12" s="56"/>
      <c r="E12" s="16"/>
      <c r="F12" s="56"/>
      <c r="G12" s="56"/>
      <c r="H12" s="17"/>
      <c r="I12" s="83"/>
      <c r="J12" s="81">
        <f>B12-I12</f>
        <v>1689.5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172</v>
      </c>
      <c r="Q12" s="153">
        <v>11</v>
      </c>
      <c r="R12" s="154">
        <v>2315.4</v>
      </c>
      <c r="S12" s="155"/>
      <c r="T12" s="155"/>
      <c r="U12" s="189">
        <f>((T12/U$10)*U$9)</f>
        <v>0</v>
      </c>
      <c r="V12" s="189">
        <f>R12*V$10</f>
        <v>17.365500000000001</v>
      </c>
      <c r="W12" s="189">
        <f>+S12*V$10</f>
        <v>0</v>
      </c>
      <c r="X12" s="189">
        <f>+T12*X$10</f>
        <v>0</v>
      </c>
      <c r="Y12" s="189">
        <f>R12-V12</f>
        <v>2298.0345000000002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672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173</v>
      </c>
      <c r="Q13" s="153">
        <v>11</v>
      </c>
      <c r="R13" s="154">
        <v>12.25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9.1874999999999998E-2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12.158125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3803.52</v>
      </c>
      <c r="C14" s="15"/>
      <c r="D14" s="56"/>
      <c r="E14" s="16"/>
      <c r="F14" s="56"/>
      <c r="G14" s="56"/>
      <c r="H14" s="17"/>
      <c r="I14" s="83"/>
      <c r="J14" s="81">
        <f t="shared" si="0"/>
        <v>3803.52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554</v>
      </c>
      <c r="Q14" s="153">
        <v>2</v>
      </c>
      <c r="R14" s="154">
        <v>375.53</v>
      </c>
      <c r="S14" s="155"/>
      <c r="T14" s="157"/>
      <c r="U14" s="189">
        <f t="shared" si="2"/>
        <v>0</v>
      </c>
      <c r="V14" s="189">
        <f t="shared" si="3"/>
        <v>2.8164749999999996</v>
      </c>
      <c r="W14" s="189">
        <f t="shared" si="4"/>
        <v>0</v>
      </c>
      <c r="X14" s="189">
        <f t="shared" si="5"/>
        <v>0</v>
      </c>
      <c r="Y14" s="189">
        <f t="shared" si="6"/>
        <v>372.71352499999995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726</v>
      </c>
      <c r="C15" s="15"/>
      <c r="D15" s="56"/>
      <c r="E15" s="16"/>
      <c r="F15" s="56"/>
      <c r="G15" s="56"/>
      <c r="H15" s="17"/>
      <c r="I15" s="83"/>
      <c r="J15" s="81">
        <f t="shared" si="0"/>
        <v>726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535</v>
      </c>
      <c r="Q15" s="153">
        <v>4</v>
      </c>
      <c r="R15" s="154">
        <v>26.78</v>
      </c>
      <c r="S15" s="155"/>
      <c r="T15" s="157"/>
      <c r="U15" s="189">
        <f t="shared" si="2"/>
        <v>0</v>
      </c>
      <c r="V15" s="189">
        <f t="shared" si="3"/>
        <v>0.20085</v>
      </c>
      <c r="W15" s="189">
        <f t="shared" si="4"/>
        <v>0</v>
      </c>
      <c r="X15" s="189">
        <f t="shared" si="5"/>
        <v>0</v>
      </c>
      <c r="Y15" s="189">
        <f t="shared" si="6"/>
        <v>26.579150000000002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4080.12</v>
      </c>
      <c r="C16" s="15"/>
      <c r="D16" s="56"/>
      <c r="E16" s="16"/>
      <c r="F16" s="56"/>
      <c r="G16" s="56"/>
      <c r="H16" s="17"/>
      <c r="I16" s="83"/>
      <c r="J16" s="81">
        <f t="shared" si="0"/>
        <v>4080.12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536</v>
      </c>
      <c r="Q16" s="153">
        <v>4</v>
      </c>
      <c r="R16" s="154">
        <v>1929.1</v>
      </c>
      <c r="S16" s="155"/>
      <c r="T16" s="157">
        <v>78.5</v>
      </c>
      <c r="U16" s="189">
        <f t="shared" si="2"/>
        <v>3.383620689655173</v>
      </c>
      <c r="V16" s="189">
        <f t="shared" si="3"/>
        <v>14.468249999999999</v>
      </c>
      <c r="W16" s="189">
        <f t="shared" si="4"/>
        <v>0</v>
      </c>
      <c r="X16" s="189">
        <f t="shared" si="5"/>
        <v>1.9625000000000001</v>
      </c>
      <c r="Y16" s="189">
        <f t="shared" si="6"/>
        <v>1914.63175</v>
      </c>
      <c r="Z16" s="189">
        <f t="shared" si="6"/>
        <v>0</v>
      </c>
      <c r="AA16" s="189">
        <f t="shared" si="7"/>
        <v>73.15387931034482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185</v>
      </c>
      <c r="Q17" s="153">
        <v>10</v>
      </c>
      <c r="R17" s="154">
        <v>886.01</v>
      </c>
      <c r="S17" s="155"/>
      <c r="T17" s="157"/>
      <c r="U17" s="189">
        <f t="shared" si="2"/>
        <v>0</v>
      </c>
      <c r="V17" s="189">
        <f t="shared" si="3"/>
        <v>6.6450749999999994</v>
      </c>
      <c r="W17" s="189">
        <f t="shared" si="4"/>
        <v>0</v>
      </c>
      <c r="X17" s="189">
        <f t="shared" si="5"/>
        <v>0</v>
      </c>
      <c r="Y17" s="189">
        <f t="shared" si="6"/>
        <v>879.36492499999997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186</v>
      </c>
      <c r="Q18" s="153">
        <v>10</v>
      </c>
      <c r="R18" s="154">
        <v>1607.49</v>
      </c>
      <c r="S18" s="155"/>
      <c r="T18" s="157"/>
      <c r="U18" s="189">
        <f t="shared" si="2"/>
        <v>0</v>
      </c>
      <c r="V18" s="189">
        <f t="shared" si="3"/>
        <v>12.056175</v>
      </c>
      <c r="W18" s="189">
        <f t="shared" si="4"/>
        <v>0</v>
      </c>
      <c r="X18" s="189">
        <f t="shared" si="5"/>
        <v>0</v>
      </c>
      <c r="Y18" s="189">
        <f t="shared" si="6"/>
        <v>1595.4338250000001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1398</v>
      </c>
      <c r="C19" s="95"/>
      <c r="D19" s="94"/>
      <c r="E19" s="96"/>
      <c r="F19" s="94"/>
      <c r="G19" s="94"/>
      <c r="H19" s="98"/>
      <c r="I19" s="99"/>
      <c r="J19" s="185">
        <f>B19-I19</f>
        <v>1398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619</v>
      </c>
      <c r="Q19" s="158">
        <v>18</v>
      </c>
      <c r="R19" s="159">
        <v>603.54999999999995</v>
      </c>
      <c r="S19" s="160"/>
      <c r="T19" s="161"/>
      <c r="U19" s="189">
        <f t="shared" si="2"/>
        <v>0</v>
      </c>
      <c r="V19" s="189">
        <f t="shared" si="3"/>
        <v>4.5266249999999992</v>
      </c>
      <c r="W19" s="189">
        <f t="shared" si="4"/>
        <v>0</v>
      </c>
      <c r="X19" s="189">
        <f t="shared" si="5"/>
        <v>0</v>
      </c>
      <c r="Y19" s="189">
        <f t="shared" si="6"/>
        <v>599.02337499999999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7883.6399999999994</v>
      </c>
      <c r="C20" s="95"/>
      <c r="D20" s="94"/>
      <c r="E20" s="96"/>
      <c r="F20" s="94"/>
      <c r="G20" s="94"/>
      <c r="H20" s="98"/>
      <c r="I20" s="99"/>
      <c r="J20" s="185">
        <f t="shared" si="0"/>
        <v>7883.6399999999994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620</v>
      </c>
      <c r="Q20" s="158">
        <v>18</v>
      </c>
      <c r="R20" s="159">
        <v>456.47</v>
      </c>
      <c r="S20" s="160"/>
      <c r="T20" s="161"/>
      <c r="U20" s="189">
        <f t="shared" si="2"/>
        <v>0</v>
      </c>
      <c r="V20" s="189">
        <f t="shared" si="3"/>
        <v>3.4235250000000002</v>
      </c>
      <c r="W20" s="189">
        <f t="shared" si="4"/>
        <v>0</v>
      </c>
      <c r="X20" s="189">
        <f t="shared" si="5"/>
        <v>0</v>
      </c>
      <c r="Y20" s="189">
        <f t="shared" si="6"/>
        <v>453.04647500000004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113</v>
      </c>
      <c r="C22" s="100"/>
      <c r="D22" s="66"/>
      <c r="E22" s="67"/>
      <c r="F22" s="66"/>
      <c r="G22" s="66"/>
      <c r="H22" s="102"/>
      <c r="I22" s="79"/>
      <c r="J22" s="81">
        <f t="shared" si="0"/>
        <v>113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113</v>
      </c>
      <c r="C28" s="95"/>
      <c r="D28" s="94"/>
      <c r="E28" s="96"/>
      <c r="F28" s="94"/>
      <c r="G28" s="94"/>
      <c r="H28" s="98"/>
      <c r="I28" s="99"/>
      <c r="J28" s="185">
        <f t="shared" si="0"/>
        <v>113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17.73</v>
      </c>
      <c r="C29" s="100"/>
      <c r="D29" s="66"/>
      <c r="E29" s="67"/>
      <c r="F29" s="66"/>
      <c r="G29" s="66"/>
      <c r="H29" s="102"/>
      <c r="I29" s="79">
        <v>17.73</v>
      </c>
      <c r="J29" s="81">
        <f t="shared" si="0"/>
        <v>0</v>
      </c>
      <c r="K29" s="80"/>
      <c r="L29" s="186">
        <f>K29-B29</f>
        <v>-17.73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100.35180000000001</v>
      </c>
      <c r="C30" s="100"/>
      <c r="D30" s="66"/>
      <c r="E30" s="67"/>
      <c r="F30" s="66"/>
      <c r="G30" s="66"/>
      <c r="H30" s="102"/>
      <c r="I30" s="79">
        <v>100.35</v>
      </c>
      <c r="J30" s="81">
        <f t="shared" si="0"/>
        <v>1.8000000000171212E-3</v>
      </c>
      <c r="K30" s="80"/>
      <c r="L30" s="186">
        <f>K30-B30</f>
        <v>-100.35180000000001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17.73</v>
      </c>
      <c r="C35" s="95"/>
      <c r="D35" s="94"/>
      <c r="E35" s="96"/>
      <c r="F35" s="94"/>
      <c r="G35" s="94"/>
      <c r="H35" s="98"/>
      <c r="I35" s="99">
        <v>17.73</v>
      </c>
      <c r="J35" s="185">
        <f t="shared" si="0"/>
        <v>0</v>
      </c>
      <c r="K35" s="99"/>
      <c r="L35" s="187">
        <f>K35-B35</f>
        <v>-17.73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100.35180000000001</v>
      </c>
      <c r="C36" s="95"/>
      <c r="D36" s="94"/>
      <c r="E36" s="96"/>
      <c r="F36" s="94"/>
      <c r="G36" s="94"/>
      <c r="H36" s="98"/>
      <c r="I36" s="99">
        <v>100.35</v>
      </c>
      <c r="J36" s="185">
        <f t="shared" si="0"/>
        <v>1.8000000000171212E-3</v>
      </c>
      <c r="K36" s="99"/>
      <c r="L36" s="187">
        <f>K36-B36</f>
        <v>-100.35180000000001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8212.58</v>
      </c>
      <c r="S42" s="190">
        <f t="shared" si="8"/>
        <v>0</v>
      </c>
      <c r="T42" s="190">
        <f t="shared" si="8"/>
        <v>78.5</v>
      </c>
      <c r="U42" s="190">
        <f t="shared" si="8"/>
        <v>3.383620689655173</v>
      </c>
      <c r="V42" s="190">
        <f t="shared" si="8"/>
        <v>61.594349999999991</v>
      </c>
      <c r="W42" s="190">
        <f t="shared" si="8"/>
        <v>0</v>
      </c>
      <c r="X42" s="190">
        <f t="shared" si="8"/>
        <v>1.9625000000000001</v>
      </c>
      <c r="Y42" s="190">
        <f t="shared" si="8"/>
        <v>8150.9856500000005</v>
      </c>
      <c r="Z42" s="190">
        <f t="shared" si="8"/>
        <v>0</v>
      </c>
      <c r="AA42" s="190">
        <f t="shared" si="8"/>
        <v>73.15387931034482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8212.58</v>
      </c>
      <c r="C46" s="116">
        <v>7.4999999999999997E-3</v>
      </c>
      <c r="D46" s="117">
        <f>B46*C46</f>
        <v>61.594349999999999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8150.9856499999996</v>
      </c>
      <c r="H46" s="173">
        <f>B$6+1</f>
        <v>44756</v>
      </c>
      <c r="I46" s="174"/>
      <c r="J46" s="81">
        <f t="shared" si="0"/>
        <v>8212.58</v>
      </c>
      <c r="K46" s="80">
        <v>8184.9</v>
      </c>
      <c r="L46" s="186">
        <f>K46-G46</f>
        <v>33.914350000000013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136.06</v>
      </c>
      <c r="C48" s="116">
        <v>7.4999999999999997E-3</v>
      </c>
      <c r="D48" s="117">
        <f t="shared" si="17"/>
        <v>1.0204500000000001</v>
      </c>
      <c r="E48" s="172">
        <v>0</v>
      </c>
      <c r="F48" s="117">
        <f t="shared" si="15"/>
        <v>0</v>
      </c>
      <c r="G48" s="117">
        <f t="shared" si="16"/>
        <v>135.03954999999999</v>
      </c>
      <c r="H48" s="173">
        <f t="shared" ref="H48:H61" si="19">B$6+1</f>
        <v>44756</v>
      </c>
      <c r="I48" s="176"/>
      <c r="J48" s="81">
        <f>B48-I48</f>
        <v>136.06</v>
      </c>
      <c r="K48" s="80"/>
      <c r="L48" s="186">
        <f t="shared" si="18"/>
        <v>135.03954999999999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205</v>
      </c>
      <c r="B49" s="117">
        <f>R75</f>
        <v>3630.0299999999997</v>
      </c>
      <c r="C49" s="116">
        <v>7.4999999999999997E-3</v>
      </c>
      <c r="D49" s="117">
        <f t="shared" si="17"/>
        <v>27.225224999999998</v>
      </c>
      <c r="E49" s="172">
        <v>0</v>
      </c>
      <c r="F49" s="117">
        <f t="shared" si="15"/>
        <v>0</v>
      </c>
      <c r="G49" s="117">
        <f t="shared" si="16"/>
        <v>3602.8047749999996</v>
      </c>
      <c r="H49" s="173">
        <f t="shared" si="19"/>
        <v>44756</v>
      </c>
      <c r="I49" s="176"/>
      <c r="J49" s="81">
        <f t="shared" si="0"/>
        <v>3630.0299999999997</v>
      </c>
      <c r="K49" s="80"/>
      <c r="L49" s="186">
        <f t="shared" si="18"/>
        <v>3602.8047749999996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1557.29</v>
      </c>
      <c r="C50" s="116">
        <v>7.4999999999999997E-3</v>
      </c>
      <c r="D50" s="117">
        <f t="shared" si="17"/>
        <v>11.679675</v>
      </c>
      <c r="E50" s="172">
        <v>0</v>
      </c>
      <c r="F50" s="117">
        <f t="shared" si="15"/>
        <v>0</v>
      </c>
      <c r="G50" s="117">
        <f t="shared" si="16"/>
        <v>1545.6103249999999</v>
      </c>
      <c r="H50" s="173">
        <f t="shared" si="19"/>
        <v>44756</v>
      </c>
      <c r="I50" s="175"/>
      <c r="J50" s="81">
        <f t="shared" si="0"/>
        <v>1557.29</v>
      </c>
      <c r="K50" s="80"/>
      <c r="L50" s="186">
        <f t="shared" si="18"/>
        <v>1545.6103249999999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472.58</v>
      </c>
      <c r="C51" s="116">
        <v>1.4999999999999999E-2</v>
      </c>
      <c r="D51" s="117">
        <f>+B51*C51</f>
        <v>7.0886999999999993</v>
      </c>
      <c r="E51" s="172">
        <v>0</v>
      </c>
      <c r="F51" s="117">
        <f>D51*E51</f>
        <v>0</v>
      </c>
      <c r="G51" s="117">
        <f t="shared" si="16"/>
        <v>465.49129999999997</v>
      </c>
      <c r="H51" s="173">
        <f t="shared" si="19"/>
        <v>44756</v>
      </c>
      <c r="I51" s="175"/>
      <c r="J51" s="81">
        <f t="shared" si="0"/>
        <v>472.58</v>
      </c>
      <c r="K51" s="80"/>
      <c r="L51" s="186">
        <f t="shared" si="18"/>
        <v>465.49129999999997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78.5</v>
      </c>
      <c r="C52" s="116">
        <v>2.5000000000000001E-2</v>
      </c>
      <c r="D52" s="117">
        <f>B52*C52</f>
        <v>1.9625000000000001</v>
      </c>
      <c r="E52" s="172">
        <v>0.05</v>
      </c>
      <c r="F52" s="117">
        <f>(B52/E$10)*E52</f>
        <v>3.383620689655173</v>
      </c>
      <c r="G52" s="117">
        <f>B52-D52-F52</f>
        <v>73.15387931034482</v>
      </c>
      <c r="H52" s="188">
        <f t="shared" si="19"/>
        <v>44756</v>
      </c>
      <c r="I52" s="176"/>
      <c r="J52" s="81">
        <f t="shared" si="0"/>
        <v>78.5</v>
      </c>
      <c r="K52" s="80">
        <v>29.27</v>
      </c>
      <c r="L52" s="186">
        <f>K52-G52</f>
        <v>-43.883879310344824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227.06</v>
      </c>
      <c r="C56" s="116">
        <v>2.5000000000000001E-2</v>
      </c>
      <c r="D56" s="117">
        <f t="shared" si="20"/>
        <v>5.6765000000000008</v>
      </c>
      <c r="E56" s="172">
        <v>0.05</v>
      </c>
      <c r="F56" s="117">
        <f t="shared" si="21"/>
        <v>9.7870689655172427</v>
      </c>
      <c r="G56" s="117">
        <f t="shared" si="22"/>
        <v>211.59643103448275</v>
      </c>
      <c r="H56" s="173">
        <f t="shared" si="19"/>
        <v>44756</v>
      </c>
      <c r="I56" s="176"/>
      <c r="J56" s="81">
        <f t="shared" si="0"/>
        <v>227.06</v>
      </c>
      <c r="K56" s="80"/>
      <c r="L56" s="186">
        <f t="shared" si="18"/>
        <v>211.59643103448275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116.24740000000001</v>
      </c>
      <c r="E61" s="177"/>
      <c r="F61" s="57">
        <f>SUM(F46:F58)</f>
        <v>13.170689655172415</v>
      </c>
      <c r="G61" s="57">
        <f>SUM(G46:G58)</f>
        <v>14184.681910344827</v>
      </c>
      <c r="H61" s="173">
        <f t="shared" si="19"/>
        <v>44756</v>
      </c>
      <c r="I61" s="175"/>
      <c r="J61" s="81">
        <f t="shared" si="0"/>
        <v>0</v>
      </c>
      <c r="K61" s="80"/>
      <c r="L61" s="186">
        <f t="shared" si="18"/>
        <v>14184.681910344827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200</v>
      </c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200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28369.363820689654</v>
      </c>
      <c r="H64" s="184"/>
      <c r="I64" s="175"/>
      <c r="J64" s="81">
        <f t="shared" si="0"/>
        <v>0</v>
      </c>
      <c r="K64" s="80"/>
      <c r="L64" s="186">
        <f t="shared" si="18"/>
        <v>28369.363820689654</v>
      </c>
      <c r="M64" s="130"/>
      <c r="N64" s="87">
        <v>1</v>
      </c>
      <c r="O64" s="122" t="s">
        <v>253</v>
      </c>
      <c r="P64" s="87"/>
      <c r="Q64" s="225"/>
      <c r="R64" s="236">
        <f>15.79+14.43+67.82</f>
        <v>98.039999999999992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0.73529999999999995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97.304699999999997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23900.591800000002</v>
      </c>
      <c r="G65" s="22"/>
      <c r="L65" s="132"/>
      <c r="M65" s="131"/>
      <c r="N65" s="87">
        <v>2</v>
      </c>
      <c r="O65" s="122" t="s">
        <v>193</v>
      </c>
      <c r="P65" s="87">
        <v>3985</v>
      </c>
      <c r="Q65" s="225"/>
      <c r="R65" s="240">
        <v>38.020000000000003</v>
      </c>
      <c r="S65" s="87"/>
      <c r="T65" s="87"/>
      <c r="U65" s="189">
        <f t="shared" si="27"/>
        <v>0</v>
      </c>
      <c r="V65" s="189">
        <f t="shared" si="28"/>
        <v>0.28515000000000001</v>
      </c>
      <c r="W65" s="189">
        <f t="shared" si="29"/>
        <v>0</v>
      </c>
      <c r="X65" s="189">
        <f t="shared" si="30"/>
        <v>0</v>
      </c>
      <c r="Y65" s="189">
        <f t="shared" si="31"/>
        <v>37.734850000000002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5"/>
      <c r="R66" s="225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23638.89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23862.28</v>
      </c>
      <c r="C69" s="59"/>
      <c r="F69" s="87" t="s">
        <v>127</v>
      </c>
      <c r="G69" s="22"/>
      <c r="H69" s="89"/>
      <c r="I69" s="136"/>
      <c r="J69" s="136">
        <f>K52</f>
        <v>29.27</v>
      </c>
      <c r="N69" s="301" t="s">
        <v>108</v>
      </c>
      <c r="O69" s="301"/>
      <c r="P69" s="302"/>
      <c r="Q69" s="302"/>
      <c r="R69" s="192">
        <f>SUM(R64:R68)</f>
        <v>136.06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1.0204499999999999</v>
      </c>
      <c r="W69" s="192">
        <f t="shared" si="33"/>
        <v>0</v>
      </c>
      <c r="X69" s="192">
        <f t="shared" si="33"/>
        <v>0</v>
      </c>
      <c r="Y69" s="192">
        <f t="shared" si="33"/>
        <v>135.03954999999999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223.38999999999942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/>
      <c r="Q70" s="225"/>
      <c r="R70" s="221"/>
      <c r="S70" s="225"/>
      <c r="T70" s="225">
        <v>62.26</v>
      </c>
      <c r="U70" s="189">
        <f t="shared" ref="U70:U74" si="34">((T70/U$10)*U$9)</f>
        <v>2.6836206896551729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1.5565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58.019879310344827</v>
      </c>
      <c r="AB70" s="87"/>
    </row>
    <row r="71" spans="1:30" ht="28.5" customHeight="1" thickBot="1" x14ac:dyDescent="0.3">
      <c r="A71" s="25" t="s">
        <v>56</v>
      </c>
      <c r="B71" s="70">
        <f>(B65-B69)-B72</f>
        <v>38.311800000003132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29.27</v>
      </c>
      <c r="N71" s="87">
        <v>2</v>
      </c>
      <c r="O71" s="122" t="s">
        <v>214</v>
      </c>
      <c r="P71" s="225">
        <v>158</v>
      </c>
      <c r="Q71" s="225">
        <v>2001</v>
      </c>
      <c r="R71" s="236">
        <v>106.99</v>
      </c>
      <c r="S71" s="225"/>
      <c r="T71" s="221">
        <v>164.8</v>
      </c>
      <c r="U71" s="189">
        <f t="shared" si="34"/>
        <v>7.1034482758620703</v>
      </c>
      <c r="V71" s="189">
        <f t="shared" si="35"/>
        <v>0.80242499999999994</v>
      </c>
      <c r="W71" s="189">
        <f t="shared" si="36"/>
        <v>0</v>
      </c>
      <c r="X71" s="189">
        <f t="shared" si="37"/>
        <v>4.12</v>
      </c>
      <c r="Y71" s="189">
        <f t="shared" si="38"/>
        <v>106.187575</v>
      </c>
      <c r="Z71" s="189">
        <f t="shared" si="38"/>
        <v>0</v>
      </c>
      <c r="AA71" s="189">
        <f t="shared" si="39"/>
        <v>153.57655172413794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214</v>
      </c>
      <c r="P72" s="225">
        <v>152</v>
      </c>
      <c r="Q72" s="225">
        <v>2001</v>
      </c>
      <c r="R72" s="236">
        <v>1357.05</v>
      </c>
      <c r="S72" s="225"/>
      <c r="T72" s="225"/>
      <c r="U72" s="189">
        <f t="shared" si="34"/>
        <v>0</v>
      </c>
      <c r="V72" s="189">
        <f t="shared" si="35"/>
        <v>10.177874999999998</v>
      </c>
      <c r="W72" s="189">
        <f t="shared" si="36"/>
        <v>0</v>
      </c>
      <c r="X72" s="189">
        <f t="shared" si="37"/>
        <v>0</v>
      </c>
      <c r="Y72" s="189">
        <f t="shared" si="38"/>
        <v>1346.8721249999999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214</v>
      </c>
      <c r="P73" s="225">
        <v>159</v>
      </c>
      <c r="Q73" s="225">
        <v>2001</v>
      </c>
      <c r="R73" s="236">
        <v>1965.99</v>
      </c>
      <c r="S73" s="225"/>
      <c r="T73" s="225"/>
      <c r="U73" s="189">
        <f t="shared" si="34"/>
        <v>0</v>
      </c>
      <c r="V73" s="189">
        <f t="shared" si="35"/>
        <v>14.744925</v>
      </c>
      <c r="W73" s="189">
        <f t="shared" si="36"/>
        <v>0</v>
      </c>
      <c r="X73" s="189">
        <f t="shared" si="37"/>
        <v>0</v>
      </c>
      <c r="Y73" s="189">
        <f t="shared" si="38"/>
        <v>1951.245075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45+10+50+45+50</f>
        <v>200</v>
      </c>
      <c r="S74" s="225"/>
      <c r="T74" s="225"/>
      <c r="U74" s="189">
        <f t="shared" si="34"/>
        <v>0</v>
      </c>
      <c r="V74" s="189">
        <f t="shared" si="35"/>
        <v>1.5</v>
      </c>
      <c r="W74" s="189">
        <f t="shared" si="36"/>
        <v>0</v>
      </c>
      <c r="X74" s="189">
        <f t="shared" si="37"/>
        <v>0</v>
      </c>
      <c r="Y74" s="189">
        <f t="shared" si="38"/>
        <v>198.5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3630.0299999999997</v>
      </c>
      <c r="S75" s="192"/>
      <c r="T75" s="192">
        <f>SUM(T70:T74)</f>
        <v>227.06</v>
      </c>
      <c r="U75" s="192">
        <f>SUM(U70:U74)</f>
        <v>9.7870689655172427</v>
      </c>
      <c r="V75" s="192">
        <f t="shared" ref="V75:AA75" si="41">SUM(V70:V74)</f>
        <v>27.225224999999998</v>
      </c>
      <c r="W75" s="192">
        <f t="shared" si="41"/>
        <v>0</v>
      </c>
      <c r="X75" s="192">
        <f t="shared" si="41"/>
        <v>5.6764999999999999</v>
      </c>
      <c r="Y75" s="192">
        <f t="shared" si="41"/>
        <v>3602.8047749999996</v>
      </c>
      <c r="Z75" s="192">
        <f t="shared" si="41"/>
        <v>0</v>
      </c>
      <c r="AA75" s="193">
        <f t="shared" si="41"/>
        <v>211.59643103448278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141.19</v>
      </c>
      <c r="Q78" s="137">
        <v>29.69</v>
      </c>
      <c r="R78" s="82">
        <v>0.96089999999999998</v>
      </c>
      <c r="S78" s="194">
        <f>+(P78+Q78)*R78</f>
        <v>164.19859199999999</v>
      </c>
      <c r="T78" s="219">
        <f>+(P78+Q78)-S78</f>
        <v>6.6814080000000047</v>
      </c>
      <c r="U78" s="211">
        <v>102.06</v>
      </c>
      <c r="V78" s="112"/>
      <c r="W78" s="113">
        <v>1.4999999999999999E-2</v>
      </c>
      <c r="X78" s="196">
        <f>+(U78+V78)*W78</f>
        <v>1.5308999999999999</v>
      </c>
      <c r="Y78" s="258">
        <f>+(U78+V78)-X78</f>
        <v>100.5291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163.29</v>
      </c>
      <c r="Q79" s="137">
        <v>159.80000000000001</v>
      </c>
      <c r="R79" s="82">
        <v>7.4999999999999997E-3</v>
      </c>
      <c r="S79" s="194">
        <f t="shared" ref="S79:S97" si="43">+(P79+Q79)*R79</f>
        <v>2.4231750000000001</v>
      </c>
      <c r="T79" s="219">
        <f t="shared" ref="T79:T97" si="44">+(P79+Q79)-S79</f>
        <v>320.66682500000002</v>
      </c>
      <c r="U79" s="211">
        <v>41.94</v>
      </c>
      <c r="V79" s="112"/>
      <c r="W79" s="113">
        <v>1.4999999999999999E-2</v>
      </c>
      <c r="X79" s="196">
        <f t="shared" ref="X79:X97" si="45">+(U79+V79)*W79</f>
        <v>0.62909999999999999</v>
      </c>
      <c r="Y79" s="258">
        <f t="shared" ref="Y79:Y97" si="46">+(U79+V79)-X79</f>
        <v>41.310899999999997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>+(U80+V80)-X80</f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44.12</v>
      </c>
      <c r="Q81" s="137"/>
      <c r="R81" s="82">
        <v>7.4999999999999997E-3</v>
      </c>
      <c r="S81" s="194">
        <f t="shared" si="43"/>
        <v>0.33089999999999997</v>
      </c>
      <c r="T81" s="258">
        <f t="shared" si="44"/>
        <v>43.789099999999998</v>
      </c>
      <c r="U81" s="211">
        <v>13.76</v>
      </c>
      <c r="V81" s="112"/>
      <c r="W81" s="113">
        <v>1.4999999999999999E-2</v>
      </c>
      <c r="X81" s="196">
        <f t="shared" si="45"/>
        <v>0.2064</v>
      </c>
      <c r="Y81" s="258">
        <f t="shared" si="46"/>
        <v>13.553599999999999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530.99</v>
      </c>
      <c r="Q82" s="137">
        <v>42.53</v>
      </c>
      <c r="R82" s="82">
        <v>7.4999999999999997E-3</v>
      </c>
      <c r="S82" s="194">
        <f t="shared" si="43"/>
        <v>4.3014000000000001</v>
      </c>
      <c r="T82" s="254">
        <f t="shared" si="44"/>
        <v>569.21860000000004</v>
      </c>
      <c r="U82" s="211">
        <v>127.27</v>
      </c>
      <c r="V82" s="112"/>
      <c r="W82" s="113">
        <v>1.4999999999999999E-2</v>
      </c>
      <c r="X82" s="196">
        <f t="shared" si="45"/>
        <v>1.9090499999999999</v>
      </c>
      <c r="Y82" s="254">
        <f t="shared" si="46"/>
        <v>125.36095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5.62</v>
      </c>
      <c r="Q83" s="137"/>
      <c r="R83" s="82">
        <v>7.4999999999999997E-3</v>
      </c>
      <c r="S83" s="194">
        <f t="shared" si="43"/>
        <v>4.215E-2</v>
      </c>
      <c r="T83" s="254">
        <f t="shared" si="44"/>
        <v>5.5778499999999998</v>
      </c>
      <c r="U83" s="211">
        <v>35.6</v>
      </c>
      <c r="V83" s="112"/>
      <c r="W83" s="113">
        <v>1.4999999999999999E-2</v>
      </c>
      <c r="X83" s="196">
        <f t="shared" si="45"/>
        <v>0.53400000000000003</v>
      </c>
      <c r="Y83" s="254">
        <f t="shared" si="46"/>
        <v>35.066000000000003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130.06</v>
      </c>
      <c r="Q84" s="87">
        <v>29.22</v>
      </c>
      <c r="R84" s="82">
        <v>7.4999999999999997E-3</v>
      </c>
      <c r="S84" s="194">
        <f t="shared" si="43"/>
        <v>1.1945999999999999</v>
      </c>
      <c r="T84" s="254">
        <f t="shared" si="44"/>
        <v>158.08539999999999</v>
      </c>
      <c r="U84" s="112">
        <v>65.760000000000005</v>
      </c>
      <c r="V84" s="112"/>
      <c r="W84" s="113">
        <v>1.4999999999999999E-2</v>
      </c>
      <c r="X84" s="196">
        <f t="shared" si="45"/>
        <v>0.98640000000000005</v>
      </c>
      <c r="Y84" s="254">
        <f t="shared" si="46"/>
        <v>64.773600000000002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39.64</v>
      </c>
      <c r="Q85" s="87"/>
      <c r="R85" s="82">
        <v>7.4999999999999997E-3</v>
      </c>
      <c r="S85" s="194">
        <f t="shared" si="43"/>
        <v>0.29730000000000001</v>
      </c>
      <c r="T85" s="254">
        <f t="shared" si="44"/>
        <v>39.342700000000001</v>
      </c>
      <c r="U85" s="112">
        <v>27.32</v>
      </c>
      <c r="V85" s="112"/>
      <c r="W85" s="113">
        <v>1.4999999999999999E-2</v>
      </c>
      <c r="X85" s="196">
        <f t="shared" si="45"/>
        <v>0.4098</v>
      </c>
      <c r="Y85" s="254">
        <f t="shared" si="46"/>
        <v>26.9102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203.48</v>
      </c>
      <c r="Q86" s="87">
        <v>37.659999999999997</v>
      </c>
      <c r="R86" s="82">
        <v>7.4999999999999997E-3</v>
      </c>
      <c r="S86" s="194">
        <f t="shared" si="43"/>
        <v>1.8085499999999999</v>
      </c>
      <c r="T86" s="254">
        <f t="shared" si="44"/>
        <v>239.33144999999999</v>
      </c>
      <c r="U86" s="112">
        <v>58.87</v>
      </c>
      <c r="V86" s="112"/>
      <c r="W86" s="113">
        <v>1.4999999999999999E-2</v>
      </c>
      <c r="X86" s="196">
        <f t="shared" si="45"/>
        <v>0.88304999999999989</v>
      </c>
      <c r="Y86" s="254">
        <f t="shared" si="46"/>
        <v>57.98695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1258.3900000000001</v>
      </c>
      <c r="Q98" s="195">
        <f>SUM(Q78:Q97)</f>
        <v>298.89999999999998</v>
      </c>
      <c r="R98" s="111"/>
      <c r="S98" s="195">
        <f>SUM(S78:S97)</f>
        <v>174.596667</v>
      </c>
      <c r="T98" s="195">
        <f>SUM(T78:T97)</f>
        <v>1382.6933329999999</v>
      </c>
      <c r="U98" s="114">
        <f>SUM(U78:U97)</f>
        <v>472.58</v>
      </c>
      <c r="V98" s="114">
        <f>SUM(V78:V97)</f>
        <v>0</v>
      </c>
      <c r="W98" s="112"/>
      <c r="X98" s="197">
        <f>SUM(X78:X97)</f>
        <v>7.0886999999999993</v>
      </c>
      <c r="Y98" s="197">
        <f>SUM(Y78:Y97)</f>
        <v>465.49129999999997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272.94</v>
      </c>
      <c r="Q101" s="253"/>
    </row>
    <row r="102" spans="14:30" x14ac:dyDescent="0.25">
      <c r="N102" s="85"/>
      <c r="P102" s="215">
        <f>P79+Q79+U79</f>
        <v>365.03000000000003</v>
      </c>
    </row>
    <row r="103" spans="14:30" x14ac:dyDescent="0.25">
      <c r="N103" s="85"/>
      <c r="P103" s="233">
        <f>P80+U80+Q80</f>
        <v>0</v>
      </c>
    </row>
    <row r="104" spans="14:30" x14ac:dyDescent="0.25">
      <c r="N104" s="85"/>
      <c r="P104" s="215">
        <f>Q81+P81+U81</f>
        <v>57.879999999999995</v>
      </c>
    </row>
    <row r="105" spans="14:30" x14ac:dyDescent="0.25">
      <c r="N105" s="85"/>
      <c r="P105" s="215">
        <f t="shared" ref="P105:P106" si="50">P82+Q82+U82</f>
        <v>700.79</v>
      </c>
    </row>
    <row r="106" spans="14:30" x14ac:dyDescent="0.25">
      <c r="N106" s="85"/>
      <c r="P106" s="215">
        <f t="shared" si="50"/>
        <v>41.22</v>
      </c>
    </row>
    <row r="107" spans="14:30" x14ac:dyDescent="0.25">
      <c r="N107" s="85"/>
      <c r="P107" s="246">
        <f>P84+Q84+U84</f>
        <v>225.04000000000002</v>
      </c>
    </row>
    <row r="108" spans="14:30" x14ac:dyDescent="0.25">
      <c r="N108" s="85"/>
      <c r="P108" s="246">
        <f>P85+Q85+U85</f>
        <v>66.960000000000008</v>
      </c>
    </row>
    <row r="109" spans="14:30" x14ac:dyDescent="0.25">
      <c r="N109" s="85"/>
      <c r="P109" s="84">
        <f>P86+Q86+U86</f>
        <v>300.01</v>
      </c>
    </row>
    <row r="110" spans="14:30" x14ac:dyDescent="0.25">
      <c r="N110" s="85"/>
      <c r="P110" s="84">
        <f>P87+Q87+U87</f>
        <v>0</v>
      </c>
    </row>
    <row r="111" spans="14:30" x14ac:dyDescent="0.25">
      <c r="N111" s="85"/>
      <c r="P111" s="84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6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>
        <v>5.68</v>
      </c>
    </row>
    <row r="9" spans="1:28" x14ac:dyDescent="0.25">
      <c r="A9" s="7" t="s">
        <v>76</v>
      </c>
      <c r="B9" s="108">
        <v>5.66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1941.5</v>
      </c>
      <c r="C12" s="15"/>
      <c r="D12" s="56"/>
      <c r="E12" s="16"/>
      <c r="F12" s="56"/>
      <c r="G12" s="56"/>
      <c r="H12" s="17"/>
      <c r="I12" s="83">
        <v>1941.5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222</v>
      </c>
      <c r="P12" s="158">
        <v>174</v>
      </c>
      <c r="Q12" s="158">
        <v>11</v>
      </c>
      <c r="R12" s="244">
        <v>1385.33</v>
      </c>
      <c r="S12" s="160"/>
      <c r="T12" s="238">
        <v>14.62</v>
      </c>
      <c r="U12" s="189">
        <f>((T12/U$10)*U$9)</f>
        <v>0.63017241379310351</v>
      </c>
      <c r="V12" s="189">
        <f>R12*V$10</f>
        <v>10.389975</v>
      </c>
      <c r="W12" s="189">
        <f>+S12*V$10</f>
        <v>0</v>
      </c>
      <c r="X12" s="189">
        <f>+T12*X$10</f>
        <v>0.36549999999999999</v>
      </c>
      <c r="Y12" s="189">
        <f>R12-V12</f>
        <v>1374.9400249999999</v>
      </c>
      <c r="Z12" s="189">
        <f>S12-W12</f>
        <v>0</v>
      </c>
      <c r="AA12" s="189">
        <f>T12-U12-X12</f>
        <v>13.624327586206896</v>
      </c>
      <c r="AB12" s="156"/>
    </row>
    <row r="13" spans="1:28" ht="15.75" x14ac:dyDescent="0.25">
      <c r="A13" s="86" t="s">
        <v>74</v>
      </c>
      <c r="B13" s="89">
        <v>1037</v>
      </c>
      <c r="C13" s="15"/>
      <c r="D13" s="56"/>
      <c r="E13" s="16"/>
      <c r="F13" s="56"/>
      <c r="G13" s="56"/>
      <c r="H13" s="17"/>
      <c r="I13" s="83"/>
      <c r="J13" s="81">
        <f>I13-B13</f>
        <v>-1037</v>
      </c>
      <c r="K13" s="75"/>
      <c r="L13" s="186">
        <f t="shared" ref="L13:L42" si="0">+G13-K13</f>
        <v>0</v>
      </c>
      <c r="M13" s="106"/>
      <c r="N13" s="104">
        <v>2</v>
      </c>
      <c r="O13" s="152" t="s">
        <v>222</v>
      </c>
      <c r="P13" s="158">
        <v>175</v>
      </c>
      <c r="Q13" s="158">
        <v>11</v>
      </c>
      <c r="R13" s="244">
        <v>2182.66</v>
      </c>
      <c r="S13" s="160"/>
      <c r="T13" s="247">
        <v>55.19</v>
      </c>
      <c r="U13" s="189">
        <f t="shared" ref="U13:U41" si="1">((T13/U$10)*U$9)</f>
        <v>2.378879310344828</v>
      </c>
      <c r="V13" s="189">
        <f t="shared" ref="V13:V41" si="2">R13*V$10</f>
        <v>16.369949999999999</v>
      </c>
      <c r="W13" s="189">
        <f t="shared" ref="W13:W41" si="3">+S13*V$10</f>
        <v>0</v>
      </c>
      <c r="X13" s="189">
        <f t="shared" ref="X13:X41" si="4">+T13*X$10</f>
        <v>1.37975</v>
      </c>
      <c r="Y13" s="189">
        <f t="shared" ref="Y13:Z41" si="5">R13-V13</f>
        <v>2166.2900500000001</v>
      </c>
      <c r="Z13" s="189">
        <f t="shared" si="5"/>
        <v>0</v>
      </c>
      <c r="AA13" s="189">
        <f t="shared" ref="AA13:AA41" si="6">T13-U13-X13</f>
        <v>51.431370689655168</v>
      </c>
      <c r="AB13" s="156"/>
    </row>
    <row r="14" spans="1:28" ht="15.75" x14ac:dyDescent="0.25">
      <c r="A14" s="86" t="s">
        <v>81</v>
      </c>
      <c r="B14" s="57">
        <f>B13*B8</f>
        <v>5890.16</v>
      </c>
      <c r="C14" s="15"/>
      <c r="D14" s="56"/>
      <c r="E14" s="16"/>
      <c r="F14" s="56"/>
      <c r="G14" s="56"/>
      <c r="H14" s="17"/>
      <c r="I14" s="83"/>
      <c r="J14" s="81">
        <f t="shared" ref="J14:J64" si="7">B14-I14</f>
        <v>5890.16</v>
      </c>
      <c r="K14" s="80"/>
      <c r="L14" s="186">
        <f t="shared" si="0"/>
        <v>0</v>
      </c>
      <c r="M14" s="107"/>
      <c r="N14" s="104">
        <v>3</v>
      </c>
      <c r="O14" s="152" t="s">
        <v>222</v>
      </c>
      <c r="P14" s="158">
        <v>555</v>
      </c>
      <c r="Q14" s="158">
        <v>2</v>
      </c>
      <c r="R14" s="244">
        <v>1450.98</v>
      </c>
      <c r="S14" s="160"/>
      <c r="T14" s="247">
        <v>16</v>
      </c>
      <c r="U14" s="189">
        <f t="shared" si="1"/>
        <v>0.68965517241379315</v>
      </c>
      <c r="V14" s="189">
        <f t="shared" si="2"/>
        <v>10.882349999999999</v>
      </c>
      <c r="W14" s="189">
        <f t="shared" si="3"/>
        <v>0</v>
      </c>
      <c r="X14" s="189">
        <f t="shared" si="4"/>
        <v>0.4</v>
      </c>
      <c r="Y14" s="189">
        <f t="shared" si="5"/>
        <v>1440.0976499999999</v>
      </c>
      <c r="Z14" s="189">
        <f t="shared" si="5"/>
        <v>0</v>
      </c>
      <c r="AA14" s="189">
        <f t="shared" si="6"/>
        <v>14.910344827586206</v>
      </c>
      <c r="AB14" s="156"/>
    </row>
    <row r="15" spans="1:28" ht="15.75" x14ac:dyDescent="0.25">
      <c r="A15" s="86" t="s">
        <v>77</v>
      </c>
      <c r="B15" s="56">
        <v>732</v>
      </c>
      <c r="C15" s="15"/>
      <c r="D15" s="56"/>
      <c r="E15" s="16"/>
      <c r="F15" s="56"/>
      <c r="G15" s="56"/>
      <c r="H15" s="17"/>
      <c r="I15" s="83"/>
      <c r="J15" s="81">
        <f t="shared" si="7"/>
        <v>732</v>
      </c>
      <c r="K15" s="80"/>
      <c r="L15" s="186">
        <f t="shared" si="0"/>
        <v>0</v>
      </c>
      <c r="M15" s="107"/>
      <c r="N15" s="104">
        <v>4</v>
      </c>
      <c r="O15" s="152" t="s">
        <v>222</v>
      </c>
      <c r="P15" s="158">
        <v>556</v>
      </c>
      <c r="Q15" s="158">
        <v>2</v>
      </c>
      <c r="R15" s="244">
        <v>2171.6</v>
      </c>
      <c r="S15" s="160"/>
      <c r="T15" s="247">
        <v>134.59</v>
      </c>
      <c r="U15" s="189">
        <f t="shared" si="1"/>
        <v>5.8012931034482769</v>
      </c>
      <c r="V15" s="189">
        <f t="shared" si="2"/>
        <v>16.286999999999999</v>
      </c>
      <c r="W15" s="189">
        <f t="shared" si="3"/>
        <v>0</v>
      </c>
      <c r="X15" s="189">
        <f t="shared" si="4"/>
        <v>3.3647500000000004</v>
      </c>
      <c r="Y15" s="189">
        <f t="shared" si="5"/>
        <v>2155.3130000000001</v>
      </c>
      <c r="Z15" s="189">
        <f t="shared" si="5"/>
        <v>0</v>
      </c>
      <c r="AA15" s="189">
        <f t="shared" si="6"/>
        <v>125.42395689655173</v>
      </c>
      <c r="AB15" s="156"/>
    </row>
    <row r="16" spans="1:28" ht="15.75" x14ac:dyDescent="0.25">
      <c r="A16" s="86" t="s">
        <v>81</v>
      </c>
      <c r="B16" s="57">
        <f>B15*B9</f>
        <v>4143.12</v>
      </c>
      <c r="C16" s="15"/>
      <c r="D16" s="56"/>
      <c r="E16" s="16"/>
      <c r="F16" s="56"/>
      <c r="G16" s="56"/>
      <c r="H16" s="17"/>
      <c r="I16" s="83"/>
      <c r="J16" s="81">
        <f t="shared" si="7"/>
        <v>4143.12</v>
      </c>
      <c r="K16" s="80"/>
      <c r="L16" s="186">
        <f t="shared" si="0"/>
        <v>0</v>
      </c>
      <c r="M16" s="107"/>
      <c r="N16" s="104">
        <v>5</v>
      </c>
      <c r="O16" s="152" t="s">
        <v>222</v>
      </c>
      <c r="P16" s="158">
        <v>537</v>
      </c>
      <c r="Q16" s="158">
        <v>4</v>
      </c>
      <c r="R16" s="244">
        <v>193.95</v>
      </c>
      <c r="S16" s="160"/>
      <c r="T16" s="161"/>
      <c r="U16" s="189">
        <f t="shared" si="1"/>
        <v>0</v>
      </c>
      <c r="V16" s="189">
        <f t="shared" si="2"/>
        <v>1.4546249999999998</v>
      </c>
      <c r="W16" s="189">
        <f t="shared" si="3"/>
        <v>0</v>
      </c>
      <c r="X16" s="189">
        <f t="shared" si="4"/>
        <v>0</v>
      </c>
      <c r="Y16" s="189">
        <f t="shared" si="5"/>
        <v>192.495375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222</v>
      </c>
      <c r="P17" s="158">
        <v>187</v>
      </c>
      <c r="Q17" s="158">
        <v>10</v>
      </c>
      <c r="R17" s="244">
        <v>1076.3399999999999</v>
      </c>
      <c r="S17" s="160"/>
      <c r="T17" s="161"/>
      <c r="U17" s="189">
        <f t="shared" si="1"/>
        <v>0</v>
      </c>
      <c r="V17" s="189">
        <f t="shared" si="2"/>
        <v>8.0725499999999997</v>
      </c>
      <c r="W17" s="189">
        <f t="shared" si="3"/>
        <v>0</v>
      </c>
      <c r="X17" s="189">
        <f t="shared" si="4"/>
        <v>0</v>
      </c>
      <c r="Y17" s="189">
        <f t="shared" si="5"/>
        <v>1068.2674499999998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222</v>
      </c>
      <c r="P18" s="158">
        <v>188</v>
      </c>
      <c r="Q18" s="158">
        <v>10</v>
      </c>
      <c r="R18" s="244">
        <v>1535.2</v>
      </c>
      <c r="S18" s="160"/>
      <c r="T18" s="161"/>
      <c r="U18" s="189">
        <f t="shared" si="1"/>
        <v>0</v>
      </c>
      <c r="V18" s="189">
        <f t="shared" si="2"/>
        <v>11.513999999999999</v>
      </c>
      <c r="W18" s="189">
        <f t="shared" si="3"/>
        <v>0</v>
      </c>
      <c r="X18" s="189">
        <f t="shared" si="4"/>
        <v>0</v>
      </c>
      <c r="Y18" s="189">
        <f t="shared" si="5"/>
        <v>1523.6860000000001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79</v>
      </c>
      <c r="B19" s="97">
        <f>+B13+B15+B17</f>
        <v>1769</v>
      </c>
      <c r="C19" s="95"/>
      <c r="D19" s="94"/>
      <c r="E19" s="96"/>
      <c r="F19" s="94"/>
      <c r="G19" s="94"/>
      <c r="H19" s="98"/>
      <c r="I19" s="99"/>
      <c r="J19" s="185">
        <f>B19-I19</f>
        <v>1769</v>
      </c>
      <c r="K19" s="99"/>
      <c r="L19" s="187">
        <f t="shared" si="0"/>
        <v>0</v>
      </c>
      <c r="M19" s="107"/>
      <c r="N19" s="104">
        <v>8</v>
      </c>
      <c r="O19" s="152" t="s">
        <v>222</v>
      </c>
      <c r="P19" s="158">
        <v>621</v>
      </c>
      <c r="Q19" s="158">
        <v>18</v>
      </c>
      <c r="R19" s="244">
        <v>659.11</v>
      </c>
      <c r="S19" s="160"/>
      <c r="T19" s="161"/>
      <c r="U19" s="189">
        <f t="shared" si="1"/>
        <v>0</v>
      </c>
      <c r="V19" s="189">
        <f t="shared" si="2"/>
        <v>4.9433249999999997</v>
      </c>
      <c r="W19" s="189">
        <f t="shared" si="3"/>
        <v>0</v>
      </c>
      <c r="X19" s="189">
        <f t="shared" si="4"/>
        <v>0</v>
      </c>
      <c r="Y19" s="189">
        <f t="shared" si="5"/>
        <v>654.16667500000005</v>
      </c>
      <c r="Z19" s="189">
        <f t="shared" si="5"/>
        <v>0</v>
      </c>
      <c r="AA19" s="189">
        <f t="shared" si="6"/>
        <v>0</v>
      </c>
      <c r="AB19" s="156"/>
    </row>
    <row r="20" spans="1:28" ht="15.75" x14ac:dyDescent="0.25">
      <c r="A20" s="93" t="s">
        <v>80</v>
      </c>
      <c r="B20" s="97">
        <f>+B14+B16+B18</f>
        <v>10033.279999999999</v>
      </c>
      <c r="C20" s="95"/>
      <c r="D20" s="94"/>
      <c r="E20" s="96"/>
      <c r="F20" s="94"/>
      <c r="G20" s="94"/>
      <c r="H20" s="98"/>
      <c r="I20" s="99">
        <v>10047.92</v>
      </c>
      <c r="J20" s="185">
        <f t="shared" si="7"/>
        <v>-14.640000000001237</v>
      </c>
      <c r="K20" s="99"/>
      <c r="L20" s="187">
        <f t="shared" si="0"/>
        <v>0</v>
      </c>
      <c r="M20" s="107"/>
      <c r="N20" s="104">
        <v>9</v>
      </c>
      <c r="O20" s="152" t="s">
        <v>222</v>
      </c>
      <c r="P20" s="158">
        <v>622</v>
      </c>
      <c r="Q20" s="158">
        <v>18</v>
      </c>
      <c r="R20" s="244">
        <v>1265.72</v>
      </c>
      <c r="S20" s="160"/>
      <c r="T20" s="247">
        <v>53.44</v>
      </c>
      <c r="U20" s="189">
        <f t="shared" si="1"/>
        <v>2.3034482758620691</v>
      </c>
      <c r="V20" s="189">
        <f t="shared" si="2"/>
        <v>9.4929000000000006</v>
      </c>
      <c r="W20" s="189">
        <f t="shared" si="3"/>
        <v>0</v>
      </c>
      <c r="X20" s="189">
        <f t="shared" si="4"/>
        <v>1.3360000000000001</v>
      </c>
      <c r="Y20" s="189">
        <f t="shared" si="5"/>
        <v>1256.2271000000001</v>
      </c>
      <c r="Z20" s="189">
        <f t="shared" si="5"/>
        <v>0</v>
      </c>
      <c r="AA20" s="189">
        <f t="shared" si="6"/>
        <v>49.800551724137932</v>
      </c>
      <c r="AB20" s="156"/>
    </row>
    <row r="21" spans="1:28" ht="15.75" x14ac:dyDescent="0.25">
      <c r="A21" s="86" t="s">
        <v>82</v>
      </c>
      <c r="B21" s="89">
        <v>3</v>
      </c>
      <c r="C21" s="100"/>
      <c r="D21" s="66"/>
      <c r="E21" s="67"/>
      <c r="F21" s="66"/>
      <c r="G21" s="66"/>
      <c r="H21" s="102"/>
      <c r="I21" s="79">
        <v>17.04</v>
      </c>
      <c r="J21" s="81">
        <f t="shared" si="7"/>
        <v>-14.04</v>
      </c>
      <c r="K21" s="80"/>
      <c r="L21" s="186">
        <f t="shared" si="0"/>
        <v>0</v>
      </c>
      <c r="M21" s="107"/>
      <c r="N21" s="104">
        <v>10</v>
      </c>
      <c r="O21" s="152" t="s">
        <v>222</v>
      </c>
      <c r="P21" s="158">
        <v>538</v>
      </c>
      <c r="Q21" s="158">
        <v>4</v>
      </c>
      <c r="R21" s="244">
        <v>1565.84</v>
      </c>
      <c r="S21" s="160"/>
      <c r="T21" s="161"/>
      <c r="U21" s="189">
        <f t="shared" si="1"/>
        <v>0</v>
      </c>
      <c r="V21" s="189">
        <f t="shared" si="2"/>
        <v>11.743799999999998</v>
      </c>
      <c r="W21" s="189">
        <f t="shared" si="3"/>
        <v>0</v>
      </c>
      <c r="X21" s="189">
        <f t="shared" si="4"/>
        <v>0</v>
      </c>
      <c r="Y21" s="189">
        <f t="shared" si="5"/>
        <v>1554.0962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85</v>
      </c>
      <c r="B22" s="57">
        <f>B21*D8</f>
        <v>17.04</v>
      </c>
      <c r="C22" s="100"/>
      <c r="D22" s="66"/>
      <c r="E22" s="67"/>
      <c r="F22" s="66"/>
      <c r="G22" s="66"/>
      <c r="H22" s="102"/>
      <c r="I22" s="79"/>
      <c r="J22" s="81">
        <f t="shared" si="7"/>
        <v>17.04</v>
      </c>
      <c r="K22" s="80"/>
      <c r="L22" s="186">
        <f t="shared" si="0"/>
        <v>0</v>
      </c>
      <c r="M22" s="107"/>
      <c r="N22" s="104">
        <v>11</v>
      </c>
      <c r="O22" s="152" t="s">
        <v>222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222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3</v>
      </c>
      <c r="C27" s="95"/>
      <c r="D27" s="94"/>
      <c r="E27" s="96"/>
      <c r="F27" s="94"/>
      <c r="G27" s="94"/>
      <c r="H27" s="98"/>
      <c r="I27" s="99"/>
      <c r="J27" s="185">
        <f t="shared" si="7"/>
        <v>3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17.04</v>
      </c>
      <c r="C28" s="95"/>
      <c r="D28" s="94"/>
      <c r="E28" s="96"/>
      <c r="F28" s="94"/>
      <c r="G28" s="94"/>
      <c r="H28" s="98"/>
      <c r="I28" s="99"/>
      <c r="J28" s="185">
        <f t="shared" si="7"/>
        <v>17.04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>
        <v>27.87</v>
      </c>
      <c r="C29" s="100"/>
      <c r="D29" s="66"/>
      <c r="E29" s="67"/>
      <c r="F29" s="66"/>
      <c r="G29" s="66"/>
      <c r="H29" s="102"/>
      <c r="I29" s="79">
        <v>27.87</v>
      </c>
      <c r="J29" s="81">
        <f t="shared" si="7"/>
        <v>0</v>
      </c>
      <c r="K29" s="80">
        <v>27.87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158.30160000000001</v>
      </c>
      <c r="C30" s="100"/>
      <c r="D30" s="66"/>
      <c r="E30" s="67"/>
      <c r="F30" s="66"/>
      <c r="G30" s="66"/>
      <c r="H30" s="102"/>
      <c r="I30" s="79">
        <v>158.30000000000001</v>
      </c>
      <c r="J30" s="81">
        <f t="shared" si="7"/>
        <v>1.5999999999962711E-3</v>
      </c>
      <c r="K30" s="80">
        <v>158.30000000000001</v>
      </c>
      <c r="L30" s="186">
        <f>K30-B30</f>
        <v>-1.5999999999962711E-3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>
        <v>18.690000000000001</v>
      </c>
      <c r="C31" s="100"/>
      <c r="D31" s="66"/>
      <c r="E31" s="67"/>
      <c r="F31" s="66"/>
      <c r="G31" s="66"/>
      <c r="H31" s="102"/>
      <c r="I31" s="79">
        <f>5.11+13.58</f>
        <v>18.690000000000001</v>
      </c>
      <c r="J31" s="81">
        <f t="shared" si="7"/>
        <v>0</v>
      </c>
      <c r="K31" s="80">
        <f>5.11+13.58</f>
        <v>18.690000000000001</v>
      </c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105.78540000000001</v>
      </c>
      <c r="C32" s="100"/>
      <c r="D32" s="66"/>
      <c r="E32" s="67"/>
      <c r="F32" s="66"/>
      <c r="G32" s="66"/>
      <c r="H32" s="102"/>
      <c r="I32" s="79">
        <v>105.79</v>
      </c>
      <c r="J32" s="81">
        <f t="shared" si="7"/>
        <v>-4.5999999999963848E-3</v>
      </c>
      <c r="K32" s="80">
        <v>105.79</v>
      </c>
      <c r="L32" s="186">
        <f>K32-B32</f>
        <v>4.5999999999963848E-3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46.56</v>
      </c>
      <c r="C35" s="95"/>
      <c r="D35" s="94"/>
      <c r="E35" s="96"/>
      <c r="F35" s="94"/>
      <c r="G35" s="94"/>
      <c r="H35" s="98"/>
      <c r="I35" s="99">
        <v>46.56</v>
      </c>
      <c r="J35" s="185">
        <f t="shared" si="7"/>
        <v>0</v>
      </c>
      <c r="K35" s="99">
        <v>46.56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264.08699999999999</v>
      </c>
      <c r="C36" s="95"/>
      <c r="D36" s="94"/>
      <c r="E36" s="96"/>
      <c r="F36" s="94"/>
      <c r="G36" s="94"/>
      <c r="H36" s="98"/>
      <c r="I36" s="99">
        <v>264.08999999999997</v>
      </c>
      <c r="J36" s="185">
        <f t="shared" si="7"/>
        <v>-2.9999999999859028E-3</v>
      </c>
      <c r="K36" s="99">
        <v>264.08999999999997</v>
      </c>
      <c r="L36" s="187">
        <f>K36-B36</f>
        <v>2.9999999999859028E-3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17.23</v>
      </c>
      <c r="C37" s="100"/>
      <c r="D37" s="66"/>
      <c r="E37" s="67"/>
      <c r="F37" s="66"/>
      <c r="G37" s="66"/>
      <c r="H37" s="102"/>
      <c r="I37" s="79">
        <v>17.23</v>
      </c>
      <c r="J37" s="81">
        <f t="shared" si="7"/>
        <v>0</v>
      </c>
      <c r="K37" s="80">
        <v>17.23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97.866399999999999</v>
      </c>
      <c r="C38" s="100"/>
      <c r="D38" s="66"/>
      <c r="E38" s="67"/>
      <c r="F38" s="66"/>
      <c r="G38" s="66"/>
      <c r="H38" s="102"/>
      <c r="I38" s="79">
        <v>97.87</v>
      </c>
      <c r="J38" s="81">
        <f t="shared" si="7"/>
        <v>-3.6000000000058208E-3</v>
      </c>
      <c r="K38" s="80">
        <v>97.87</v>
      </c>
      <c r="L38" s="186">
        <f>K38-B38</f>
        <v>3.6000000000058208E-3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13486.73</v>
      </c>
      <c r="S42" s="190">
        <f t="shared" si="8"/>
        <v>0</v>
      </c>
      <c r="T42" s="190">
        <f t="shared" si="8"/>
        <v>273.84000000000003</v>
      </c>
      <c r="U42" s="190">
        <f t="shared" si="8"/>
        <v>11.80344827586207</v>
      </c>
      <c r="V42" s="190">
        <f t="shared" si="8"/>
        <v>101.150475</v>
      </c>
      <c r="W42" s="190">
        <f t="shared" si="8"/>
        <v>0</v>
      </c>
      <c r="X42" s="190">
        <f t="shared" si="8"/>
        <v>6.8460000000000001</v>
      </c>
      <c r="Y42" s="190">
        <f t="shared" si="8"/>
        <v>13385.579525000001</v>
      </c>
      <c r="Z42" s="190">
        <f t="shared" si="8"/>
        <v>0</v>
      </c>
      <c r="AA42" s="190">
        <f t="shared" si="8"/>
        <v>255.19055172413792</v>
      </c>
      <c r="AB42" s="166"/>
    </row>
    <row r="43" spans="1:28" ht="15.75" x14ac:dyDescent="0.25">
      <c r="A43" s="93" t="s">
        <v>101</v>
      </c>
      <c r="B43" s="97">
        <f>+B37+B39+B41</f>
        <v>17.23</v>
      </c>
      <c r="C43" s="95"/>
      <c r="D43" s="94"/>
      <c r="E43" s="96"/>
      <c r="F43" s="94"/>
      <c r="G43" s="94"/>
      <c r="H43" s="98"/>
      <c r="I43" s="99"/>
      <c r="J43" s="185">
        <f t="shared" si="7"/>
        <v>17.23</v>
      </c>
      <c r="K43" s="99">
        <v>17.23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97.866399999999999</v>
      </c>
      <c r="C44" s="95"/>
      <c r="D44" s="94"/>
      <c r="E44" s="96"/>
      <c r="F44" s="94"/>
      <c r="G44" s="94"/>
      <c r="H44" s="98"/>
      <c r="I44" s="99"/>
      <c r="J44" s="185">
        <f t="shared" si="7"/>
        <v>97.866399999999999</v>
      </c>
      <c r="K44" s="99">
        <v>97.87</v>
      </c>
      <c r="L44" s="187">
        <f>K44-B44</f>
        <v>3.6000000000058208E-3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13486.73</v>
      </c>
      <c r="C46" s="116">
        <v>7.4999999999999997E-3</v>
      </c>
      <c r="D46" s="117">
        <f>B46*C46</f>
        <v>101.15047499999999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13385.579524999999</v>
      </c>
      <c r="H46" s="173">
        <f>B$6+1</f>
        <v>44757</v>
      </c>
      <c r="I46" s="174">
        <v>14070.95</v>
      </c>
      <c r="J46" s="81">
        <f t="shared" si="7"/>
        <v>-584.22000000000116</v>
      </c>
      <c r="K46" s="80">
        <v>13507.87</v>
      </c>
      <c r="L46" s="186">
        <f>K46-G46</f>
        <v>122.29047500000161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7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47.76</v>
      </c>
      <c r="C48" s="116">
        <v>7.4999999999999997E-3</v>
      </c>
      <c r="D48" s="117">
        <f t="shared" si="17"/>
        <v>0.35819999999999996</v>
      </c>
      <c r="E48" s="172">
        <v>0</v>
      </c>
      <c r="F48" s="117">
        <f t="shared" si="15"/>
        <v>0</v>
      </c>
      <c r="G48" s="117">
        <f t="shared" si="16"/>
        <v>47.401800000000001</v>
      </c>
      <c r="H48" s="173">
        <f t="shared" ref="H48:H61" si="19">B$6+1</f>
        <v>44757</v>
      </c>
      <c r="I48" s="176">
        <v>47.76</v>
      </c>
      <c r="J48" s="81">
        <f t="shared" si="7"/>
        <v>0</v>
      </c>
      <c r="K48" s="80"/>
      <c r="L48" s="186">
        <f t="shared" si="18"/>
        <v>47.401800000000001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1049.1500000000001</v>
      </c>
      <c r="C49" s="116">
        <v>7.4999999999999997E-3</v>
      </c>
      <c r="D49" s="117">
        <f t="shared" si="17"/>
        <v>7.8686250000000006</v>
      </c>
      <c r="E49" s="172">
        <v>0</v>
      </c>
      <c r="F49" s="117">
        <f t="shared" si="15"/>
        <v>0</v>
      </c>
      <c r="G49" s="117">
        <f t="shared" si="16"/>
        <v>1041.281375</v>
      </c>
      <c r="H49" s="173">
        <f t="shared" si="19"/>
        <v>44757</v>
      </c>
      <c r="I49" s="176"/>
      <c r="J49" s="81">
        <f t="shared" si="7"/>
        <v>1049.1500000000001</v>
      </c>
      <c r="K49" s="80"/>
      <c r="L49" s="186">
        <f t="shared" si="18"/>
        <v>1041.281375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2184.5</v>
      </c>
      <c r="C50" s="116">
        <v>7.4999999999999997E-3</v>
      </c>
      <c r="D50" s="117">
        <f t="shared" si="17"/>
        <v>16.383749999999999</v>
      </c>
      <c r="E50" s="172">
        <v>0</v>
      </c>
      <c r="F50" s="117">
        <f t="shared" si="15"/>
        <v>0</v>
      </c>
      <c r="G50" s="117">
        <f t="shared" si="16"/>
        <v>2168.11625</v>
      </c>
      <c r="H50" s="173">
        <f t="shared" si="19"/>
        <v>44757</v>
      </c>
      <c r="I50" s="175"/>
      <c r="J50" s="81">
        <f t="shared" si="7"/>
        <v>2184.5</v>
      </c>
      <c r="K50" s="80">
        <v>2168.12</v>
      </c>
      <c r="L50" s="186">
        <f t="shared" si="18"/>
        <v>-3.7499999998544808E-3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545.85</v>
      </c>
      <c r="C51" s="116">
        <v>1.4999999999999999E-2</v>
      </c>
      <c r="D51" s="117">
        <f>+B51*C51</f>
        <v>8.1877499999999994</v>
      </c>
      <c r="E51" s="172">
        <v>0</v>
      </c>
      <c r="F51" s="117">
        <f>D51*E51</f>
        <v>0</v>
      </c>
      <c r="G51" s="117">
        <f t="shared" si="16"/>
        <v>537.66224999999997</v>
      </c>
      <c r="H51" s="173">
        <f t="shared" si="19"/>
        <v>44757</v>
      </c>
      <c r="I51" s="175">
        <v>2730.3</v>
      </c>
      <c r="J51" s="81">
        <f t="shared" si="7"/>
        <v>-2184.4500000000003</v>
      </c>
      <c r="K51" s="80">
        <v>537.66</v>
      </c>
      <c r="L51" s="186">
        <f t="shared" si="18"/>
        <v>2.250000000003638E-3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273.84000000000003</v>
      </c>
      <c r="C52" s="116">
        <v>2.5000000000000001E-2</v>
      </c>
      <c r="D52" s="117">
        <f>B52*C52</f>
        <v>6.846000000000001</v>
      </c>
      <c r="E52" s="172">
        <v>0.05</v>
      </c>
      <c r="F52" s="117">
        <f>(B52/E$10)*E52</f>
        <v>11.803448275862072</v>
      </c>
      <c r="G52" s="117">
        <f>B52-D52-F52</f>
        <v>255.19055172413795</v>
      </c>
      <c r="H52" s="188">
        <f t="shared" si="19"/>
        <v>44757</v>
      </c>
      <c r="I52" s="176">
        <v>302.67</v>
      </c>
      <c r="J52" s="81">
        <f t="shared" si="7"/>
        <v>-28.829999999999984</v>
      </c>
      <c r="K52" s="80">
        <v>140.34</v>
      </c>
      <c r="L52" s="186">
        <f>K52-G52</f>
        <v>-114.85055172413794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219</v>
      </c>
      <c r="B56" s="117">
        <f>T75</f>
        <v>28.83</v>
      </c>
      <c r="C56" s="116">
        <v>2.5000000000000001E-2</v>
      </c>
      <c r="D56" s="117">
        <f t="shared" si="20"/>
        <v>0.72075</v>
      </c>
      <c r="E56" s="172">
        <v>0.05</v>
      </c>
      <c r="F56" s="117">
        <f t="shared" si="21"/>
        <v>1.2426724137931036</v>
      </c>
      <c r="G56" s="117">
        <f t="shared" si="22"/>
        <v>26.866577586206894</v>
      </c>
      <c r="H56" s="173">
        <f t="shared" si="19"/>
        <v>44757</v>
      </c>
      <c r="I56" s="176">
        <v>54.93</v>
      </c>
      <c r="J56" s="81">
        <f t="shared" si="7"/>
        <v>-26.1</v>
      </c>
      <c r="K56" s="80"/>
      <c r="L56" s="186">
        <f t="shared" si="18"/>
        <v>26.866577586206894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141.51554999999999</v>
      </c>
      <c r="E61" s="177"/>
      <c r="F61" s="57">
        <f>SUM(F46:F58)</f>
        <v>13.046120689655176</v>
      </c>
      <c r="G61" s="57">
        <f>SUM(G46:G58)</f>
        <v>17462.098329310345</v>
      </c>
      <c r="H61" s="173">
        <f t="shared" si="19"/>
        <v>44757</v>
      </c>
      <c r="I61" s="175"/>
      <c r="J61" s="81">
        <f t="shared" si="7"/>
        <v>0</v>
      </c>
      <c r="K61" s="80"/>
      <c r="L61" s="186">
        <f t="shared" si="18"/>
        <v>17462.098329310345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410</v>
      </c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7"/>
        <v>410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257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34924.196658620691</v>
      </c>
      <c r="H64" s="184"/>
      <c r="I64" s="175"/>
      <c r="J64" s="81">
        <f t="shared" si="7"/>
        <v>0</v>
      </c>
      <c r="K64" s="80"/>
      <c r="L64" s="186">
        <f t="shared" si="18"/>
        <v>34924.196658620691</v>
      </c>
      <c r="M64" s="130"/>
      <c r="N64" s="87">
        <v>1</v>
      </c>
      <c r="O64" s="122" t="s">
        <v>170</v>
      </c>
      <c r="P64" s="225">
        <v>2863</v>
      </c>
      <c r="Q64" s="225"/>
      <c r="R64" s="221">
        <v>10.76</v>
      </c>
      <c r="S64" s="225"/>
      <c r="T64" s="225"/>
      <c r="U64" s="189">
        <f t="shared" ref="U64:U68" si="27">((T64/U$10)*U$9)</f>
        <v>0</v>
      </c>
      <c r="V64" s="189">
        <f t="shared" ref="V64:V68" si="28">R64*V$10</f>
        <v>8.0699999999999994E-2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10.6793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29555.433400000002</v>
      </c>
      <c r="G65" s="22"/>
      <c r="L65" s="132"/>
      <c r="M65" s="131"/>
      <c r="N65" s="87">
        <v>2</v>
      </c>
      <c r="O65" s="122" t="s">
        <v>170</v>
      </c>
      <c r="P65" s="225">
        <v>1296</v>
      </c>
      <c r="Q65" s="225"/>
      <c r="R65" s="221">
        <v>7</v>
      </c>
      <c r="S65" s="225"/>
      <c r="T65" s="225"/>
      <c r="U65" s="189">
        <f t="shared" si="27"/>
        <v>0</v>
      </c>
      <c r="V65" s="189">
        <f t="shared" si="28"/>
        <v>5.2499999999999998E-2</v>
      </c>
      <c r="W65" s="189">
        <f t="shared" si="29"/>
        <v>0</v>
      </c>
      <c r="X65" s="189">
        <f t="shared" si="30"/>
        <v>0</v>
      </c>
      <c r="Y65" s="189">
        <f t="shared" si="31"/>
        <v>6.9474999999999998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216</v>
      </c>
      <c r="P66" s="225">
        <v>1499</v>
      </c>
      <c r="Q66" s="225"/>
      <c r="R66" s="225">
        <v>30</v>
      </c>
      <c r="S66" s="225"/>
      <c r="T66" s="225"/>
      <c r="U66" s="189">
        <f t="shared" si="27"/>
        <v>0</v>
      </c>
      <c r="V66" s="189">
        <f t="shared" si="28"/>
        <v>0.22499999999999998</v>
      </c>
      <c r="W66" s="189">
        <f t="shared" si="29"/>
        <v>0</v>
      </c>
      <c r="X66" s="189">
        <f t="shared" si="30"/>
        <v>0</v>
      </c>
      <c r="Y66" s="189">
        <f t="shared" si="31"/>
        <v>29.774999999999999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216</v>
      </c>
      <c r="P67" s="225"/>
      <c r="Q67" s="225"/>
      <c r="R67" s="225"/>
      <c r="S67" s="225"/>
      <c r="T67" s="225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29198.07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216</v>
      </c>
      <c r="P68" s="225"/>
      <c r="Q68" s="225"/>
      <c r="R68" s="225"/>
      <c r="S68" s="225"/>
      <c r="T68" s="225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29487.16</v>
      </c>
      <c r="C69" s="59"/>
      <c r="F69" s="87" t="s">
        <v>127</v>
      </c>
      <c r="G69" s="22"/>
      <c r="H69" s="89"/>
      <c r="I69" s="136"/>
      <c r="J69" s="136">
        <f>K52</f>
        <v>140.34</v>
      </c>
      <c r="N69" s="301" t="s">
        <v>108</v>
      </c>
      <c r="O69" s="301"/>
      <c r="P69" s="302"/>
      <c r="Q69" s="302"/>
      <c r="R69" s="192">
        <f>SUM(R64:R68)</f>
        <v>47.76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0.35819999999999996</v>
      </c>
      <c r="W69" s="192">
        <f t="shared" si="33"/>
        <v>0</v>
      </c>
      <c r="X69" s="192">
        <f t="shared" si="33"/>
        <v>0</v>
      </c>
      <c r="Y69" s="192">
        <f t="shared" si="33"/>
        <v>47.401799999999994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-289.09000000000015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154</v>
      </c>
      <c r="Q70" s="225">
        <v>2001</v>
      </c>
      <c r="R70" s="221">
        <v>8.65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6.4875000000000002E-2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8.5851249999999997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68.273400000001857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140.34</v>
      </c>
      <c r="N71" s="87">
        <v>2</v>
      </c>
      <c r="O71" s="122" t="s">
        <v>210</v>
      </c>
      <c r="P71" s="225">
        <v>160</v>
      </c>
      <c r="Q71" s="225">
        <v>2001</v>
      </c>
      <c r="R71" s="221">
        <v>46.28</v>
      </c>
      <c r="S71" s="225"/>
      <c r="T71" s="225"/>
      <c r="U71" s="189">
        <f t="shared" si="34"/>
        <v>0</v>
      </c>
      <c r="V71" s="189">
        <f t="shared" si="35"/>
        <v>0.34710000000000002</v>
      </c>
      <c r="W71" s="189">
        <f t="shared" si="36"/>
        <v>0</v>
      </c>
      <c r="X71" s="189">
        <f t="shared" si="37"/>
        <v>0</v>
      </c>
      <c r="Y71" s="189">
        <f t="shared" si="38"/>
        <v>45.932900000000004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>
        <v>97</v>
      </c>
      <c r="Q72" s="225">
        <v>1001</v>
      </c>
      <c r="R72" s="221">
        <v>584.22</v>
      </c>
      <c r="S72" s="225"/>
      <c r="T72" s="225">
        <v>28.83</v>
      </c>
      <c r="U72" s="189">
        <f t="shared" si="34"/>
        <v>1.2426724137931036</v>
      </c>
      <c r="V72" s="189">
        <f t="shared" si="35"/>
        <v>4.3816499999999996</v>
      </c>
      <c r="W72" s="189">
        <f t="shared" si="36"/>
        <v>0</v>
      </c>
      <c r="X72" s="189">
        <f t="shared" si="37"/>
        <v>0.72075</v>
      </c>
      <c r="Y72" s="189">
        <f t="shared" si="38"/>
        <v>579.83834999999999</v>
      </c>
      <c r="Z72" s="189">
        <f t="shared" si="38"/>
        <v>0</v>
      </c>
      <c r="AA72" s="189">
        <f t="shared" si="39"/>
        <v>26.866577586206898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/>
      <c r="Q73" s="225"/>
      <c r="R73" s="221"/>
      <c r="S73" s="225"/>
      <c r="T73" s="225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160+80+80+80+10</f>
        <v>410</v>
      </c>
      <c r="S74" s="225"/>
      <c r="T74" s="225"/>
      <c r="U74" s="189">
        <f t="shared" si="34"/>
        <v>0</v>
      </c>
      <c r="V74" s="189">
        <f t="shared" si="35"/>
        <v>3.0749999999999997</v>
      </c>
      <c r="W74" s="189">
        <f t="shared" si="36"/>
        <v>0</v>
      </c>
      <c r="X74" s="189">
        <f t="shared" si="37"/>
        <v>0</v>
      </c>
      <c r="Y74" s="189">
        <f t="shared" si="38"/>
        <v>406.92500000000001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1049.1500000000001</v>
      </c>
      <c r="S75" s="192"/>
      <c r="T75" s="192">
        <f>SUM(T70:T74)</f>
        <v>28.83</v>
      </c>
      <c r="U75" s="192">
        <f>SUM(U70:U74)</f>
        <v>1.2426724137931036</v>
      </c>
      <c r="V75" s="192">
        <f t="shared" ref="V75:AA75" si="41">SUM(V70:V74)</f>
        <v>7.8686249999999998</v>
      </c>
      <c r="W75" s="192">
        <f t="shared" si="41"/>
        <v>0</v>
      </c>
      <c r="X75" s="192">
        <f t="shared" si="41"/>
        <v>0.72075</v>
      </c>
      <c r="Y75" s="192">
        <f t="shared" si="41"/>
        <v>1041.281375</v>
      </c>
      <c r="Z75" s="192">
        <f t="shared" si="41"/>
        <v>0</v>
      </c>
      <c r="AA75" s="193">
        <f t="shared" si="41"/>
        <v>26.866577586206898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197.69</v>
      </c>
      <c r="Q78" s="137">
        <v>83.42</v>
      </c>
      <c r="R78" s="82">
        <v>7.4999999999999997E-3</v>
      </c>
      <c r="S78" s="194">
        <f>+(P78+Q78)*R78</f>
        <v>2.1083250000000002</v>
      </c>
      <c r="T78" s="258">
        <f>+(P78+Q78)-S78</f>
        <v>279.00167500000003</v>
      </c>
      <c r="U78" s="211">
        <v>98.52</v>
      </c>
      <c r="V78" s="112"/>
      <c r="W78" s="113">
        <v>1.4999999999999999E-2</v>
      </c>
      <c r="X78" s="196">
        <f>+(U78+V78)*W78</f>
        <v>1.4777999999999998</v>
      </c>
      <c r="Y78" s="258">
        <f>+(U78+V78)-X78</f>
        <v>97.042199999999994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2168.12</v>
      </c>
      <c r="N79" s="87">
        <v>2</v>
      </c>
      <c r="O79" s="87" t="s">
        <v>110</v>
      </c>
      <c r="P79" s="137">
        <v>158.16</v>
      </c>
      <c r="Q79" s="137">
        <v>12</v>
      </c>
      <c r="R79" s="82">
        <v>7.4999999999999997E-3</v>
      </c>
      <c r="S79" s="194">
        <f t="shared" ref="S79:S97" si="43">+(P79+Q79)*R79</f>
        <v>1.2762</v>
      </c>
      <c r="T79" s="258">
        <f t="shared" ref="T79:T97" si="44">+(P79+Q79)-S79</f>
        <v>168.88380000000001</v>
      </c>
      <c r="U79" s="211">
        <v>96.18</v>
      </c>
      <c r="V79" s="112"/>
      <c r="W79" s="113">
        <v>1.4999999999999999E-2</v>
      </c>
      <c r="X79" s="196">
        <f t="shared" ref="X79:X97" si="45">+(U79+V79)*W79</f>
        <v>1.4427000000000001</v>
      </c>
      <c r="Y79" s="258">
        <f t="shared" ref="Y79:Y97" si="46">+(U79+V79)-X79</f>
        <v>94.737300000000005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270.77</v>
      </c>
      <c r="Q80" s="137">
        <v>107.81</v>
      </c>
      <c r="R80" s="82">
        <v>7.4999999999999997E-3</v>
      </c>
      <c r="S80" s="194">
        <f t="shared" si="43"/>
        <v>2.8393499999999996</v>
      </c>
      <c r="T80" s="258">
        <f t="shared" si="44"/>
        <v>375.74064999999996</v>
      </c>
      <c r="U80" s="211">
        <v>74.19</v>
      </c>
      <c r="V80" s="112"/>
      <c r="W80" s="113">
        <v>1.4999999999999999E-2</v>
      </c>
      <c r="X80" s="196">
        <f t="shared" si="45"/>
        <v>1.1128499999999999</v>
      </c>
      <c r="Y80" s="258">
        <f t="shared" si="46"/>
        <v>73.077150000000003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2168.12</v>
      </c>
      <c r="N81" s="87">
        <v>4</v>
      </c>
      <c r="O81" s="87" t="s">
        <v>110</v>
      </c>
      <c r="P81" s="137">
        <v>258.55</v>
      </c>
      <c r="Q81" s="137">
        <v>134.38</v>
      </c>
      <c r="R81" s="82">
        <v>7.4999999999999997E-3</v>
      </c>
      <c r="S81" s="194">
        <f t="shared" si="43"/>
        <v>2.9469750000000001</v>
      </c>
      <c r="T81" s="258">
        <f t="shared" si="44"/>
        <v>389.983025</v>
      </c>
      <c r="U81" s="211">
        <v>17.600000000000001</v>
      </c>
      <c r="V81" s="112"/>
      <c r="W81" s="113">
        <v>1.4999999999999999E-2</v>
      </c>
      <c r="X81" s="196">
        <f t="shared" si="45"/>
        <v>0.26400000000000001</v>
      </c>
      <c r="Y81" s="258">
        <f t="shared" si="46"/>
        <v>17.336000000000002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237.23</v>
      </c>
      <c r="Q82" s="137">
        <v>4.49</v>
      </c>
      <c r="R82" s="82">
        <v>7.4999999999999997E-3</v>
      </c>
      <c r="S82" s="194">
        <f t="shared" si="43"/>
        <v>1.8129</v>
      </c>
      <c r="T82" s="258">
        <f t="shared" si="44"/>
        <v>239.90709999999999</v>
      </c>
      <c r="U82" s="211">
        <v>72.42</v>
      </c>
      <c r="V82" s="112"/>
      <c r="W82" s="113">
        <v>1.4999999999999999E-2</v>
      </c>
      <c r="X82" s="217">
        <f t="shared" si="45"/>
        <v>1.0863</v>
      </c>
      <c r="Y82" s="258">
        <f t="shared" si="46"/>
        <v>71.333700000000007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>
        <v>2.67</v>
      </c>
      <c r="V83" s="112"/>
      <c r="W83" s="113">
        <v>1.4999999999999999E-2</v>
      </c>
      <c r="X83" s="196">
        <f t="shared" si="45"/>
        <v>4.0049999999999995E-2</v>
      </c>
      <c r="Y83" s="258">
        <f t="shared" si="46"/>
        <v>2.62995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21.21</v>
      </c>
      <c r="Q84" s="87"/>
      <c r="R84" s="82">
        <v>7.4999999999999997E-3</v>
      </c>
      <c r="S84" s="194">
        <f t="shared" si="43"/>
        <v>0.15907499999999999</v>
      </c>
      <c r="T84" s="258">
        <f t="shared" si="44"/>
        <v>21.050924999999999</v>
      </c>
      <c r="U84" s="112">
        <v>32.200000000000003</v>
      </c>
      <c r="V84" s="112"/>
      <c r="W84" s="113">
        <v>1.4999999999999999E-2</v>
      </c>
      <c r="X84" s="196">
        <f t="shared" si="45"/>
        <v>0.48300000000000004</v>
      </c>
      <c r="Y84" s="258">
        <f t="shared" si="46"/>
        <v>31.717000000000002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59.53</v>
      </c>
      <c r="Q85" s="87">
        <v>1.01</v>
      </c>
      <c r="R85" s="82">
        <v>7.4999999999999997E-3</v>
      </c>
      <c r="S85" s="194">
        <f t="shared" si="43"/>
        <v>0.45404999999999995</v>
      </c>
      <c r="T85" s="254">
        <f t="shared" si="44"/>
        <v>60.085949999999997</v>
      </c>
      <c r="U85" s="112">
        <v>24.58</v>
      </c>
      <c r="V85" s="112"/>
      <c r="W85" s="113">
        <v>1.4999999999999999E-2</v>
      </c>
      <c r="X85" s="196">
        <f t="shared" si="45"/>
        <v>0.36869999999999997</v>
      </c>
      <c r="Y85" s="254">
        <f t="shared" si="46"/>
        <v>24.211299999999998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563.48</v>
      </c>
      <c r="Q86" s="87">
        <v>74.77</v>
      </c>
      <c r="R86" s="82">
        <v>7.4999999999999997E-3</v>
      </c>
      <c r="S86" s="194">
        <f t="shared" si="43"/>
        <v>4.7868750000000002</v>
      </c>
      <c r="T86" s="254">
        <f t="shared" si="44"/>
        <v>633.46312499999999</v>
      </c>
      <c r="U86" s="112">
        <v>127.49</v>
      </c>
      <c r="V86" s="112"/>
      <c r="W86" s="113">
        <v>1.4999999999999999E-2</v>
      </c>
      <c r="X86" s="196">
        <f t="shared" si="45"/>
        <v>1.9123499999999998</v>
      </c>
      <c r="Y86" s="254">
        <f t="shared" si="46"/>
        <v>125.57764999999999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216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1766.6200000000001</v>
      </c>
      <c r="Q98" s="195">
        <f>SUM(Q78:Q97)</f>
        <v>417.88</v>
      </c>
      <c r="R98" s="111"/>
      <c r="S98" s="195">
        <f>SUM(S78:S97)</f>
        <v>16.383749999999999</v>
      </c>
      <c r="T98" s="195">
        <f>SUM(T78:T97)</f>
        <v>2168.11625</v>
      </c>
      <c r="U98" s="114">
        <f>SUM(U78:U97)</f>
        <v>545.85</v>
      </c>
      <c r="V98" s="114">
        <f>SUM(V78:V97)</f>
        <v>0</v>
      </c>
      <c r="W98" s="112"/>
      <c r="X98" s="197">
        <f>SUM(X78:X97)</f>
        <v>8.1877499999999976</v>
      </c>
      <c r="Y98" s="197">
        <f>SUM(Y78:Y97)</f>
        <v>537.66224999999997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P78+U78+Q78</f>
        <v>379.63</v>
      </c>
      <c r="R102" s="84"/>
    </row>
    <row r="103" spans="14:30" x14ac:dyDescent="0.25">
      <c r="N103" s="85"/>
      <c r="Q103" s="215">
        <f t="shared" ref="Q103:Q111" si="50">P79+Q79+U79</f>
        <v>266.34000000000003</v>
      </c>
      <c r="R103" s="84"/>
    </row>
    <row r="104" spans="14:30" x14ac:dyDescent="0.25">
      <c r="N104" s="85"/>
      <c r="Q104" s="215">
        <f>P80+Q80+U80</f>
        <v>452.77</v>
      </c>
      <c r="R104" s="84"/>
    </row>
    <row r="105" spans="14:30" x14ac:dyDescent="0.25">
      <c r="N105" s="85"/>
      <c r="Q105" s="215">
        <f>P81+Q81+U81</f>
        <v>410.53000000000003</v>
      </c>
      <c r="R105" s="84"/>
    </row>
    <row r="106" spans="14:30" x14ac:dyDescent="0.25">
      <c r="N106" s="85"/>
      <c r="Q106" s="215">
        <f t="shared" si="50"/>
        <v>314.14</v>
      </c>
      <c r="R106" s="84"/>
    </row>
    <row r="107" spans="14:30" x14ac:dyDescent="0.25">
      <c r="N107" s="85"/>
      <c r="Q107" s="215">
        <f t="shared" si="50"/>
        <v>2.67</v>
      </c>
      <c r="R107" s="84"/>
    </row>
    <row r="108" spans="14:30" x14ac:dyDescent="0.25">
      <c r="N108" s="85"/>
      <c r="Q108" s="215">
        <f t="shared" si="50"/>
        <v>53.410000000000004</v>
      </c>
      <c r="R108" s="84"/>
    </row>
    <row r="109" spans="14:30" x14ac:dyDescent="0.25">
      <c r="N109" s="85"/>
      <c r="Q109" s="215">
        <f>P85+Q85+U85</f>
        <v>85.12</v>
      </c>
      <c r="R109" s="84"/>
    </row>
    <row r="110" spans="14:30" x14ac:dyDescent="0.25">
      <c r="N110" s="85"/>
      <c r="Q110" s="84">
        <f>P86+Q86+U86</f>
        <v>765.74</v>
      </c>
      <c r="R110" s="84"/>
    </row>
    <row r="111" spans="14:30" x14ac:dyDescent="0.25">
      <c r="N111" s="85"/>
      <c r="Q111" s="84">
        <f t="shared" si="50"/>
        <v>0</v>
      </c>
      <c r="R111" s="84"/>
    </row>
    <row r="112" spans="14:30" x14ac:dyDescent="0.25">
      <c r="N112" s="85"/>
      <c r="Q112" s="84"/>
      <c r="R112" s="84"/>
    </row>
    <row r="113" spans="14:18" x14ac:dyDescent="0.25">
      <c r="N113" s="85"/>
      <c r="Q113" s="84"/>
      <c r="R113" s="84"/>
    </row>
    <row r="114" spans="14:18" x14ac:dyDescent="0.25">
      <c r="N114" s="85"/>
    </row>
    <row r="115" spans="14:18" x14ac:dyDescent="0.25">
      <c r="N115" s="85"/>
    </row>
    <row r="116" spans="14:18" x14ac:dyDescent="0.25">
      <c r="N116" s="76"/>
    </row>
    <row r="118" spans="14:18" x14ac:dyDescent="0.25">
      <c r="N118" s="78"/>
    </row>
    <row r="119" spans="14:18" x14ac:dyDescent="0.25">
      <c r="N119" s="90"/>
    </row>
    <row r="120" spans="14:18" x14ac:dyDescent="0.25">
      <c r="N120" s="92"/>
    </row>
    <row r="121" spans="14:18" x14ac:dyDescent="0.25">
      <c r="N121" s="92"/>
    </row>
    <row r="122" spans="14:18" x14ac:dyDescent="0.25">
      <c r="N122" s="92"/>
    </row>
    <row r="123" spans="14:18" x14ac:dyDescent="0.25">
      <c r="N123" s="92"/>
    </row>
    <row r="124" spans="14:18" x14ac:dyDescent="0.25">
      <c r="N124" s="92"/>
    </row>
    <row r="125" spans="14:18" x14ac:dyDescent="0.25">
      <c r="N125" s="92"/>
    </row>
    <row r="126" spans="14:18" x14ac:dyDescent="0.25">
      <c r="N126" s="90"/>
    </row>
    <row r="127" spans="14:18" x14ac:dyDescent="0.25">
      <c r="N127" s="92"/>
    </row>
    <row r="128" spans="14:18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64" zoomScale="90" zoomScaleNormal="90" workbookViewId="0">
      <selection activeCell="T87" sqref="T8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44757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5.68</v>
      </c>
    </row>
    <row r="9" spans="1:28" x14ac:dyDescent="0.25">
      <c r="A9" s="7" t="s">
        <v>76</v>
      </c>
      <c r="B9" s="108">
        <v>5.68</v>
      </c>
      <c r="C9" s="85" t="s">
        <v>93</v>
      </c>
      <c r="D9" s="108">
        <v>5.7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1735</v>
      </c>
      <c r="C12" s="15"/>
      <c r="D12" s="56"/>
      <c r="E12" s="16"/>
      <c r="F12" s="56"/>
      <c r="G12" s="56"/>
      <c r="H12" s="17"/>
      <c r="I12" s="83">
        <v>1735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176</v>
      </c>
      <c r="Q12" s="158">
        <v>11</v>
      </c>
      <c r="R12" s="159">
        <v>1506.75</v>
      </c>
      <c r="S12" s="160"/>
      <c r="T12" s="160">
        <v>219.4</v>
      </c>
      <c r="U12" s="189">
        <f>((T12/U$10)*U$9)</f>
        <v>9.4568965517241406</v>
      </c>
      <c r="V12" s="189">
        <f>R12*V$10</f>
        <v>11.300625</v>
      </c>
      <c r="W12" s="189">
        <f>+S12*V$10</f>
        <v>0</v>
      </c>
      <c r="X12" s="189">
        <f>+T12*X$10</f>
        <v>5.4850000000000003</v>
      </c>
      <c r="Y12" s="189">
        <f>R12-V12</f>
        <v>1495.4493749999999</v>
      </c>
      <c r="Z12" s="189">
        <f>S12-W12</f>
        <v>0</v>
      </c>
      <c r="AA12" s="189">
        <f>T12-U12-X12</f>
        <v>204.45810344827586</v>
      </c>
      <c r="AB12" s="156"/>
    </row>
    <row r="13" spans="1:28" ht="15.75" x14ac:dyDescent="0.25">
      <c r="A13" s="86" t="s">
        <v>74</v>
      </c>
      <c r="B13" s="89">
        <v>1514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1514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177</v>
      </c>
      <c r="Q13" s="158">
        <v>11</v>
      </c>
      <c r="R13" s="159">
        <v>1404.36</v>
      </c>
      <c r="S13" s="160"/>
      <c r="T13" s="161">
        <v>60.25</v>
      </c>
      <c r="U13" s="189">
        <f t="shared" ref="U13:U41" si="2">((T13/U$10)*U$9)</f>
        <v>2.5969827586206899</v>
      </c>
      <c r="V13" s="189">
        <f t="shared" ref="V13:V41" si="3">R13*V$10</f>
        <v>10.532699999999998</v>
      </c>
      <c r="W13" s="189">
        <f t="shared" ref="W13:W41" si="4">+S13*V$10</f>
        <v>0</v>
      </c>
      <c r="X13" s="189">
        <f t="shared" ref="X13:X41" si="5">+T13*X$10</f>
        <v>1.5062500000000001</v>
      </c>
      <c r="Y13" s="189">
        <f t="shared" ref="Y13:Z41" si="6">R13-V13</f>
        <v>1393.8272999999999</v>
      </c>
      <c r="Z13" s="189">
        <f t="shared" si="6"/>
        <v>0</v>
      </c>
      <c r="AA13" s="189">
        <f t="shared" ref="AA13:AA41" si="7">T13-U13-X13</f>
        <v>56.146767241379308</v>
      </c>
      <c r="AB13" s="156"/>
    </row>
    <row r="14" spans="1:28" ht="15.75" x14ac:dyDescent="0.25">
      <c r="A14" s="86" t="s">
        <v>81</v>
      </c>
      <c r="B14" s="57">
        <f>B13*B8</f>
        <v>8629.8000000000011</v>
      </c>
      <c r="C14" s="15"/>
      <c r="D14" s="56"/>
      <c r="E14" s="16"/>
      <c r="F14" s="56"/>
      <c r="G14" s="56"/>
      <c r="H14" s="17"/>
      <c r="I14" s="83"/>
      <c r="J14" s="81">
        <f t="shared" si="0"/>
        <v>8629.8000000000011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557</v>
      </c>
      <c r="Q14" s="158">
        <v>2</v>
      </c>
      <c r="R14" s="159">
        <v>1420.02</v>
      </c>
      <c r="S14" s="160"/>
      <c r="T14" s="161"/>
      <c r="U14" s="189">
        <f t="shared" si="2"/>
        <v>0</v>
      </c>
      <c r="V14" s="189">
        <f t="shared" si="3"/>
        <v>10.65015</v>
      </c>
      <c r="W14" s="189">
        <f t="shared" si="4"/>
        <v>0</v>
      </c>
      <c r="X14" s="189">
        <f t="shared" si="5"/>
        <v>0</v>
      </c>
      <c r="Y14" s="189">
        <f t="shared" si="6"/>
        <v>1409.36985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921</v>
      </c>
      <c r="C15" s="15"/>
      <c r="D15" s="56"/>
      <c r="E15" s="16"/>
      <c r="F15" s="56"/>
      <c r="G15" s="56"/>
      <c r="H15" s="17"/>
      <c r="I15" s="83"/>
      <c r="J15" s="81">
        <f t="shared" si="0"/>
        <v>921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558</v>
      </c>
      <c r="Q15" s="158">
        <v>2</v>
      </c>
      <c r="R15" s="159">
        <v>1406.01</v>
      </c>
      <c r="S15" s="160"/>
      <c r="T15" s="161"/>
      <c r="U15" s="189">
        <f t="shared" si="2"/>
        <v>0</v>
      </c>
      <c r="V15" s="189">
        <f t="shared" si="3"/>
        <v>10.545074999999999</v>
      </c>
      <c r="W15" s="189">
        <f t="shared" si="4"/>
        <v>0</v>
      </c>
      <c r="X15" s="189">
        <f t="shared" si="5"/>
        <v>0</v>
      </c>
      <c r="Y15" s="189">
        <f t="shared" si="6"/>
        <v>1395.464925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5231.28</v>
      </c>
      <c r="C16" s="15"/>
      <c r="D16" s="56"/>
      <c r="E16" s="16"/>
      <c r="F16" s="56"/>
      <c r="G16" s="56"/>
      <c r="H16" s="17"/>
      <c r="I16" s="83"/>
      <c r="J16" s="81">
        <f t="shared" si="0"/>
        <v>5231.28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539</v>
      </c>
      <c r="Q16" s="158">
        <v>4</v>
      </c>
      <c r="R16" s="159">
        <v>499.62</v>
      </c>
      <c r="S16" s="160"/>
      <c r="T16" s="161">
        <v>5.68</v>
      </c>
      <c r="U16" s="189">
        <f t="shared" si="2"/>
        <v>0.2448275862068966</v>
      </c>
      <c r="V16" s="189">
        <f t="shared" si="3"/>
        <v>3.74715</v>
      </c>
      <c r="W16" s="189">
        <f t="shared" si="4"/>
        <v>0</v>
      </c>
      <c r="X16" s="189">
        <f t="shared" si="5"/>
        <v>0.14199999999999999</v>
      </c>
      <c r="Y16" s="189">
        <f t="shared" si="6"/>
        <v>495.87285000000003</v>
      </c>
      <c r="Z16" s="189">
        <f t="shared" si="6"/>
        <v>0</v>
      </c>
      <c r="AA16" s="189">
        <f t="shared" si="7"/>
        <v>5.2931724137931031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540</v>
      </c>
      <c r="Q17" s="158">
        <v>4</v>
      </c>
      <c r="R17" s="159">
        <v>2589.08</v>
      </c>
      <c r="S17" s="160"/>
      <c r="T17" s="161"/>
      <c r="U17" s="189">
        <f t="shared" si="2"/>
        <v>0</v>
      </c>
      <c r="V17" s="189">
        <f t="shared" si="3"/>
        <v>19.418099999999999</v>
      </c>
      <c r="W17" s="189">
        <f t="shared" si="4"/>
        <v>0</v>
      </c>
      <c r="X17" s="189">
        <f t="shared" si="5"/>
        <v>0</v>
      </c>
      <c r="Y17" s="189">
        <f t="shared" si="6"/>
        <v>2569.6619000000001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547</v>
      </c>
      <c r="Q18" s="158">
        <v>14</v>
      </c>
      <c r="R18" s="159">
        <v>727.37</v>
      </c>
      <c r="S18" s="160"/>
      <c r="T18" s="161">
        <v>42.29</v>
      </c>
      <c r="U18" s="189">
        <f t="shared" si="2"/>
        <v>1.8228448275862073</v>
      </c>
      <c r="V18" s="189">
        <f t="shared" si="3"/>
        <v>5.4552749999999994</v>
      </c>
      <c r="W18" s="189">
        <f t="shared" si="4"/>
        <v>0</v>
      </c>
      <c r="X18" s="189">
        <f t="shared" si="5"/>
        <v>1.05725</v>
      </c>
      <c r="Y18" s="189">
        <f t="shared" si="6"/>
        <v>721.91472499999998</v>
      </c>
      <c r="Z18" s="189">
        <f t="shared" si="6"/>
        <v>0</v>
      </c>
      <c r="AA18" s="189">
        <f t="shared" si="7"/>
        <v>39.409905172413787</v>
      </c>
      <c r="AB18" s="156"/>
    </row>
    <row r="19" spans="1:28" ht="15.75" x14ac:dyDescent="0.25">
      <c r="A19" s="93" t="s">
        <v>79</v>
      </c>
      <c r="B19" s="97">
        <f>+B13+B15+B17</f>
        <v>2435</v>
      </c>
      <c r="C19" s="95"/>
      <c r="D19" s="94"/>
      <c r="E19" s="96"/>
      <c r="F19" s="94"/>
      <c r="G19" s="94"/>
      <c r="H19" s="98"/>
      <c r="I19" s="99"/>
      <c r="J19" s="185">
        <f>B19-I19</f>
        <v>2435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189</v>
      </c>
      <c r="Q19" s="158">
        <v>10</v>
      </c>
      <c r="R19" s="159">
        <v>1323.7</v>
      </c>
      <c r="S19" s="160"/>
      <c r="T19" s="161">
        <v>33.700000000000003</v>
      </c>
      <c r="U19" s="189">
        <f t="shared" si="2"/>
        <v>1.452586206896552</v>
      </c>
      <c r="V19" s="189">
        <f t="shared" si="3"/>
        <v>9.9277499999999996</v>
      </c>
      <c r="W19" s="189">
        <f t="shared" si="4"/>
        <v>0</v>
      </c>
      <c r="X19" s="189">
        <f t="shared" si="5"/>
        <v>0.84250000000000014</v>
      </c>
      <c r="Y19" s="189">
        <f t="shared" si="6"/>
        <v>1313.77225</v>
      </c>
      <c r="Z19" s="189">
        <f t="shared" si="6"/>
        <v>0</v>
      </c>
      <c r="AA19" s="189">
        <f t="shared" si="7"/>
        <v>31.404913793103447</v>
      </c>
      <c r="AB19" s="156"/>
    </row>
    <row r="20" spans="1:28" ht="15.75" x14ac:dyDescent="0.25">
      <c r="A20" s="93" t="s">
        <v>80</v>
      </c>
      <c r="B20" s="97">
        <f>+B14+B16+B18</f>
        <v>13861.080000000002</v>
      </c>
      <c r="C20" s="95"/>
      <c r="D20" s="94"/>
      <c r="E20" s="96"/>
      <c r="F20" s="94"/>
      <c r="G20" s="94"/>
      <c r="H20" s="98"/>
      <c r="I20" s="99">
        <v>13879.5</v>
      </c>
      <c r="J20" s="185">
        <f t="shared" si="0"/>
        <v>-18.419999999998254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190</v>
      </c>
      <c r="Q20" s="158">
        <v>10</v>
      </c>
      <c r="R20" s="159">
        <v>1141.1199999999999</v>
      </c>
      <c r="S20" s="160"/>
      <c r="T20" s="161">
        <v>49.13</v>
      </c>
      <c r="U20" s="189">
        <f t="shared" si="2"/>
        <v>2.1176724137931036</v>
      </c>
      <c r="V20" s="189">
        <f t="shared" si="3"/>
        <v>8.5583999999999989</v>
      </c>
      <c r="W20" s="189">
        <f t="shared" si="4"/>
        <v>0</v>
      </c>
      <c r="X20" s="189">
        <f t="shared" si="5"/>
        <v>1.2282500000000001</v>
      </c>
      <c r="Y20" s="189">
        <f t="shared" si="6"/>
        <v>1132.5616</v>
      </c>
      <c r="Z20" s="189">
        <f t="shared" si="6"/>
        <v>0</v>
      </c>
      <c r="AA20" s="189">
        <f t="shared" si="7"/>
        <v>45.784077586206898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623</v>
      </c>
      <c r="Q21" s="158">
        <v>18</v>
      </c>
      <c r="R21" s="159">
        <v>1020.31</v>
      </c>
      <c r="S21" s="160"/>
      <c r="T21" s="161"/>
      <c r="U21" s="189">
        <f t="shared" si="2"/>
        <v>0</v>
      </c>
      <c r="V21" s="189">
        <f t="shared" si="3"/>
        <v>7.6523249999999994</v>
      </c>
      <c r="W21" s="189">
        <f t="shared" si="4"/>
        <v>0</v>
      </c>
      <c r="X21" s="189">
        <f t="shared" si="5"/>
        <v>0</v>
      </c>
      <c r="Y21" s="189">
        <f t="shared" si="6"/>
        <v>1012.6576749999999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624</v>
      </c>
      <c r="Q22" s="158">
        <v>18</v>
      </c>
      <c r="R22" s="162">
        <v>1397.94</v>
      </c>
      <c r="S22" s="160"/>
      <c r="T22" s="160">
        <v>142.05000000000001</v>
      </c>
      <c r="U22" s="189">
        <f t="shared" si="2"/>
        <v>6.1228448275862082</v>
      </c>
      <c r="V22" s="189">
        <f t="shared" si="3"/>
        <v>10.48455</v>
      </c>
      <c r="W22" s="189">
        <f t="shared" si="4"/>
        <v>0</v>
      </c>
      <c r="X22" s="189">
        <f t="shared" si="5"/>
        <v>3.5512500000000005</v>
      </c>
      <c r="Y22" s="189">
        <f t="shared" si="6"/>
        <v>1387.4554500000002</v>
      </c>
      <c r="Z22" s="189">
        <f t="shared" si="6"/>
        <v>0</v>
      </c>
      <c r="AA22" s="189">
        <f t="shared" si="7"/>
        <v>132.37590517241378</v>
      </c>
      <c r="AB22" s="156"/>
    </row>
    <row r="23" spans="1:28" ht="15.75" x14ac:dyDescent="0.25">
      <c r="A23" s="86" t="s">
        <v>83</v>
      </c>
      <c r="B23" s="56">
        <v>22</v>
      </c>
      <c r="C23" s="100"/>
      <c r="D23" s="66"/>
      <c r="E23" s="67"/>
      <c r="F23" s="66"/>
      <c r="G23" s="66"/>
      <c r="H23" s="102"/>
      <c r="I23" s="79">
        <v>22</v>
      </c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125.4</v>
      </c>
      <c r="C24" s="100"/>
      <c r="D24" s="66"/>
      <c r="E24" s="67"/>
      <c r="F24" s="66"/>
      <c r="G24" s="66"/>
      <c r="H24" s="102"/>
      <c r="I24" s="79">
        <v>126.5</v>
      </c>
      <c r="J24" s="81">
        <f t="shared" si="0"/>
        <v>-1.0999999999999943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22</v>
      </c>
      <c r="C27" s="95"/>
      <c r="D27" s="94"/>
      <c r="E27" s="96"/>
      <c r="F27" s="94"/>
      <c r="G27" s="94"/>
      <c r="H27" s="98"/>
      <c r="I27" s="99"/>
      <c r="J27" s="185">
        <f t="shared" si="0"/>
        <v>22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125.4</v>
      </c>
      <c r="C28" s="95"/>
      <c r="D28" s="94"/>
      <c r="E28" s="96"/>
      <c r="F28" s="94"/>
      <c r="G28" s="94"/>
      <c r="H28" s="98"/>
      <c r="I28" s="99"/>
      <c r="J28" s="185">
        <f t="shared" si="0"/>
        <v>125.4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4.6100000000000003</v>
      </c>
      <c r="C39" s="100"/>
      <c r="D39" s="66"/>
      <c r="E39" s="67"/>
      <c r="F39" s="66"/>
      <c r="G39" s="66"/>
      <c r="H39" s="102"/>
      <c r="I39" s="79">
        <v>4.6100000000000003</v>
      </c>
      <c r="J39" s="81">
        <f t="shared" si="0"/>
        <v>0</v>
      </c>
      <c r="K39" s="80">
        <v>4.6100000000000003</v>
      </c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26.184799999999999</v>
      </c>
      <c r="C40" s="100"/>
      <c r="D40" s="66"/>
      <c r="E40" s="67"/>
      <c r="F40" s="66"/>
      <c r="G40" s="66"/>
      <c r="H40" s="102"/>
      <c r="I40" s="79">
        <v>26.18</v>
      </c>
      <c r="J40" s="81">
        <f t="shared" si="0"/>
        <v>4.7999999999994714E-3</v>
      </c>
      <c r="K40" s="80">
        <v>26.18</v>
      </c>
      <c r="L40" s="186">
        <f t="shared" si="8"/>
        <v>-4.7999999999994714E-3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14436.280000000002</v>
      </c>
      <c r="S42" s="190">
        <f t="shared" si="9"/>
        <v>0</v>
      </c>
      <c r="T42" s="190">
        <f t="shared" si="9"/>
        <v>552.5</v>
      </c>
      <c r="U42" s="190">
        <f t="shared" si="9"/>
        <v>23.814655172413801</v>
      </c>
      <c r="V42" s="190">
        <f t="shared" si="9"/>
        <v>108.27209999999999</v>
      </c>
      <c r="W42" s="190">
        <f t="shared" si="9"/>
        <v>0</v>
      </c>
      <c r="X42" s="190">
        <f t="shared" si="9"/>
        <v>13.8125</v>
      </c>
      <c r="Y42" s="190">
        <f t="shared" si="9"/>
        <v>14328.007900000001</v>
      </c>
      <c r="Z42" s="190">
        <f t="shared" si="9"/>
        <v>0</v>
      </c>
      <c r="AA42" s="190">
        <f t="shared" si="9"/>
        <v>514.87284482758616</v>
      </c>
      <c r="AB42" s="166"/>
    </row>
    <row r="43" spans="1:28" ht="15.75" x14ac:dyDescent="0.25">
      <c r="A43" s="93" t="s">
        <v>101</v>
      </c>
      <c r="B43" s="97">
        <f>+B37+B39+B41</f>
        <v>4.6100000000000003</v>
      </c>
      <c r="C43" s="95"/>
      <c r="D43" s="94"/>
      <c r="E43" s="96"/>
      <c r="F43" s="94"/>
      <c r="G43" s="94"/>
      <c r="H43" s="98"/>
      <c r="I43" s="99">
        <v>4.6100000000000003</v>
      </c>
      <c r="J43" s="185">
        <f t="shared" si="0"/>
        <v>0</v>
      </c>
      <c r="K43" s="99">
        <v>4.6100000000000003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26.184799999999999</v>
      </c>
      <c r="C44" s="95"/>
      <c r="D44" s="94"/>
      <c r="E44" s="96"/>
      <c r="F44" s="94"/>
      <c r="G44" s="94"/>
      <c r="H44" s="98"/>
      <c r="I44" s="99">
        <v>26.18</v>
      </c>
      <c r="J44" s="185">
        <f t="shared" si="0"/>
        <v>4.7999999999994714E-3</v>
      </c>
      <c r="K44" s="99">
        <v>26.18</v>
      </c>
      <c r="L44" s="187">
        <f>K44-B44</f>
        <v>-4.7999999999994714E-3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14436.280000000002</v>
      </c>
      <c r="C46" s="116">
        <v>7.4999999999999997E-3</v>
      </c>
      <c r="D46" s="117">
        <f>B46*C46</f>
        <v>108.27210000000001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14328.007900000002</v>
      </c>
      <c r="H46" s="173">
        <f>B$6+1</f>
        <v>44758</v>
      </c>
      <c r="I46" s="174">
        <v>14436.28</v>
      </c>
      <c r="J46" s="81">
        <f t="shared" si="0"/>
        <v>0</v>
      </c>
      <c r="K46" s="80">
        <v>14774.25</v>
      </c>
      <c r="L46" s="186">
        <f>K46-G46</f>
        <v>446.24209999999766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246.9</v>
      </c>
      <c r="C48" s="116">
        <v>7.4999999999999997E-3</v>
      </c>
      <c r="D48" s="117">
        <f t="shared" si="18"/>
        <v>1.85175</v>
      </c>
      <c r="E48" s="172">
        <v>0</v>
      </c>
      <c r="F48" s="117">
        <f t="shared" si="16"/>
        <v>0</v>
      </c>
      <c r="G48" s="117">
        <f t="shared" si="17"/>
        <v>245.04825</v>
      </c>
      <c r="H48" s="173">
        <f t="shared" ref="H48:H61" si="20">B$6+1</f>
        <v>44758</v>
      </c>
      <c r="I48" s="176">
        <v>246.92</v>
      </c>
      <c r="J48" s="81">
        <f t="shared" si="0"/>
        <v>-1.999999999998181E-2</v>
      </c>
      <c r="K48" s="80"/>
      <c r="L48" s="186">
        <f t="shared" si="19"/>
        <v>245.04825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200</v>
      </c>
      <c r="B49" s="117">
        <f>R75</f>
        <v>5636.3700000000008</v>
      </c>
      <c r="C49" s="116">
        <v>7.4999999999999997E-3</v>
      </c>
      <c r="D49" s="117">
        <f t="shared" si="18"/>
        <v>42.272775000000003</v>
      </c>
      <c r="E49" s="172">
        <v>0</v>
      </c>
      <c r="F49" s="117">
        <f t="shared" si="16"/>
        <v>0</v>
      </c>
      <c r="G49" s="117">
        <f t="shared" si="17"/>
        <v>5594.0972250000004</v>
      </c>
      <c r="H49" s="173">
        <f t="shared" si="20"/>
        <v>44758</v>
      </c>
      <c r="I49" s="176">
        <f>4866.07+35.7</f>
        <v>4901.7699999999995</v>
      </c>
      <c r="J49" s="81">
        <f t="shared" si="0"/>
        <v>734.60000000000127</v>
      </c>
      <c r="K49" s="80"/>
      <c r="L49" s="186">
        <f t="shared" si="19"/>
        <v>5594.0972250000004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2142.2199999999998</v>
      </c>
      <c r="C50" s="116">
        <v>7.4999999999999997E-3</v>
      </c>
      <c r="D50" s="117">
        <f t="shared" si="18"/>
        <v>16.066649999999999</v>
      </c>
      <c r="E50" s="172">
        <v>0</v>
      </c>
      <c r="F50" s="117">
        <f t="shared" si="16"/>
        <v>0</v>
      </c>
      <c r="G50" s="117">
        <f t="shared" si="17"/>
        <v>2126.1533499999996</v>
      </c>
      <c r="H50" s="173">
        <f t="shared" si="20"/>
        <v>44758</v>
      </c>
      <c r="I50" s="175"/>
      <c r="J50" s="81">
        <f t="shared" si="0"/>
        <v>2142.2199999999998</v>
      </c>
      <c r="K50" s="80"/>
      <c r="L50" s="186">
        <f t="shared" si="19"/>
        <v>2126.1533499999996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345.79000000000008</v>
      </c>
      <c r="C51" s="116">
        <v>1.4999999999999999E-2</v>
      </c>
      <c r="D51" s="117">
        <f>+B51*C51</f>
        <v>5.1868500000000006</v>
      </c>
      <c r="E51" s="172">
        <v>0</v>
      </c>
      <c r="F51" s="117">
        <f>D51*E51</f>
        <v>0</v>
      </c>
      <c r="G51" s="117">
        <f t="shared" si="17"/>
        <v>340.60315000000008</v>
      </c>
      <c r="H51" s="173">
        <f t="shared" si="20"/>
        <v>44758</v>
      </c>
      <c r="I51" s="175">
        <v>2488.0300000000002</v>
      </c>
      <c r="J51" s="81">
        <f t="shared" si="0"/>
        <v>-2142.2400000000002</v>
      </c>
      <c r="K51" s="80"/>
      <c r="L51" s="186">
        <f t="shared" si="19"/>
        <v>340.60315000000008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552.5</v>
      </c>
      <c r="C52" s="116">
        <v>2.5000000000000001E-2</v>
      </c>
      <c r="D52" s="117">
        <f>B52*C52</f>
        <v>13.8125</v>
      </c>
      <c r="E52" s="172">
        <v>0.05</v>
      </c>
      <c r="F52" s="117">
        <f>(B52/E$10)*E52</f>
        <v>23.814655172413794</v>
      </c>
      <c r="G52" s="117">
        <f>B52-D52-F52</f>
        <v>514.87284482758616</v>
      </c>
      <c r="H52" s="188">
        <f t="shared" si="20"/>
        <v>44758</v>
      </c>
      <c r="I52" s="176">
        <v>552.5</v>
      </c>
      <c r="J52" s="81">
        <f t="shared" si="0"/>
        <v>0</v>
      </c>
      <c r="K52" s="80">
        <v>95.83</v>
      </c>
      <c r="L52" s="186">
        <f>K52-G52</f>
        <v>-419.04284482758618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44758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219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44758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44758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209</v>
      </c>
      <c r="B56" s="117">
        <f>T75</f>
        <v>35.700000000000003</v>
      </c>
      <c r="C56" s="116">
        <v>2.5000000000000001E-2</v>
      </c>
      <c r="D56" s="117">
        <f t="shared" si="21"/>
        <v>0.89250000000000007</v>
      </c>
      <c r="E56" s="172">
        <v>0.05</v>
      </c>
      <c r="F56" s="117">
        <f t="shared" si="22"/>
        <v>1.5387931034482762</v>
      </c>
      <c r="G56" s="117">
        <f t="shared" si="23"/>
        <v>33.268706896551727</v>
      </c>
      <c r="H56" s="173">
        <f t="shared" si="20"/>
        <v>44758</v>
      </c>
      <c r="I56" s="176">
        <v>35.700000000000003</v>
      </c>
      <c r="J56" s="81">
        <f t="shared" si="0"/>
        <v>0</v>
      </c>
      <c r="K56" s="80"/>
      <c r="L56" s="186">
        <f t="shared" si="19"/>
        <v>33.268706896551727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188.35512500000002</v>
      </c>
      <c r="E61" s="177"/>
      <c r="F61" s="57">
        <f>SUM(F46:F58)</f>
        <v>25.353448275862071</v>
      </c>
      <c r="G61" s="57">
        <f>SUM(G46:G58)</f>
        <v>23182.051426724141</v>
      </c>
      <c r="H61" s="173">
        <f t="shared" si="20"/>
        <v>44758</v>
      </c>
      <c r="I61" s="175"/>
      <c r="J61" s="81">
        <f t="shared" si="0"/>
        <v>0</v>
      </c>
      <c r="K61" s="80"/>
      <c r="L61" s="186">
        <f t="shared" si="19"/>
        <v>23182.051426724141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600</v>
      </c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600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46364.102853448283</v>
      </c>
      <c r="H64" s="184"/>
      <c r="I64" s="175"/>
      <c r="J64" s="81">
        <f t="shared" si="0"/>
        <v>0</v>
      </c>
      <c r="K64" s="80"/>
      <c r="L64" s="186">
        <f t="shared" si="19"/>
        <v>46364.102853448283</v>
      </c>
      <c r="M64" s="130"/>
      <c r="N64" s="87">
        <v>1</v>
      </c>
      <c r="O64" s="122" t="s">
        <v>245</v>
      </c>
      <c r="P64" s="225"/>
      <c r="Q64" s="225"/>
      <c r="R64" s="225">
        <v>48.83</v>
      </c>
      <c r="S64" s="225"/>
      <c r="T64" s="225"/>
      <c r="U64" s="189">
        <f t="shared" ref="U64:U68" si="28">((T64/U$10)*U$9)</f>
        <v>0</v>
      </c>
      <c r="V64" s="189">
        <f t="shared" ref="V64:V68" si="29">R64*V$10</f>
        <v>0.36622499999999997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48.463774999999998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38543.424800000008</v>
      </c>
      <c r="G65" s="22"/>
      <c r="L65" s="132"/>
      <c r="M65" s="131"/>
      <c r="N65" s="87">
        <v>2</v>
      </c>
      <c r="O65" s="122" t="s">
        <v>245</v>
      </c>
      <c r="P65" s="225">
        <v>2161</v>
      </c>
      <c r="Q65" s="225"/>
      <c r="R65" s="240">
        <v>57.04</v>
      </c>
      <c r="S65" s="225"/>
      <c r="T65" s="225"/>
      <c r="U65" s="189">
        <f t="shared" si="28"/>
        <v>0</v>
      </c>
      <c r="V65" s="189">
        <f t="shared" si="29"/>
        <v>0.42779999999999996</v>
      </c>
      <c r="W65" s="189">
        <f t="shared" si="30"/>
        <v>0</v>
      </c>
      <c r="X65" s="189">
        <f t="shared" si="31"/>
        <v>0</v>
      </c>
      <c r="Y65" s="189">
        <f t="shared" si="32"/>
        <v>56.612200000000001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5"/>
      <c r="Q66" s="225"/>
      <c r="R66" s="221">
        <v>38.03</v>
      </c>
      <c r="S66" s="225"/>
      <c r="T66" s="225"/>
      <c r="U66" s="189">
        <f t="shared" si="28"/>
        <v>0</v>
      </c>
      <c r="V66" s="189">
        <f t="shared" si="29"/>
        <v>0.28522500000000001</v>
      </c>
      <c r="W66" s="189">
        <f t="shared" si="30"/>
        <v>0</v>
      </c>
      <c r="X66" s="189">
        <f t="shared" si="31"/>
        <v>0</v>
      </c>
      <c r="Y66" s="189">
        <f t="shared" si="32"/>
        <v>37.744775000000004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245</v>
      </c>
      <c r="P67" s="225"/>
      <c r="Q67" s="225"/>
      <c r="R67" s="225">
        <v>17.25</v>
      </c>
      <c r="S67" s="225"/>
      <c r="T67" s="225"/>
      <c r="U67" s="189">
        <f t="shared" si="28"/>
        <v>0</v>
      </c>
      <c r="V67" s="189">
        <f t="shared" si="29"/>
        <v>0.12937499999999999</v>
      </c>
      <c r="W67" s="189">
        <f t="shared" si="30"/>
        <v>0</v>
      </c>
      <c r="X67" s="189">
        <f t="shared" si="31"/>
        <v>0</v>
      </c>
      <c r="Y67" s="189">
        <f t="shared" si="32"/>
        <v>17.120625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37909.4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5"/>
      <c r="Q68" s="225"/>
      <c r="R68" s="225">
        <f>46.7+6.29+7.7+25.06</f>
        <v>85.75</v>
      </c>
      <c r="S68" s="225"/>
      <c r="T68" s="225"/>
      <c r="U68" s="189">
        <f t="shared" si="28"/>
        <v>0</v>
      </c>
      <c r="V68" s="189">
        <f t="shared" si="29"/>
        <v>0.64312499999999995</v>
      </c>
      <c r="W68" s="189">
        <f t="shared" si="30"/>
        <v>0</v>
      </c>
      <c r="X68" s="189">
        <f t="shared" si="31"/>
        <v>0</v>
      </c>
      <c r="Y68" s="189">
        <f t="shared" si="32"/>
        <v>85.106875000000002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38289.56</v>
      </c>
      <c r="C69" s="59"/>
      <c r="F69" s="87" t="s">
        <v>127</v>
      </c>
      <c r="G69" s="22"/>
      <c r="H69" s="89"/>
      <c r="I69" s="136"/>
      <c r="J69" s="136">
        <f>K52</f>
        <v>95.83</v>
      </c>
      <c r="N69" s="301" t="s">
        <v>108</v>
      </c>
      <c r="O69" s="301"/>
      <c r="P69" s="302"/>
      <c r="Q69" s="302"/>
      <c r="R69" s="192">
        <f>SUM(R64:R68)</f>
        <v>246.9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1.85175</v>
      </c>
      <c r="W69" s="192">
        <f t="shared" si="34"/>
        <v>0</v>
      </c>
      <c r="X69" s="192">
        <f t="shared" si="34"/>
        <v>0</v>
      </c>
      <c r="Y69" s="192">
        <f t="shared" si="34"/>
        <v>245.04825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-380.15999999999622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225">
        <v>155</v>
      </c>
      <c r="Q70" s="225">
        <v>2001</v>
      </c>
      <c r="R70" s="236">
        <v>62.32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0.46739999999999998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61.852600000000002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253.86480000001029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95.83</v>
      </c>
      <c r="N71" s="87">
        <v>2</v>
      </c>
      <c r="O71" s="122" t="s">
        <v>217</v>
      </c>
      <c r="P71" s="158">
        <v>156</v>
      </c>
      <c r="Q71" s="158">
        <v>2001</v>
      </c>
      <c r="R71" s="236">
        <v>310.51</v>
      </c>
      <c r="S71" s="225"/>
      <c r="T71" s="225"/>
      <c r="U71" s="189">
        <f t="shared" si="35"/>
        <v>0</v>
      </c>
      <c r="V71" s="189">
        <f t="shared" si="36"/>
        <v>2.3288249999999997</v>
      </c>
      <c r="W71" s="189">
        <f t="shared" si="37"/>
        <v>0</v>
      </c>
      <c r="X71" s="189">
        <f t="shared" si="38"/>
        <v>0</v>
      </c>
      <c r="Y71" s="189">
        <f t="shared" si="39"/>
        <v>308.181175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225" t="s">
        <v>273</v>
      </c>
      <c r="Q72" s="225">
        <v>1001</v>
      </c>
      <c r="R72" s="236">
        <f>1614.13+2678.73</f>
        <v>4292.8600000000006</v>
      </c>
      <c r="S72" s="225"/>
      <c r="T72" s="225">
        <v>5.7</v>
      </c>
      <c r="U72" s="189">
        <f t="shared" si="35"/>
        <v>0.24568965517241384</v>
      </c>
      <c r="V72" s="189">
        <f t="shared" si="36"/>
        <v>32.196450000000006</v>
      </c>
      <c r="W72" s="189">
        <f t="shared" si="37"/>
        <v>0</v>
      </c>
      <c r="X72" s="189">
        <f t="shared" si="38"/>
        <v>0.14250000000000002</v>
      </c>
      <c r="Y72" s="189">
        <f t="shared" si="39"/>
        <v>4260.6635500000002</v>
      </c>
      <c r="Z72" s="189">
        <f t="shared" si="39"/>
        <v>0</v>
      </c>
      <c r="AA72" s="189">
        <f t="shared" si="40"/>
        <v>5.3118103448275864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217</v>
      </c>
      <c r="P73" s="225" t="s">
        <v>272</v>
      </c>
      <c r="Q73" s="225">
        <v>1001</v>
      </c>
      <c r="R73" s="236">
        <f>370.68</f>
        <v>370.68</v>
      </c>
      <c r="S73" s="225"/>
      <c r="T73" s="240">
        <v>30</v>
      </c>
      <c r="U73" s="189">
        <f t="shared" si="35"/>
        <v>1.2931034482758621</v>
      </c>
      <c r="V73" s="189">
        <f t="shared" si="36"/>
        <v>2.7801</v>
      </c>
      <c r="W73" s="189">
        <f t="shared" si="37"/>
        <v>0</v>
      </c>
      <c r="X73" s="189">
        <f t="shared" si="38"/>
        <v>0.75</v>
      </c>
      <c r="Y73" s="189">
        <f t="shared" si="39"/>
        <v>367.8999</v>
      </c>
      <c r="Z73" s="189">
        <f t="shared" si="39"/>
        <v>0</v>
      </c>
      <c r="AA73" s="189">
        <f t="shared" si="40"/>
        <v>27.956896551724139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145+50+70+30+20+50+235</f>
        <v>600</v>
      </c>
      <c r="S74" s="225"/>
      <c r="T74" s="225"/>
      <c r="U74" s="189">
        <f t="shared" si="35"/>
        <v>0</v>
      </c>
      <c r="V74" s="189">
        <f t="shared" si="36"/>
        <v>4.5</v>
      </c>
      <c r="W74" s="189">
        <f t="shared" si="37"/>
        <v>0</v>
      </c>
      <c r="X74" s="189">
        <f t="shared" si="38"/>
        <v>0</v>
      </c>
      <c r="Y74" s="189">
        <f t="shared" si="39"/>
        <v>595.5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5636.3700000000008</v>
      </c>
      <c r="S75" s="192"/>
      <c r="T75" s="192">
        <f>SUM(T70:T74)</f>
        <v>35.700000000000003</v>
      </c>
      <c r="U75" s="192">
        <f>SUM(U70:U74)</f>
        <v>1.538793103448276</v>
      </c>
      <c r="V75" s="192">
        <f t="shared" ref="V75:AA75" si="42">SUM(V70:V74)</f>
        <v>42.272775000000003</v>
      </c>
      <c r="W75" s="192">
        <f t="shared" si="42"/>
        <v>0</v>
      </c>
      <c r="X75" s="192">
        <f t="shared" si="42"/>
        <v>0.89250000000000007</v>
      </c>
      <c r="Y75" s="192">
        <f t="shared" si="42"/>
        <v>5594.0972250000004</v>
      </c>
      <c r="Z75" s="192">
        <f t="shared" si="42"/>
        <v>0</v>
      </c>
      <c r="AA75" s="193">
        <f t="shared" si="42"/>
        <v>33.268706896551727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103.49</v>
      </c>
      <c r="Q78" s="137">
        <v>7.2</v>
      </c>
      <c r="R78" s="82">
        <v>7.4999999999999997E-3</v>
      </c>
      <c r="S78" s="194">
        <f>+(P78+Q78)*R78</f>
        <v>0.830175</v>
      </c>
      <c r="T78" s="258">
        <f>+(P78+Q78)-S78</f>
        <v>109.859825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128.05000000000001</v>
      </c>
      <c r="Q79" s="87"/>
      <c r="R79" s="82">
        <v>7.4999999999999997E-3</v>
      </c>
      <c r="S79" s="194">
        <f t="shared" ref="S79:S97" si="44">+(P79+Q79)*R79</f>
        <v>0.96037500000000009</v>
      </c>
      <c r="T79" s="258">
        <f t="shared" ref="T79:T97" si="45">+(P79+Q79)-S79</f>
        <v>127.08962500000001</v>
      </c>
      <c r="U79" s="211">
        <v>5.47</v>
      </c>
      <c r="V79" s="112"/>
      <c r="W79" s="113">
        <v>1.4999999999999999E-2</v>
      </c>
      <c r="X79" s="196">
        <f t="shared" ref="X79:X97" si="46">+(U79+V79)*W79</f>
        <v>8.2049999999999998E-2</v>
      </c>
      <c r="Y79" s="217">
        <f t="shared" ref="Y79:Y97" si="47">+(U79+V79)-X79</f>
        <v>5.38795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21.71</v>
      </c>
      <c r="Q80" s="137">
        <v>1.0900000000000001</v>
      </c>
      <c r="R80" s="82">
        <v>7.4999999999999997E-3</v>
      </c>
      <c r="S80" s="194">
        <f t="shared" si="44"/>
        <v>0.17099999999999999</v>
      </c>
      <c r="T80" s="258">
        <f t="shared" si="45"/>
        <v>22.629000000000001</v>
      </c>
      <c r="U80" s="211">
        <v>35.85</v>
      </c>
      <c r="V80" s="112"/>
      <c r="W80" s="113">
        <v>1.4999999999999999E-2</v>
      </c>
      <c r="X80" s="196">
        <f t="shared" si="46"/>
        <v>0.53774999999999995</v>
      </c>
      <c r="Y80" s="258">
        <f t="shared" si="47"/>
        <v>35.312249999999999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105.17</v>
      </c>
      <c r="Q81" s="137"/>
      <c r="R81" s="82">
        <v>7.4999999999999997E-3</v>
      </c>
      <c r="S81" s="194">
        <f t="shared" si="44"/>
        <v>0.788775</v>
      </c>
      <c r="T81" s="258">
        <f t="shared" si="45"/>
        <v>104.381225</v>
      </c>
      <c r="U81" s="211">
        <v>50.64</v>
      </c>
      <c r="V81" s="112"/>
      <c r="W81" s="113">
        <v>1.4999999999999999E-2</v>
      </c>
      <c r="X81" s="196">
        <f t="shared" si="46"/>
        <v>0.75959999999999994</v>
      </c>
      <c r="Y81" s="258">
        <f t="shared" si="47"/>
        <v>49.880400000000002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8.4499999999999993</v>
      </c>
      <c r="Q82" s="87">
        <v>6.6</v>
      </c>
      <c r="R82" s="82">
        <v>7.4999999999999997E-3</v>
      </c>
      <c r="S82" s="194">
        <f t="shared" si="44"/>
        <v>0.11287499999999999</v>
      </c>
      <c r="T82" s="219">
        <f t="shared" si="45"/>
        <v>14.937124999999998</v>
      </c>
      <c r="U82" s="211">
        <v>29.9</v>
      </c>
      <c r="V82" s="112"/>
      <c r="W82" s="113">
        <v>1.4999999999999999E-2</v>
      </c>
      <c r="X82" s="196">
        <f t="shared" si="46"/>
        <v>0.44849999999999995</v>
      </c>
      <c r="Y82" s="217">
        <f t="shared" si="47"/>
        <v>29.451499999999999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277.44</v>
      </c>
      <c r="Q83" s="137">
        <v>66.03</v>
      </c>
      <c r="R83" s="82">
        <v>7.4999999999999997E-3</v>
      </c>
      <c r="S83" s="194">
        <f t="shared" si="44"/>
        <v>2.576025</v>
      </c>
      <c r="T83" s="219">
        <f t="shared" si="45"/>
        <v>340.89397500000001</v>
      </c>
      <c r="U83" s="211">
        <v>67.09</v>
      </c>
      <c r="V83" s="112"/>
      <c r="W83" s="113">
        <v>1.4999999999999999E-2</v>
      </c>
      <c r="X83" s="196">
        <f t="shared" si="46"/>
        <v>1.0063500000000001</v>
      </c>
      <c r="Y83" s="217">
        <f t="shared" si="47"/>
        <v>66.083650000000006</v>
      </c>
      <c r="Z83" s="87"/>
      <c r="AA83" s="189">
        <f t="shared" si="43"/>
        <v>0</v>
      </c>
      <c r="AB83" s="189">
        <f t="shared" si="48"/>
        <v>0</v>
      </c>
      <c r="AC83" s="237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43.31</v>
      </c>
      <c r="Q84" s="87">
        <v>25.51</v>
      </c>
      <c r="R84" s="82">
        <v>7.4999999999999997E-3</v>
      </c>
      <c r="S84" s="194">
        <f t="shared" si="44"/>
        <v>0.51615</v>
      </c>
      <c r="T84" s="219">
        <f t="shared" si="45"/>
        <v>68.303850000000011</v>
      </c>
      <c r="U84" s="211">
        <v>11.33</v>
      </c>
      <c r="V84" s="112"/>
      <c r="W84" s="113">
        <v>1.4999999999999999E-2</v>
      </c>
      <c r="X84" s="196">
        <f t="shared" si="46"/>
        <v>0.16994999999999999</v>
      </c>
      <c r="Y84" s="258">
        <f t="shared" si="47"/>
        <v>11.16005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191.29</v>
      </c>
      <c r="Q85" s="137">
        <v>119.41</v>
      </c>
      <c r="R85" s="82">
        <v>7.4999999999999997E-3</v>
      </c>
      <c r="S85" s="194">
        <f t="shared" si="44"/>
        <v>2.3302499999999999</v>
      </c>
      <c r="T85" s="219">
        <f t="shared" si="45"/>
        <v>308.36975000000001</v>
      </c>
      <c r="U85" s="211">
        <v>47.61</v>
      </c>
      <c r="V85" s="112"/>
      <c r="W85" s="113">
        <v>1.4999999999999999E-2</v>
      </c>
      <c r="X85" s="196">
        <f t="shared" si="46"/>
        <v>0.71414999999999995</v>
      </c>
      <c r="Y85" s="258">
        <f t="shared" si="47"/>
        <v>46.895850000000003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>
        <v>133.91999999999999</v>
      </c>
      <c r="Q86" s="137">
        <v>22.04</v>
      </c>
      <c r="R86" s="82">
        <v>7.4999999999999997E-3</v>
      </c>
      <c r="S86" s="194">
        <f t="shared" si="44"/>
        <v>1.1696999999999997</v>
      </c>
      <c r="T86" s="219">
        <f t="shared" si="45"/>
        <v>154.79029999999997</v>
      </c>
      <c r="U86" s="211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839.87</v>
      </c>
      <c r="Q87" s="137">
        <v>41.64</v>
      </c>
      <c r="R87" s="82">
        <v>7.4999999999999997E-3</v>
      </c>
      <c r="S87" s="194">
        <f t="shared" si="44"/>
        <v>6.6113249999999999</v>
      </c>
      <c r="T87" s="219">
        <f t="shared" si="45"/>
        <v>874.89867500000003</v>
      </c>
      <c r="U87" s="112">
        <v>97.9</v>
      </c>
      <c r="V87" s="112"/>
      <c r="W87" s="113">
        <v>1.4999999999999999E-2</v>
      </c>
      <c r="X87" s="196">
        <f t="shared" si="46"/>
        <v>1.4685000000000001</v>
      </c>
      <c r="Y87" s="217">
        <f t="shared" si="47"/>
        <v>96.4315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20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220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1852.6999999999998</v>
      </c>
      <c r="Q98" s="195">
        <f>SUM(Q78:Q97)</f>
        <v>289.52</v>
      </c>
      <c r="R98" s="111"/>
      <c r="S98" s="195">
        <f>SUM(S78:S97)</f>
        <v>16.066649999999999</v>
      </c>
      <c r="T98" s="195">
        <f>SUM(T78:T97)</f>
        <v>2126.15335</v>
      </c>
      <c r="U98" s="114">
        <f>SUM(U78:U97)</f>
        <v>345.79000000000008</v>
      </c>
      <c r="V98" s="114">
        <f>SUM(V78:V97)</f>
        <v>0</v>
      </c>
      <c r="W98" s="112"/>
      <c r="X98" s="197">
        <f>SUM(X78:X97)</f>
        <v>5.1868499999999997</v>
      </c>
      <c r="Y98" s="197">
        <f>SUM(Y78:Y97)</f>
        <v>340.60315000000003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110.69</v>
      </c>
    </row>
    <row r="102" spans="14:30" x14ac:dyDescent="0.25">
      <c r="N102" s="85"/>
      <c r="R102" s="215">
        <f>P79+U79+Q79</f>
        <v>133.52000000000001</v>
      </c>
    </row>
    <row r="103" spans="14:30" x14ac:dyDescent="0.25">
      <c r="N103" s="85"/>
      <c r="R103" s="215">
        <f>P80+Q80+U80</f>
        <v>58.650000000000006</v>
      </c>
    </row>
    <row r="104" spans="14:30" x14ac:dyDescent="0.25">
      <c r="N104" s="85"/>
      <c r="R104" s="215">
        <f>P81+U81+Q81</f>
        <v>155.81</v>
      </c>
    </row>
    <row r="105" spans="14:30" x14ac:dyDescent="0.25">
      <c r="N105" s="85"/>
      <c r="R105" s="215">
        <f>P82+U82+Q82</f>
        <v>44.949999999999996</v>
      </c>
    </row>
    <row r="106" spans="14:30" x14ac:dyDescent="0.25">
      <c r="N106" s="85"/>
      <c r="R106" s="215">
        <f>P83+Q83+U83</f>
        <v>410.56000000000006</v>
      </c>
    </row>
    <row r="107" spans="14:30" x14ac:dyDescent="0.25">
      <c r="N107" s="85"/>
      <c r="R107" s="215">
        <f>P84+Q84+U84</f>
        <v>80.150000000000006</v>
      </c>
    </row>
    <row r="108" spans="14:30" x14ac:dyDescent="0.25">
      <c r="N108" s="85"/>
      <c r="R108" s="215">
        <f>P85+Q85+U85</f>
        <v>358.31</v>
      </c>
    </row>
    <row r="109" spans="14:30" x14ac:dyDescent="0.25">
      <c r="N109" s="85"/>
      <c r="R109" s="233">
        <f>P86+Q86+U86</f>
        <v>155.95999999999998</v>
      </c>
    </row>
    <row r="110" spans="14:30" x14ac:dyDescent="0.25">
      <c r="N110" s="85"/>
      <c r="R110" s="212">
        <f>P87+Q87+U87</f>
        <v>979.41</v>
      </c>
    </row>
    <row r="111" spans="14:30" x14ac:dyDescent="0.25">
      <c r="N111" s="85"/>
      <c r="R111" s="85">
        <f t="shared" ref="R111" si="51"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70" zoomScale="90" zoomScaleNormal="90" workbookViewId="0">
      <selection activeCell="Y92" sqref="Y9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192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44728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1402.5</v>
      </c>
      <c r="C12" s="15"/>
      <c r="D12" s="56"/>
      <c r="E12" s="16"/>
      <c r="F12" s="56"/>
      <c r="G12" s="56"/>
      <c r="H12" s="17"/>
      <c r="I12" s="83">
        <v>1402.5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179</v>
      </c>
      <c r="Q12" s="158">
        <v>11</v>
      </c>
      <c r="R12" s="244">
        <v>871.31</v>
      </c>
      <c r="S12" s="160"/>
      <c r="T12" s="238">
        <v>54.9</v>
      </c>
      <c r="U12" s="189">
        <f>((T12/U$10)*U$9)</f>
        <v>2.3663793103448278</v>
      </c>
      <c r="V12" s="189">
        <f>R12*V$10</f>
        <v>6.5348249999999997</v>
      </c>
      <c r="W12" s="189">
        <f>+S12*V$10</f>
        <v>0</v>
      </c>
      <c r="X12" s="189">
        <f>+T12*X$10</f>
        <v>1.3725000000000001</v>
      </c>
      <c r="Y12" s="189">
        <f>R12-V12</f>
        <v>864.77517499999999</v>
      </c>
      <c r="Z12" s="189">
        <f>S12-W12</f>
        <v>0</v>
      </c>
      <c r="AA12" s="189">
        <f>T12-U12-X12</f>
        <v>51.161120689655171</v>
      </c>
      <c r="AB12" s="156"/>
    </row>
    <row r="13" spans="1:28" ht="15.75" x14ac:dyDescent="0.25">
      <c r="A13" s="86" t="s">
        <v>74</v>
      </c>
      <c r="B13" s="89">
        <v>3414</v>
      </c>
      <c r="C13" s="15"/>
      <c r="D13" s="56"/>
      <c r="E13" s="16"/>
      <c r="F13" s="56"/>
      <c r="G13" s="56"/>
      <c r="H13" s="17"/>
      <c r="I13" s="83">
        <v>3414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559</v>
      </c>
      <c r="Q13" s="158">
        <v>2</v>
      </c>
      <c r="R13" s="244">
        <v>1631.88</v>
      </c>
      <c r="S13" s="160"/>
      <c r="T13" s="247">
        <v>161.61000000000001</v>
      </c>
      <c r="U13" s="189">
        <f t="shared" ref="U13:U41" si="2">((T13/U$10)*U$9)</f>
        <v>6.9659482758620701</v>
      </c>
      <c r="V13" s="189">
        <f t="shared" ref="V13:V41" si="3">R13*V$10</f>
        <v>12.239100000000001</v>
      </c>
      <c r="W13" s="189">
        <f t="shared" ref="W13:W41" si="4">+S13*V$10</f>
        <v>0</v>
      </c>
      <c r="X13" s="189">
        <f t="shared" ref="X13:X41" si="5">+T13*X$10</f>
        <v>4.0402500000000003</v>
      </c>
      <c r="Y13" s="189">
        <f t="shared" ref="Y13:Z41" si="6">R13-V13</f>
        <v>1619.6409000000001</v>
      </c>
      <c r="Z13" s="189">
        <f t="shared" si="6"/>
        <v>0</v>
      </c>
      <c r="AA13" s="189">
        <f t="shared" ref="AA13:AA41" si="7">T13-U13-X13</f>
        <v>150.60380172413795</v>
      </c>
      <c r="AB13" s="156"/>
    </row>
    <row r="14" spans="1:28" ht="15.75" x14ac:dyDescent="0.25">
      <c r="A14" s="86" t="s">
        <v>81</v>
      </c>
      <c r="B14" s="57">
        <f>B13*B8</f>
        <v>19459.8</v>
      </c>
      <c r="C14" s="15"/>
      <c r="D14" s="56"/>
      <c r="E14" s="16"/>
      <c r="F14" s="56"/>
      <c r="G14" s="56"/>
      <c r="H14" s="17"/>
      <c r="I14" s="83">
        <v>19459.8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560</v>
      </c>
      <c r="Q14" s="158">
        <v>2</v>
      </c>
      <c r="R14" s="244">
        <v>1184.8699999999999</v>
      </c>
      <c r="S14" s="160"/>
      <c r="T14" s="247">
        <v>278.89</v>
      </c>
      <c r="U14" s="189">
        <f t="shared" si="2"/>
        <v>12.021120689655174</v>
      </c>
      <c r="V14" s="189">
        <f t="shared" si="3"/>
        <v>8.8865249999999989</v>
      </c>
      <c r="W14" s="189">
        <f t="shared" si="4"/>
        <v>0</v>
      </c>
      <c r="X14" s="189">
        <f t="shared" si="5"/>
        <v>6.9722499999999998</v>
      </c>
      <c r="Y14" s="189">
        <f t="shared" si="6"/>
        <v>1175.983475</v>
      </c>
      <c r="Z14" s="189">
        <f t="shared" si="6"/>
        <v>0</v>
      </c>
      <c r="AA14" s="189">
        <f t="shared" si="7"/>
        <v>259.89662931034485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541</v>
      </c>
      <c r="Q15" s="158">
        <v>4</v>
      </c>
      <c r="R15" s="244">
        <v>920.49</v>
      </c>
      <c r="S15" s="160"/>
      <c r="T15" s="161">
        <v>66.709999999999994</v>
      </c>
      <c r="U15" s="189">
        <f t="shared" si="2"/>
        <v>2.8754310344827587</v>
      </c>
      <c r="V15" s="189">
        <f t="shared" si="3"/>
        <v>6.9036749999999998</v>
      </c>
      <c r="W15" s="189">
        <f t="shared" si="4"/>
        <v>0</v>
      </c>
      <c r="X15" s="189">
        <f t="shared" si="5"/>
        <v>1.6677499999999998</v>
      </c>
      <c r="Y15" s="189">
        <f t="shared" si="6"/>
        <v>913.58632499999999</v>
      </c>
      <c r="Z15" s="189">
        <f t="shared" si="6"/>
        <v>0</v>
      </c>
      <c r="AA15" s="189">
        <f t="shared" si="7"/>
        <v>62.166818965517237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542</v>
      </c>
      <c r="Q16" s="158">
        <v>4</v>
      </c>
      <c r="R16" s="244">
        <v>2087.79</v>
      </c>
      <c r="S16" s="160"/>
      <c r="T16" s="161"/>
      <c r="U16" s="189">
        <f t="shared" si="2"/>
        <v>0</v>
      </c>
      <c r="V16" s="189">
        <f t="shared" si="3"/>
        <v>15.658424999999999</v>
      </c>
      <c r="W16" s="189">
        <f t="shared" si="4"/>
        <v>0</v>
      </c>
      <c r="X16" s="189">
        <f t="shared" si="5"/>
        <v>0</v>
      </c>
      <c r="Y16" s="189">
        <f t="shared" si="6"/>
        <v>2072.1315749999999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548</v>
      </c>
      <c r="Q17" s="158">
        <v>14</v>
      </c>
      <c r="R17" s="159">
        <v>965.68</v>
      </c>
      <c r="S17" s="160"/>
      <c r="T17" s="161">
        <v>37.04</v>
      </c>
      <c r="U17" s="189">
        <f t="shared" si="2"/>
        <v>1.5965517241379312</v>
      </c>
      <c r="V17" s="189">
        <f t="shared" si="3"/>
        <v>7.2425999999999995</v>
      </c>
      <c r="W17" s="189">
        <f t="shared" si="4"/>
        <v>0</v>
      </c>
      <c r="X17" s="189">
        <f t="shared" si="5"/>
        <v>0.92600000000000005</v>
      </c>
      <c r="Y17" s="189">
        <f t="shared" si="6"/>
        <v>958.43739999999991</v>
      </c>
      <c r="Z17" s="189">
        <f t="shared" si="6"/>
        <v>0</v>
      </c>
      <c r="AA17" s="189">
        <f t="shared" si="7"/>
        <v>34.517448275862066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191</v>
      </c>
      <c r="Q18" s="158">
        <v>10</v>
      </c>
      <c r="R18" s="244">
        <v>1242.92</v>
      </c>
      <c r="S18" s="160"/>
      <c r="T18" s="161">
        <v>48.46</v>
      </c>
      <c r="U18" s="189">
        <f t="shared" si="2"/>
        <v>2.0887931034482761</v>
      </c>
      <c r="V18" s="189">
        <f t="shared" si="3"/>
        <v>9.3218999999999994</v>
      </c>
      <c r="W18" s="189">
        <f t="shared" si="4"/>
        <v>0</v>
      </c>
      <c r="X18" s="189">
        <f t="shared" si="5"/>
        <v>1.2115</v>
      </c>
      <c r="Y18" s="189">
        <f t="shared" si="6"/>
        <v>1233.5981000000002</v>
      </c>
      <c r="Z18" s="189">
        <f t="shared" si="6"/>
        <v>0</v>
      </c>
      <c r="AA18" s="189">
        <f t="shared" si="7"/>
        <v>45.159706896551725</v>
      </c>
      <c r="AB18" s="156"/>
    </row>
    <row r="19" spans="1:28" ht="15.75" x14ac:dyDescent="0.25">
      <c r="A19" s="93" t="s">
        <v>79</v>
      </c>
      <c r="B19" s="97">
        <f>+B13+B15+B17</f>
        <v>3414</v>
      </c>
      <c r="C19" s="95"/>
      <c r="D19" s="94"/>
      <c r="E19" s="96"/>
      <c r="F19" s="94"/>
      <c r="G19" s="94"/>
      <c r="H19" s="98"/>
      <c r="I19" s="99">
        <v>3414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192</v>
      </c>
      <c r="Q19" s="158">
        <v>10</v>
      </c>
      <c r="R19" s="244">
        <v>1354.55</v>
      </c>
      <c r="S19" s="160"/>
      <c r="T19" s="161"/>
      <c r="U19" s="189">
        <f t="shared" si="2"/>
        <v>0</v>
      </c>
      <c r="V19" s="189">
        <f t="shared" si="3"/>
        <v>10.159125</v>
      </c>
      <c r="W19" s="189">
        <f t="shared" si="4"/>
        <v>0</v>
      </c>
      <c r="X19" s="189">
        <f t="shared" si="5"/>
        <v>0</v>
      </c>
      <c r="Y19" s="189">
        <f t="shared" si="6"/>
        <v>1344.3908750000001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19459.8</v>
      </c>
      <c r="C20" s="95"/>
      <c r="D20" s="94"/>
      <c r="E20" s="96"/>
      <c r="F20" s="94"/>
      <c r="G20" s="94"/>
      <c r="H20" s="98"/>
      <c r="I20" s="99">
        <v>19459.8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625</v>
      </c>
      <c r="Q20" s="158">
        <v>18</v>
      </c>
      <c r="R20" s="159">
        <v>987.51</v>
      </c>
      <c r="S20" s="160"/>
      <c r="T20" s="161">
        <v>31.89</v>
      </c>
      <c r="U20" s="189">
        <f t="shared" si="2"/>
        <v>1.3745689655172415</v>
      </c>
      <c r="V20" s="189">
        <f t="shared" si="3"/>
        <v>7.4063249999999998</v>
      </c>
      <c r="W20" s="189">
        <f t="shared" si="4"/>
        <v>0</v>
      </c>
      <c r="X20" s="189">
        <f t="shared" si="5"/>
        <v>0.79725000000000001</v>
      </c>
      <c r="Y20" s="189">
        <f t="shared" si="6"/>
        <v>980.10367499999995</v>
      </c>
      <c r="Z20" s="189">
        <f t="shared" si="6"/>
        <v>0</v>
      </c>
      <c r="AA20" s="189">
        <f t="shared" si="7"/>
        <v>29.718181034482761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178</v>
      </c>
      <c r="Q21" s="158">
        <v>11</v>
      </c>
      <c r="R21" s="244">
        <v>1925.11</v>
      </c>
      <c r="S21" s="160"/>
      <c r="T21" s="161"/>
      <c r="U21" s="189">
        <f t="shared" si="2"/>
        <v>0</v>
      </c>
      <c r="V21" s="189">
        <f t="shared" si="3"/>
        <v>14.438324999999999</v>
      </c>
      <c r="W21" s="189">
        <f t="shared" si="4"/>
        <v>0</v>
      </c>
      <c r="X21" s="189">
        <f t="shared" si="5"/>
        <v>0</v>
      </c>
      <c r="Y21" s="189">
        <f t="shared" si="6"/>
        <v>1910.6716749999998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626</v>
      </c>
      <c r="Q22" s="158"/>
      <c r="R22" s="162">
        <v>1248.5</v>
      </c>
      <c r="S22" s="160"/>
      <c r="T22" s="160"/>
      <c r="U22" s="189">
        <f t="shared" si="2"/>
        <v>0</v>
      </c>
      <c r="V22" s="189">
        <f t="shared" si="3"/>
        <v>9.3637499999999996</v>
      </c>
      <c r="W22" s="189">
        <f t="shared" si="4"/>
        <v>0</v>
      </c>
      <c r="X22" s="189">
        <f t="shared" si="5"/>
        <v>0</v>
      </c>
      <c r="Y22" s="189">
        <f t="shared" si="6"/>
        <v>1239.13625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138.38999999999999</v>
      </c>
      <c r="C29" s="100"/>
      <c r="D29" s="66"/>
      <c r="E29" s="67"/>
      <c r="F29" s="66"/>
      <c r="G29" s="66"/>
      <c r="H29" s="102"/>
      <c r="I29" s="79">
        <v>138.38999999999999</v>
      </c>
      <c r="J29" s="81">
        <f t="shared" si="0"/>
        <v>0</v>
      </c>
      <c r="K29" s="80">
        <v>138.38999999999999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788.82299999999998</v>
      </c>
      <c r="C30" s="100"/>
      <c r="D30" s="66"/>
      <c r="E30" s="67"/>
      <c r="F30" s="66"/>
      <c r="G30" s="66"/>
      <c r="H30" s="102"/>
      <c r="I30" s="79">
        <v>788.82</v>
      </c>
      <c r="J30" s="81">
        <f t="shared" si="0"/>
        <v>2.9999999999290594E-3</v>
      </c>
      <c r="K30" s="80">
        <v>788.82</v>
      </c>
      <c r="L30" s="186">
        <f>K30-B30</f>
        <v>-2.9999999999290594E-3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138.38999999999999</v>
      </c>
      <c r="C35" s="95"/>
      <c r="D35" s="94"/>
      <c r="E35" s="96"/>
      <c r="F35" s="94"/>
      <c r="G35" s="94"/>
      <c r="H35" s="98"/>
      <c r="I35" s="99">
        <v>138.38999999999999</v>
      </c>
      <c r="J35" s="185">
        <f t="shared" si="0"/>
        <v>0</v>
      </c>
      <c r="K35" s="99">
        <v>138.38999999999999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788.82299999999998</v>
      </c>
      <c r="C36" s="95"/>
      <c r="D36" s="94"/>
      <c r="E36" s="96"/>
      <c r="F36" s="94"/>
      <c r="G36" s="94"/>
      <c r="H36" s="98"/>
      <c r="I36" s="99">
        <v>788.82</v>
      </c>
      <c r="J36" s="185">
        <f t="shared" si="0"/>
        <v>2.9999999999290594E-3</v>
      </c>
      <c r="K36" s="99">
        <v>788.82</v>
      </c>
      <c r="L36" s="187">
        <f t="shared" si="8"/>
        <v>-2.9999999999290594E-3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70.42</v>
      </c>
      <c r="C37" s="100"/>
      <c r="D37" s="66"/>
      <c r="E37" s="67"/>
      <c r="F37" s="66"/>
      <c r="G37" s="66"/>
      <c r="H37" s="102"/>
      <c r="I37" s="79">
        <v>70.42</v>
      </c>
      <c r="J37" s="81">
        <f t="shared" si="0"/>
        <v>0</v>
      </c>
      <c r="K37" s="80">
        <v>70.42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401.39400000000001</v>
      </c>
      <c r="C38" s="100"/>
      <c r="D38" s="66"/>
      <c r="E38" s="67"/>
      <c r="F38" s="66"/>
      <c r="G38" s="66"/>
      <c r="H38" s="102"/>
      <c r="I38" s="79">
        <v>401.39</v>
      </c>
      <c r="J38" s="81">
        <f t="shared" si="0"/>
        <v>4.0000000000190994E-3</v>
      </c>
      <c r="K38" s="80">
        <v>401.39</v>
      </c>
      <c r="L38" s="186">
        <f t="shared" si="8"/>
        <v>-4.0000000000190994E-3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14420.61</v>
      </c>
      <c r="S42" s="190">
        <f t="shared" si="9"/>
        <v>0</v>
      </c>
      <c r="T42" s="190">
        <f t="shared" si="9"/>
        <v>679.5</v>
      </c>
      <c r="U42" s="190">
        <f t="shared" si="9"/>
        <v>29.288793103448278</v>
      </c>
      <c r="V42" s="190">
        <f t="shared" si="9"/>
        <v>108.15457499999998</v>
      </c>
      <c r="W42" s="190">
        <f t="shared" si="9"/>
        <v>0</v>
      </c>
      <c r="X42" s="190">
        <f t="shared" si="9"/>
        <v>16.987500000000004</v>
      </c>
      <c r="Y42" s="190">
        <f t="shared" si="9"/>
        <v>14312.455425</v>
      </c>
      <c r="Z42" s="190">
        <f t="shared" si="9"/>
        <v>0</v>
      </c>
      <c r="AA42" s="190">
        <f t="shared" si="9"/>
        <v>633.22370689655179</v>
      </c>
      <c r="AB42" s="166"/>
    </row>
    <row r="43" spans="1:28" ht="15.75" x14ac:dyDescent="0.25">
      <c r="A43" s="93" t="s">
        <v>101</v>
      </c>
      <c r="B43" s="97">
        <f>+B37+B39+B41</f>
        <v>70.42</v>
      </c>
      <c r="C43" s="95"/>
      <c r="D43" s="94"/>
      <c r="E43" s="96"/>
      <c r="F43" s="94"/>
      <c r="G43" s="94"/>
      <c r="H43" s="98"/>
      <c r="I43" s="99">
        <v>70.42</v>
      </c>
      <c r="J43" s="185">
        <f t="shared" si="0"/>
        <v>0</v>
      </c>
      <c r="K43" s="99">
        <v>70.42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401.39400000000001</v>
      </c>
      <c r="C44" s="95"/>
      <c r="D44" s="94"/>
      <c r="E44" s="96"/>
      <c r="F44" s="94"/>
      <c r="G44" s="94"/>
      <c r="H44" s="98"/>
      <c r="I44" s="99">
        <v>401.39</v>
      </c>
      <c r="J44" s="185">
        <f t="shared" si="0"/>
        <v>4.0000000000190994E-3</v>
      </c>
      <c r="K44" s="99">
        <v>401.39</v>
      </c>
      <c r="L44" s="187">
        <f>K44-B44</f>
        <v>-4.0000000000190994E-3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14420.61</v>
      </c>
      <c r="C46" s="116">
        <v>7.4999999999999997E-3</v>
      </c>
      <c r="D46" s="117">
        <f>B46*C46</f>
        <v>108.15457499999999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14312.455425</v>
      </c>
      <c r="H46" s="173">
        <f>B$6+1</f>
        <v>44729</v>
      </c>
      <c r="I46" s="174">
        <v>13967.76</v>
      </c>
      <c r="J46" s="81">
        <f t="shared" si="0"/>
        <v>452.85000000000036</v>
      </c>
      <c r="K46" s="80">
        <v>14730.47</v>
      </c>
      <c r="L46" s="186">
        <f>K46-G46</f>
        <v>418.01457499999924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44729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210.92000000000002</v>
      </c>
      <c r="C48" s="116">
        <v>7.4999999999999997E-3</v>
      </c>
      <c r="D48" s="117">
        <f t="shared" si="18"/>
        <v>1.5819000000000001</v>
      </c>
      <c r="E48" s="172">
        <v>0</v>
      </c>
      <c r="F48" s="117">
        <f t="shared" si="16"/>
        <v>0</v>
      </c>
      <c r="G48" s="117">
        <f t="shared" si="17"/>
        <v>209.33810000000003</v>
      </c>
      <c r="H48" s="173">
        <f t="shared" ref="H48:H61" si="20">B$6+1</f>
        <v>44729</v>
      </c>
      <c r="I48" s="176">
        <v>210.86</v>
      </c>
      <c r="J48" s="81">
        <f t="shared" si="0"/>
        <v>6.0000000000002274E-2</v>
      </c>
      <c r="K48" s="80"/>
      <c r="L48" s="186">
        <f t="shared" si="19"/>
        <v>209.33810000000003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200</v>
      </c>
      <c r="B49" s="117">
        <f>R75</f>
        <v>3672.48</v>
      </c>
      <c r="C49" s="116">
        <v>7.4999999999999997E-3</v>
      </c>
      <c r="D49" s="117">
        <f t="shared" si="18"/>
        <v>27.543599999999998</v>
      </c>
      <c r="E49" s="172">
        <v>0</v>
      </c>
      <c r="F49" s="117">
        <f t="shared" si="16"/>
        <v>0</v>
      </c>
      <c r="G49" s="117">
        <f t="shared" si="17"/>
        <v>3644.9364</v>
      </c>
      <c r="H49" s="173">
        <f t="shared" si="20"/>
        <v>44729</v>
      </c>
      <c r="I49" s="176">
        <v>3397.48</v>
      </c>
      <c r="J49" s="81">
        <f t="shared" si="0"/>
        <v>275</v>
      </c>
      <c r="K49" s="80"/>
      <c r="L49" s="186">
        <f t="shared" si="19"/>
        <v>3644.9364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2729.33</v>
      </c>
      <c r="C50" s="116">
        <v>7.4999999999999997E-3</v>
      </c>
      <c r="D50" s="117">
        <f t="shared" si="18"/>
        <v>20.469974999999998</v>
      </c>
      <c r="E50" s="172">
        <v>0</v>
      </c>
      <c r="F50" s="117">
        <f t="shared" si="16"/>
        <v>0</v>
      </c>
      <c r="G50" s="117">
        <f t="shared" si="17"/>
        <v>2708.860025</v>
      </c>
      <c r="H50" s="173">
        <f t="shared" si="20"/>
        <v>44729</v>
      </c>
      <c r="I50" s="175">
        <v>3145.38</v>
      </c>
      <c r="J50" s="81">
        <f t="shared" si="0"/>
        <v>-416.05000000000018</v>
      </c>
      <c r="K50" s="80"/>
      <c r="L50" s="186">
        <f t="shared" si="19"/>
        <v>2708.860025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416.05</v>
      </c>
      <c r="C51" s="116">
        <v>1.4999999999999999E-2</v>
      </c>
      <c r="D51" s="117">
        <f>+B51*C51</f>
        <v>6.2407500000000002</v>
      </c>
      <c r="E51" s="172">
        <v>0</v>
      </c>
      <c r="F51" s="117">
        <f>D51*E51</f>
        <v>0</v>
      </c>
      <c r="G51" s="117">
        <f t="shared" si="17"/>
        <v>409.80925000000002</v>
      </c>
      <c r="H51" s="173">
        <f t="shared" si="20"/>
        <v>44729</v>
      </c>
      <c r="I51" s="175"/>
      <c r="J51" s="81">
        <f t="shared" si="0"/>
        <v>416.05</v>
      </c>
      <c r="K51" s="80"/>
      <c r="L51" s="186">
        <f t="shared" si="19"/>
        <v>409.80925000000002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679.5</v>
      </c>
      <c r="C52" s="116">
        <v>2.5000000000000001E-2</v>
      </c>
      <c r="D52" s="117">
        <f>B52*C52</f>
        <v>16.987500000000001</v>
      </c>
      <c r="E52" s="172">
        <v>0.05</v>
      </c>
      <c r="F52" s="117">
        <f>(B52/E$10)*E52</f>
        <v>29.288793103448281</v>
      </c>
      <c r="G52" s="117">
        <f>B52-D52-F52</f>
        <v>633.22370689655179</v>
      </c>
      <c r="H52" s="188">
        <f t="shared" si="20"/>
        <v>44729</v>
      </c>
      <c r="I52" s="176">
        <v>679.5</v>
      </c>
      <c r="J52" s="81">
        <f t="shared" si="0"/>
        <v>0</v>
      </c>
      <c r="K52" s="80">
        <v>243.09</v>
      </c>
      <c r="L52" s="186">
        <f>K52-G52</f>
        <v>-390.13370689655176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44729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44729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44729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209</v>
      </c>
      <c r="B56" s="117">
        <f>T75</f>
        <v>171.05</v>
      </c>
      <c r="C56" s="116">
        <v>2.5000000000000001E-2</v>
      </c>
      <c r="D56" s="117">
        <f t="shared" si="21"/>
        <v>4.2762500000000001</v>
      </c>
      <c r="E56" s="172">
        <v>0.05</v>
      </c>
      <c r="F56" s="117">
        <f t="shared" si="22"/>
        <v>7.3728448275862082</v>
      </c>
      <c r="G56" s="117">
        <f t="shared" si="23"/>
        <v>159.40090517241379</v>
      </c>
      <c r="H56" s="173">
        <f t="shared" si="20"/>
        <v>44729</v>
      </c>
      <c r="I56" s="176">
        <v>171.05</v>
      </c>
      <c r="J56" s="81">
        <f t="shared" si="0"/>
        <v>0</v>
      </c>
      <c r="K56" s="80"/>
      <c r="L56" s="186">
        <f t="shared" si="19"/>
        <v>159.40090517241379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44731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44733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44758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185.25455000000002</v>
      </c>
      <c r="E61" s="177"/>
      <c r="F61" s="57">
        <f>SUM(F46:F58)</f>
        <v>36.661637931034491</v>
      </c>
      <c r="G61" s="57">
        <f>SUM(G46:G58)</f>
        <v>22078.023812068965</v>
      </c>
      <c r="H61" s="173">
        <f t="shared" si="20"/>
        <v>44729</v>
      </c>
      <c r="I61" s="175"/>
      <c r="J61" s="81">
        <f t="shared" si="0"/>
        <v>0</v>
      </c>
      <c r="K61" s="80"/>
      <c r="L61" s="186">
        <f t="shared" si="19"/>
        <v>22078.023812068965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275</v>
      </c>
      <c r="C62" s="18"/>
      <c r="D62" s="101"/>
      <c r="E62" s="178"/>
      <c r="F62" s="101"/>
      <c r="G62" s="57"/>
      <c r="H62" s="173">
        <f>B$6+1</f>
        <v>44729</v>
      </c>
      <c r="I62" s="176"/>
      <c r="J62" s="81">
        <f t="shared" si="0"/>
        <v>275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44156.047624137929</v>
      </c>
      <c r="H64" s="184"/>
      <c r="I64" s="175"/>
      <c r="J64" s="81">
        <f t="shared" si="0"/>
        <v>0</v>
      </c>
      <c r="K64" s="80"/>
      <c r="L64" s="186">
        <f t="shared" si="19"/>
        <v>44156.047624137929</v>
      </c>
      <c r="M64" s="130"/>
      <c r="N64" s="87">
        <v>1</v>
      </c>
      <c r="O64" s="122" t="s">
        <v>220</v>
      </c>
      <c r="P64" s="87"/>
      <c r="Q64" s="87"/>
      <c r="R64" s="87">
        <v>41.04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0.30779999999999996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40.732199999999999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44077.457000000009</v>
      </c>
      <c r="G65" s="22"/>
      <c r="L65" s="132"/>
      <c r="M65" s="131"/>
      <c r="N65" s="87">
        <v>2</v>
      </c>
      <c r="O65" s="122" t="s">
        <v>220</v>
      </c>
      <c r="P65" s="87"/>
      <c r="Q65" s="87"/>
      <c r="R65" s="137">
        <v>17.46</v>
      </c>
      <c r="S65" s="87"/>
      <c r="T65" s="87"/>
      <c r="U65" s="189">
        <f t="shared" si="28"/>
        <v>0</v>
      </c>
      <c r="V65" s="189">
        <f t="shared" si="29"/>
        <v>0.13095000000000001</v>
      </c>
      <c r="W65" s="189">
        <f t="shared" si="30"/>
        <v>0</v>
      </c>
      <c r="X65" s="189">
        <f t="shared" si="31"/>
        <v>0</v>
      </c>
      <c r="Y65" s="189">
        <f t="shared" si="32"/>
        <v>17.329050000000002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87"/>
      <c r="Q66" s="87"/>
      <c r="R66" s="87">
        <v>88.01</v>
      </c>
      <c r="S66" s="87"/>
      <c r="T66" s="87"/>
      <c r="U66" s="189">
        <f t="shared" si="28"/>
        <v>0</v>
      </c>
      <c r="V66" s="189">
        <f t="shared" si="29"/>
        <v>0.66007499999999997</v>
      </c>
      <c r="W66" s="189">
        <f t="shared" si="30"/>
        <v>0</v>
      </c>
      <c r="X66" s="189">
        <f t="shared" si="31"/>
        <v>0</v>
      </c>
      <c r="Y66" s="189">
        <f t="shared" si="32"/>
        <v>87.349924999999999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220</v>
      </c>
      <c r="P67" s="87"/>
      <c r="Q67" s="87"/>
      <c r="R67" s="87">
        <v>22.74</v>
      </c>
      <c r="S67" s="87"/>
      <c r="T67" s="87"/>
      <c r="U67" s="189">
        <f t="shared" si="28"/>
        <v>0</v>
      </c>
      <c r="V67" s="189">
        <f t="shared" si="29"/>
        <v>0.17054999999999998</v>
      </c>
      <c r="W67" s="189">
        <f t="shared" si="30"/>
        <v>0</v>
      </c>
      <c r="X67" s="189">
        <f t="shared" si="31"/>
        <v>0</v>
      </c>
      <c r="Y67" s="189">
        <f t="shared" si="32"/>
        <v>22.56945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42833.86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>
        <f>41.67</f>
        <v>41.67</v>
      </c>
      <c r="S68" s="87"/>
      <c r="T68" s="87"/>
      <c r="U68" s="189">
        <f t="shared" si="28"/>
        <v>0</v>
      </c>
      <c r="V68" s="189">
        <f t="shared" si="29"/>
        <v>0.312525</v>
      </c>
      <c r="W68" s="189">
        <f t="shared" si="30"/>
        <v>0</v>
      </c>
      <c r="X68" s="189">
        <f t="shared" si="31"/>
        <v>0</v>
      </c>
      <c r="Y68" s="189">
        <f t="shared" si="32"/>
        <v>41.357475000000001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43394.68</v>
      </c>
      <c r="C69" s="59"/>
      <c r="F69" s="87" t="s">
        <v>127</v>
      </c>
      <c r="G69" s="22"/>
      <c r="H69" s="89"/>
      <c r="I69" s="136"/>
      <c r="J69" s="136">
        <f>K52</f>
        <v>243.09</v>
      </c>
      <c r="N69" s="301" t="s">
        <v>108</v>
      </c>
      <c r="O69" s="301"/>
      <c r="P69" s="302"/>
      <c r="Q69" s="302"/>
      <c r="R69" s="192">
        <f>SUM(R64:R68)</f>
        <v>210.92000000000002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1.5818999999999999</v>
      </c>
      <c r="W69" s="192">
        <f t="shared" si="34"/>
        <v>0</v>
      </c>
      <c r="X69" s="192">
        <f t="shared" si="34"/>
        <v>0</v>
      </c>
      <c r="Y69" s="192">
        <f t="shared" si="34"/>
        <v>209.3381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-560.81999999999971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225">
        <v>158</v>
      </c>
      <c r="Q70" s="225">
        <v>2001</v>
      </c>
      <c r="R70" s="221">
        <v>312.86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2.3464499999999999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310.51355000000001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682.77700000000914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243.09</v>
      </c>
      <c r="N71" s="87">
        <v>2</v>
      </c>
      <c r="O71" s="122" t="s">
        <v>217</v>
      </c>
      <c r="P71" s="225">
        <v>8</v>
      </c>
      <c r="Q71" s="225">
        <v>2001</v>
      </c>
      <c r="R71" s="221">
        <v>527.17999999999995</v>
      </c>
      <c r="S71" s="225"/>
      <c r="T71" s="225"/>
      <c r="U71" s="189">
        <f t="shared" si="35"/>
        <v>0</v>
      </c>
      <c r="V71" s="189">
        <f t="shared" si="36"/>
        <v>3.9538499999999996</v>
      </c>
      <c r="W71" s="189">
        <f t="shared" si="37"/>
        <v>0</v>
      </c>
      <c r="X71" s="189">
        <f t="shared" si="38"/>
        <v>0</v>
      </c>
      <c r="Y71" s="189">
        <f t="shared" si="39"/>
        <v>523.22614999999996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225">
        <v>164</v>
      </c>
      <c r="Q72" s="225">
        <v>2001</v>
      </c>
      <c r="R72" s="221">
        <v>462.25</v>
      </c>
      <c r="S72" s="225"/>
      <c r="T72" s="225"/>
      <c r="U72" s="189">
        <f t="shared" si="35"/>
        <v>0</v>
      </c>
      <c r="V72" s="189">
        <f t="shared" si="36"/>
        <v>3.4668749999999999</v>
      </c>
      <c r="W72" s="189">
        <f t="shared" si="37"/>
        <v>0</v>
      </c>
      <c r="X72" s="189">
        <f t="shared" si="38"/>
        <v>0</v>
      </c>
      <c r="Y72" s="189">
        <f t="shared" si="39"/>
        <v>458.78312499999998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246</v>
      </c>
      <c r="P73" s="225">
        <v>165</v>
      </c>
      <c r="Q73" s="225">
        <v>2001</v>
      </c>
      <c r="R73" s="221">
        <v>2095.19</v>
      </c>
      <c r="S73" s="225"/>
      <c r="T73" s="225">
        <v>171.05</v>
      </c>
      <c r="U73" s="189">
        <f t="shared" si="35"/>
        <v>7.3728448275862082</v>
      </c>
      <c r="V73" s="189">
        <f t="shared" si="36"/>
        <v>15.713925</v>
      </c>
      <c r="W73" s="189">
        <f t="shared" si="37"/>
        <v>0</v>
      </c>
      <c r="X73" s="189">
        <f t="shared" si="38"/>
        <v>4.2762500000000001</v>
      </c>
      <c r="Y73" s="189">
        <f t="shared" si="39"/>
        <v>2079.476075</v>
      </c>
      <c r="Z73" s="189">
        <f t="shared" si="39"/>
        <v>0</v>
      </c>
      <c r="AA73" s="189">
        <f t="shared" si="40"/>
        <v>159.40090517241379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5">
        <f>70+45+110+50</f>
        <v>275</v>
      </c>
      <c r="S74" s="225"/>
      <c r="T74" s="225"/>
      <c r="U74" s="189">
        <f t="shared" si="35"/>
        <v>0</v>
      </c>
      <c r="V74" s="189">
        <f t="shared" si="36"/>
        <v>2.0625</v>
      </c>
      <c r="W74" s="189">
        <f t="shared" si="37"/>
        <v>0</v>
      </c>
      <c r="X74" s="189">
        <f t="shared" si="38"/>
        <v>0</v>
      </c>
      <c r="Y74" s="189">
        <f t="shared" si="39"/>
        <v>272.9375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3672.48</v>
      </c>
      <c r="S75" s="192"/>
      <c r="T75" s="192">
        <f>SUM(T70:T74)</f>
        <v>171.05</v>
      </c>
      <c r="U75" s="192">
        <f>SUM(U70:U74)</f>
        <v>7.3728448275862082</v>
      </c>
      <c r="V75" s="192">
        <f t="shared" ref="V75:AA75" si="42">SUM(V70:V74)</f>
        <v>27.543599999999998</v>
      </c>
      <c r="W75" s="192">
        <f t="shared" si="42"/>
        <v>0</v>
      </c>
      <c r="X75" s="192">
        <f t="shared" si="42"/>
        <v>4.2762500000000001</v>
      </c>
      <c r="Y75" s="192">
        <f t="shared" si="42"/>
        <v>3644.9364</v>
      </c>
      <c r="Z75" s="192">
        <f t="shared" si="42"/>
        <v>0</v>
      </c>
      <c r="AA75" s="193">
        <f t="shared" si="42"/>
        <v>159.40090517241379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20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20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153.59</v>
      </c>
      <c r="Q80" s="137">
        <v>104.88</v>
      </c>
      <c r="R80" s="82">
        <v>7.4999999999999997E-3</v>
      </c>
      <c r="S80" s="220">
        <f t="shared" si="44"/>
        <v>1.9385250000000001</v>
      </c>
      <c r="T80" s="219">
        <f t="shared" si="45"/>
        <v>256.531475</v>
      </c>
      <c r="U80" s="211">
        <v>44.8</v>
      </c>
      <c r="V80" s="112"/>
      <c r="W80" s="113">
        <v>1.4999999999999999E-2</v>
      </c>
      <c r="X80" s="196">
        <f t="shared" si="46"/>
        <v>0.67199999999999993</v>
      </c>
      <c r="Y80" s="217">
        <f t="shared" si="47"/>
        <v>44.128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361.04</v>
      </c>
      <c r="Q81" s="137"/>
      <c r="R81" s="82">
        <v>7.4999999999999997E-3</v>
      </c>
      <c r="S81" s="220">
        <f t="shared" si="44"/>
        <v>2.7078000000000002</v>
      </c>
      <c r="T81" s="219">
        <f t="shared" si="45"/>
        <v>358.3322</v>
      </c>
      <c r="U81" s="211">
        <v>22.02</v>
      </c>
      <c r="V81" s="112"/>
      <c r="W81" s="113">
        <v>1.4999999999999999E-2</v>
      </c>
      <c r="X81" s="196">
        <f t="shared" si="46"/>
        <v>0.33029999999999998</v>
      </c>
      <c r="Y81" s="217">
        <f t="shared" si="47"/>
        <v>21.689699999999998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176.01</v>
      </c>
      <c r="Q82" s="137">
        <v>48.58</v>
      </c>
      <c r="R82" s="82">
        <v>7.4999999999999997E-3</v>
      </c>
      <c r="S82" s="220">
        <f t="shared" si="44"/>
        <v>1.6844249999999998</v>
      </c>
      <c r="T82" s="219">
        <f t="shared" si="45"/>
        <v>222.90557499999997</v>
      </c>
      <c r="U82" s="211">
        <v>27.7</v>
      </c>
      <c r="V82" s="112"/>
      <c r="W82" s="113">
        <v>1.4999999999999999E-2</v>
      </c>
      <c r="X82" s="196">
        <f t="shared" si="46"/>
        <v>0.41549999999999998</v>
      </c>
      <c r="Y82" s="254">
        <f t="shared" si="47"/>
        <v>27.284499999999998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152.56</v>
      </c>
      <c r="Q83" s="137">
        <v>85.37</v>
      </c>
      <c r="R83" s="82">
        <v>7.4999999999999997E-3</v>
      </c>
      <c r="S83" s="220">
        <f t="shared" si="44"/>
        <v>1.784475</v>
      </c>
      <c r="T83" s="219">
        <f t="shared" si="45"/>
        <v>236.14552500000002</v>
      </c>
      <c r="U83" s="211">
        <v>65.680000000000007</v>
      </c>
      <c r="V83" s="112"/>
      <c r="W83" s="113">
        <v>1.4999999999999999E-2</v>
      </c>
      <c r="X83" s="196">
        <f t="shared" si="46"/>
        <v>0.98520000000000008</v>
      </c>
      <c r="Y83" s="254">
        <f t="shared" si="47"/>
        <v>64.694800000000001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41.1</v>
      </c>
      <c r="Q84" s="87"/>
      <c r="R84" s="82">
        <v>7.4999999999999997E-3</v>
      </c>
      <c r="S84" s="220">
        <f t="shared" si="44"/>
        <v>0.30825000000000002</v>
      </c>
      <c r="T84" s="219">
        <f t="shared" si="45"/>
        <v>40.79175</v>
      </c>
      <c r="U84" s="112">
        <v>30.16</v>
      </c>
      <c r="V84" s="112"/>
      <c r="W84" s="113">
        <v>1.4999999999999999E-2</v>
      </c>
      <c r="X84" s="196">
        <f t="shared" si="46"/>
        <v>0.45239999999999997</v>
      </c>
      <c r="Y84" s="217">
        <f t="shared" si="47"/>
        <v>29.707599999999999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399.76</v>
      </c>
      <c r="Q85" s="87">
        <v>320.52</v>
      </c>
      <c r="R85" s="82">
        <v>7.4999999999999997E-3</v>
      </c>
      <c r="S85" s="220">
        <f t="shared" si="44"/>
        <v>5.4020999999999999</v>
      </c>
      <c r="T85" s="219">
        <f t="shared" si="45"/>
        <v>714.87789999999995</v>
      </c>
      <c r="U85" s="112">
        <v>15.87</v>
      </c>
      <c r="V85" s="112"/>
      <c r="W85" s="113">
        <v>1.4999999999999999E-2</v>
      </c>
      <c r="X85" s="196">
        <f t="shared" si="46"/>
        <v>0.23804999999999998</v>
      </c>
      <c r="Y85" s="217">
        <f t="shared" si="47"/>
        <v>15.63195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9.0399999999999991</v>
      </c>
      <c r="Q86" s="87">
        <v>14.56</v>
      </c>
      <c r="R86" s="82">
        <v>7.4999999999999997E-3</v>
      </c>
      <c r="S86" s="220">
        <f t="shared" si="44"/>
        <v>0.17699999999999999</v>
      </c>
      <c r="T86" s="219">
        <f t="shared" si="45"/>
        <v>23.423000000000002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283.63</v>
      </c>
      <c r="Q87" s="87">
        <v>77.459999999999994</v>
      </c>
      <c r="R87" s="82">
        <v>7.4999999999999997E-3</v>
      </c>
      <c r="S87" s="220">
        <f t="shared" si="44"/>
        <v>2.7081749999999998</v>
      </c>
      <c r="T87" s="220">
        <f t="shared" si="45"/>
        <v>358.38182499999999</v>
      </c>
      <c r="U87" s="112">
        <v>137.83000000000001</v>
      </c>
      <c r="V87" s="112"/>
      <c r="W87" s="113">
        <v>1.4999999999999999E-2</v>
      </c>
      <c r="X87" s="196">
        <f t="shared" si="46"/>
        <v>2.06745</v>
      </c>
      <c r="Y87" s="217">
        <f t="shared" si="47"/>
        <v>135.76255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>
        <v>115.72</v>
      </c>
      <c r="Q88" s="87"/>
      <c r="R88" s="82">
        <v>7.4999999999999997E-3</v>
      </c>
      <c r="S88" s="194">
        <f t="shared" si="44"/>
        <v>0.8679</v>
      </c>
      <c r="T88" s="220">
        <f t="shared" si="45"/>
        <v>114.85209999999999</v>
      </c>
      <c r="U88" s="112">
        <v>26.73</v>
      </c>
      <c r="V88" s="112"/>
      <c r="W88" s="113">
        <v>1.4999999999999999E-2</v>
      </c>
      <c r="X88" s="196">
        <f t="shared" si="46"/>
        <v>0.40094999999999997</v>
      </c>
      <c r="Y88" s="217">
        <f t="shared" si="47"/>
        <v>26.329049999999999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>
        <v>224.32</v>
      </c>
      <c r="Q89" s="87">
        <v>161.19</v>
      </c>
      <c r="R89" s="82">
        <v>7.4999999999999997E-3</v>
      </c>
      <c r="S89" s="194">
        <f t="shared" si="44"/>
        <v>2.8913249999999997</v>
      </c>
      <c r="T89" s="194">
        <f t="shared" si="45"/>
        <v>382.618675</v>
      </c>
      <c r="U89" s="112">
        <v>45.26</v>
      </c>
      <c r="V89" s="112"/>
      <c r="W89" s="113">
        <v>1.4999999999999999E-2</v>
      </c>
      <c r="X89" s="196">
        <f t="shared" si="46"/>
        <v>0.67889999999999995</v>
      </c>
      <c r="Y89" s="217">
        <f t="shared" si="47"/>
        <v>44.581099999999999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1916.77</v>
      </c>
      <c r="Q98" s="195">
        <f>SUM(Q78:Q97)</f>
        <v>812.56</v>
      </c>
      <c r="R98" s="111"/>
      <c r="S98" s="195">
        <f>SUM(S78:S97)</f>
        <v>20.469974999999998</v>
      </c>
      <c r="T98" s="195">
        <f>SUM(T78:T97)</f>
        <v>2708.8600250000004</v>
      </c>
      <c r="U98" s="114">
        <f>SUM(U78:U97)</f>
        <v>416.05</v>
      </c>
      <c r="V98" s="114">
        <f>SUM(V78:V97)</f>
        <v>0</v>
      </c>
      <c r="W98" s="112"/>
      <c r="X98" s="197">
        <f>SUM(X78:X97)</f>
        <v>6.2407499999999994</v>
      </c>
      <c r="Y98" s="197">
        <f>SUM(Y78:Y97)</f>
        <v>409.80924999999996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 t="shared" ref="Q101:Q102" si="51">P78+Q78+U78</f>
        <v>0</v>
      </c>
      <c r="R101" s="84"/>
    </row>
    <row r="102" spans="14:30" x14ac:dyDescent="0.25">
      <c r="N102" s="85"/>
      <c r="P102" s="84"/>
      <c r="Q102" s="233">
        <f t="shared" si="51"/>
        <v>0</v>
      </c>
      <c r="R102" s="84"/>
    </row>
    <row r="103" spans="14:30" x14ac:dyDescent="0.25">
      <c r="N103" s="85"/>
      <c r="P103" s="84"/>
      <c r="Q103" s="215">
        <f>P80+Q80+U80</f>
        <v>303.27000000000004</v>
      </c>
      <c r="R103" s="84"/>
    </row>
    <row r="104" spans="14:30" x14ac:dyDescent="0.25">
      <c r="N104" s="85"/>
      <c r="P104" s="84"/>
      <c r="Q104" s="215">
        <f>P81+Q81+U81</f>
        <v>383.06</v>
      </c>
      <c r="R104" s="84"/>
    </row>
    <row r="105" spans="14:30" x14ac:dyDescent="0.25">
      <c r="N105" s="85"/>
      <c r="P105" s="84"/>
      <c r="Q105" s="215">
        <f t="shared" ref="Q105:Q107" si="52">P82+Q82+U82</f>
        <v>252.28999999999996</v>
      </c>
      <c r="R105" s="84"/>
    </row>
    <row r="106" spans="14:30" x14ac:dyDescent="0.25">
      <c r="N106" s="85"/>
      <c r="P106" s="84"/>
      <c r="Q106" s="215">
        <f t="shared" si="52"/>
        <v>303.61</v>
      </c>
      <c r="R106" s="84"/>
    </row>
    <row r="107" spans="14:30" x14ac:dyDescent="0.25">
      <c r="N107" s="85"/>
      <c r="P107" s="84"/>
      <c r="Q107" s="246">
        <f t="shared" si="52"/>
        <v>71.260000000000005</v>
      </c>
      <c r="R107" s="84"/>
    </row>
    <row r="108" spans="14:30" x14ac:dyDescent="0.25">
      <c r="N108" s="85"/>
      <c r="Q108" s="246">
        <f>P85+Q85+U85</f>
        <v>736.15</v>
      </c>
    </row>
    <row r="109" spans="14:30" x14ac:dyDescent="0.25">
      <c r="N109" s="85"/>
      <c r="Q109" s="246">
        <f>P86+Q86+U86</f>
        <v>23.6</v>
      </c>
    </row>
    <row r="110" spans="14:30" x14ac:dyDescent="0.25">
      <c r="N110" s="85"/>
      <c r="Q110" s="246">
        <f>P87+Q87+U87</f>
        <v>498.91999999999996</v>
      </c>
    </row>
    <row r="111" spans="14:30" x14ac:dyDescent="0.25">
      <c r="N111" s="85"/>
      <c r="Q111" s="246">
        <f>P88+Q88+U88</f>
        <v>142.44999999999999</v>
      </c>
    </row>
    <row r="112" spans="14:30" x14ac:dyDescent="0.25">
      <c r="N112" s="85"/>
      <c r="Q112" s="246">
        <f>P89+Q89+U89</f>
        <v>430.77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64" zoomScale="90" zoomScaleNormal="90" workbookViewId="0">
      <selection activeCell="T86" sqref="T8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192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44759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2037</v>
      </c>
      <c r="C12" s="15"/>
      <c r="D12" s="56"/>
      <c r="E12" s="16"/>
      <c r="F12" s="56"/>
      <c r="G12" s="56"/>
      <c r="H12" s="17"/>
      <c r="I12" s="83">
        <v>2037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222</v>
      </c>
      <c r="P12" s="158">
        <v>180</v>
      </c>
      <c r="Q12" s="158">
        <v>11</v>
      </c>
      <c r="R12" s="244">
        <v>1016.65</v>
      </c>
      <c r="S12" s="160"/>
      <c r="T12" s="238">
        <v>477.94</v>
      </c>
      <c r="U12" s="189">
        <f>((T12/U$10)*U$9)</f>
        <v>20.600862068965519</v>
      </c>
      <c r="V12" s="189">
        <f>R12*V$10</f>
        <v>7.6248749999999994</v>
      </c>
      <c r="W12" s="189">
        <f>+S12*V$10</f>
        <v>0</v>
      </c>
      <c r="X12" s="189">
        <f>+T12*X$10</f>
        <v>11.948500000000001</v>
      </c>
      <c r="Y12" s="189">
        <f>R12-V12</f>
        <v>1009.025125</v>
      </c>
      <c r="Z12" s="189">
        <f>S12-W12</f>
        <v>0</v>
      </c>
      <c r="AA12" s="189">
        <f>T12-U12-X12</f>
        <v>445.39063793103446</v>
      </c>
      <c r="AB12" s="156"/>
    </row>
    <row r="13" spans="1:28" ht="15.75" x14ac:dyDescent="0.25">
      <c r="A13" s="86" t="s">
        <v>74</v>
      </c>
      <c r="B13" s="89">
        <v>2825</v>
      </c>
      <c r="C13" s="15"/>
      <c r="D13" s="56"/>
      <c r="E13" s="16"/>
      <c r="F13" s="56"/>
      <c r="G13" s="56"/>
      <c r="H13" s="17"/>
      <c r="I13" s="83">
        <v>2825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222</v>
      </c>
      <c r="P13" s="158">
        <v>181</v>
      </c>
      <c r="Q13" s="158">
        <v>11</v>
      </c>
      <c r="R13" s="244">
        <v>1258.57</v>
      </c>
      <c r="S13" s="160"/>
      <c r="T13" s="247">
        <v>87.3</v>
      </c>
      <c r="U13" s="189">
        <f t="shared" ref="U13:U41" si="2">((T13/U$10)*U$9)</f>
        <v>3.7629310344827589</v>
      </c>
      <c r="V13" s="189">
        <f t="shared" ref="V13:V41" si="3">R13*V$10</f>
        <v>9.4392749999999985</v>
      </c>
      <c r="W13" s="189">
        <f t="shared" ref="W13:W41" si="4">+S13*V$10</f>
        <v>0</v>
      </c>
      <c r="X13" s="189">
        <f t="shared" ref="X13:X41" si="5">+T13*X$10</f>
        <v>2.1825000000000001</v>
      </c>
      <c r="Y13" s="189">
        <f t="shared" ref="Y13:Z41" si="6">R13-V13</f>
        <v>1249.130725</v>
      </c>
      <c r="Z13" s="189">
        <f t="shared" si="6"/>
        <v>0</v>
      </c>
      <c r="AA13" s="189">
        <f t="shared" ref="AA13:AA41" si="7">T13-U13-X13</f>
        <v>81.354568965517231</v>
      </c>
      <c r="AB13" s="156"/>
    </row>
    <row r="14" spans="1:28" ht="15.75" x14ac:dyDescent="0.25">
      <c r="A14" s="86" t="s">
        <v>81</v>
      </c>
      <c r="B14" s="57">
        <f>B13*B8</f>
        <v>16102.5</v>
      </c>
      <c r="C14" s="15"/>
      <c r="D14" s="56"/>
      <c r="E14" s="16"/>
      <c r="F14" s="56"/>
      <c r="G14" s="56"/>
      <c r="H14" s="17"/>
      <c r="I14" s="83">
        <v>16102.5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222</v>
      </c>
      <c r="P14" s="158">
        <v>561</v>
      </c>
      <c r="Q14" s="158">
        <v>2</v>
      </c>
      <c r="R14" s="244">
        <v>1551.89</v>
      </c>
      <c r="S14" s="160"/>
      <c r="T14" s="161"/>
      <c r="U14" s="189">
        <f t="shared" si="2"/>
        <v>0</v>
      </c>
      <c r="V14" s="189">
        <f t="shared" si="3"/>
        <v>11.639175</v>
      </c>
      <c r="W14" s="189">
        <f t="shared" si="4"/>
        <v>0</v>
      </c>
      <c r="X14" s="189">
        <f t="shared" si="5"/>
        <v>0</v>
      </c>
      <c r="Y14" s="189">
        <f t="shared" si="6"/>
        <v>1540.2508250000001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222</v>
      </c>
      <c r="P15" s="158">
        <v>562</v>
      </c>
      <c r="Q15" s="158">
        <v>2</v>
      </c>
      <c r="R15" s="244">
        <v>754.57</v>
      </c>
      <c r="S15" s="160"/>
      <c r="T15" s="161"/>
      <c r="U15" s="189">
        <f t="shared" si="2"/>
        <v>0</v>
      </c>
      <c r="V15" s="189">
        <f t="shared" si="3"/>
        <v>5.6592750000000001</v>
      </c>
      <c r="W15" s="189">
        <f t="shared" si="4"/>
        <v>0</v>
      </c>
      <c r="X15" s="189">
        <f t="shared" si="5"/>
        <v>0</v>
      </c>
      <c r="Y15" s="189">
        <f t="shared" si="6"/>
        <v>748.91072500000007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222</v>
      </c>
      <c r="P16" s="158">
        <v>543</v>
      </c>
      <c r="Q16" s="158">
        <v>4</v>
      </c>
      <c r="R16" s="244">
        <v>1088.8599999999999</v>
      </c>
      <c r="S16" s="160"/>
      <c r="T16" s="247">
        <v>518.39</v>
      </c>
      <c r="U16" s="189">
        <f t="shared" si="2"/>
        <v>22.344396551724142</v>
      </c>
      <c r="V16" s="189">
        <f t="shared" si="3"/>
        <v>8.1664499999999993</v>
      </c>
      <c r="W16" s="189">
        <f t="shared" si="4"/>
        <v>0</v>
      </c>
      <c r="X16" s="189">
        <f t="shared" si="5"/>
        <v>12.95975</v>
      </c>
      <c r="Y16" s="189">
        <f t="shared" si="6"/>
        <v>1080.69355</v>
      </c>
      <c r="Z16" s="189">
        <f t="shared" si="6"/>
        <v>0</v>
      </c>
      <c r="AA16" s="189">
        <f t="shared" si="7"/>
        <v>483.08585344827588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222</v>
      </c>
      <c r="P17" s="158">
        <v>544</v>
      </c>
      <c r="Q17" s="158">
        <v>4</v>
      </c>
      <c r="R17" s="244">
        <v>1033.23</v>
      </c>
      <c r="S17" s="160"/>
      <c r="T17" s="247">
        <v>40.520000000000003</v>
      </c>
      <c r="U17" s="189">
        <f t="shared" si="2"/>
        <v>1.7465517241379314</v>
      </c>
      <c r="V17" s="189">
        <f t="shared" si="3"/>
        <v>7.749225</v>
      </c>
      <c r="W17" s="189">
        <f t="shared" si="4"/>
        <v>0</v>
      </c>
      <c r="X17" s="189">
        <f t="shared" si="5"/>
        <v>1.0130000000000001</v>
      </c>
      <c r="Y17" s="189">
        <f t="shared" si="6"/>
        <v>1025.480775</v>
      </c>
      <c r="Z17" s="189">
        <f t="shared" si="6"/>
        <v>0</v>
      </c>
      <c r="AA17" s="189">
        <f t="shared" si="7"/>
        <v>37.760448275862075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222</v>
      </c>
      <c r="P18" s="158">
        <v>549</v>
      </c>
      <c r="Q18" s="158">
        <v>14</v>
      </c>
      <c r="R18" s="244">
        <v>1991.67</v>
      </c>
      <c r="S18" s="160"/>
      <c r="T18" s="161"/>
      <c r="U18" s="189">
        <f t="shared" si="2"/>
        <v>0</v>
      </c>
      <c r="V18" s="189">
        <f t="shared" si="3"/>
        <v>14.937525000000001</v>
      </c>
      <c r="W18" s="189">
        <f t="shared" si="4"/>
        <v>0</v>
      </c>
      <c r="X18" s="189">
        <f t="shared" si="5"/>
        <v>0</v>
      </c>
      <c r="Y18" s="189">
        <f t="shared" si="6"/>
        <v>1976.732475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2825</v>
      </c>
      <c r="C19" s="95"/>
      <c r="D19" s="94"/>
      <c r="E19" s="96"/>
      <c r="F19" s="94"/>
      <c r="G19" s="94"/>
      <c r="H19" s="98"/>
      <c r="I19" s="99">
        <v>2825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222</v>
      </c>
      <c r="P19" s="158">
        <v>193</v>
      </c>
      <c r="Q19" s="158">
        <v>10</v>
      </c>
      <c r="R19" s="244">
        <v>824.53</v>
      </c>
      <c r="S19" s="160"/>
      <c r="T19" s="247">
        <v>3.83</v>
      </c>
      <c r="U19" s="189">
        <f t="shared" si="2"/>
        <v>0.16508620689655173</v>
      </c>
      <c r="V19" s="189">
        <f t="shared" si="3"/>
        <v>6.1839749999999993</v>
      </c>
      <c r="W19" s="189">
        <f t="shared" si="4"/>
        <v>0</v>
      </c>
      <c r="X19" s="189">
        <f t="shared" si="5"/>
        <v>9.5750000000000002E-2</v>
      </c>
      <c r="Y19" s="189">
        <f t="shared" si="6"/>
        <v>818.34602499999994</v>
      </c>
      <c r="Z19" s="189">
        <f t="shared" si="6"/>
        <v>0</v>
      </c>
      <c r="AA19" s="189">
        <f t="shared" si="7"/>
        <v>3.5691637931034483</v>
      </c>
      <c r="AB19" s="156"/>
    </row>
    <row r="20" spans="1:28" ht="15.75" x14ac:dyDescent="0.25">
      <c r="A20" s="93" t="s">
        <v>80</v>
      </c>
      <c r="B20" s="97">
        <f>+B14+B16+B18</f>
        <v>16102.5</v>
      </c>
      <c r="C20" s="95"/>
      <c r="D20" s="94"/>
      <c r="E20" s="96"/>
      <c r="F20" s="94"/>
      <c r="G20" s="94"/>
      <c r="H20" s="98"/>
      <c r="I20" s="99">
        <v>16102.5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222</v>
      </c>
      <c r="P20" s="158">
        <v>194</v>
      </c>
      <c r="Q20" s="158">
        <v>10</v>
      </c>
      <c r="R20" s="244">
        <v>1860.51</v>
      </c>
      <c r="S20" s="160"/>
      <c r="T20" s="161"/>
      <c r="U20" s="189">
        <f t="shared" si="2"/>
        <v>0</v>
      </c>
      <c r="V20" s="189">
        <f t="shared" si="3"/>
        <v>13.953825</v>
      </c>
      <c r="W20" s="189">
        <f t="shared" si="4"/>
        <v>0</v>
      </c>
      <c r="X20" s="189">
        <f t="shared" si="5"/>
        <v>0</v>
      </c>
      <c r="Y20" s="189">
        <f t="shared" si="6"/>
        <v>1846.5561749999999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222</v>
      </c>
      <c r="P21" s="158">
        <v>627</v>
      </c>
      <c r="Q21" s="158">
        <v>18</v>
      </c>
      <c r="R21" s="244">
        <v>688.06</v>
      </c>
      <c r="S21" s="160"/>
      <c r="T21" s="161"/>
      <c r="U21" s="189">
        <f t="shared" si="2"/>
        <v>0</v>
      </c>
      <c r="V21" s="189">
        <f t="shared" si="3"/>
        <v>5.1604499999999991</v>
      </c>
      <c r="W21" s="189">
        <f t="shared" si="4"/>
        <v>0</v>
      </c>
      <c r="X21" s="189">
        <f t="shared" si="5"/>
        <v>0</v>
      </c>
      <c r="Y21" s="189">
        <f t="shared" si="6"/>
        <v>682.89954999999998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222</v>
      </c>
      <c r="P22" s="158">
        <v>628</v>
      </c>
      <c r="Q22" s="158">
        <v>18</v>
      </c>
      <c r="R22" s="245">
        <v>1715.87</v>
      </c>
      <c r="S22" s="160"/>
      <c r="T22" s="160"/>
      <c r="U22" s="189">
        <f t="shared" si="2"/>
        <v>0</v>
      </c>
      <c r="V22" s="189">
        <f t="shared" si="3"/>
        <v>12.869024999999999</v>
      </c>
      <c r="W22" s="189">
        <f t="shared" si="4"/>
        <v>0</v>
      </c>
      <c r="X22" s="189">
        <f t="shared" si="5"/>
        <v>0</v>
      </c>
      <c r="Y22" s="189">
        <f t="shared" si="6"/>
        <v>1703.0009749999999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222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222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55.43</v>
      </c>
      <c r="C29" s="100"/>
      <c r="D29" s="66"/>
      <c r="E29" s="67"/>
      <c r="F29" s="66"/>
      <c r="G29" s="66"/>
      <c r="H29" s="102"/>
      <c r="I29" s="79">
        <v>55.43</v>
      </c>
      <c r="J29" s="81">
        <f t="shared" si="0"/>
        <v>0</v>
      </c>
      <c r="K29" s="80"/>
      <c r="L29" s="186">
        <f>K29-B29</f>
        <v>-55.43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315.95100000000002</v>
      </c>
      <c r="C30" s="100"/>
      <c r="D30" s="66"/>
      <c r="E30" s="67"/>
      <c r="F30" s="66"/>
      <c r="G30" s="66"/>
      <c r="H30" s="102"/>
      <c r="I30" s="249">
        <v>315.95</v>
      </c>
      <c r="J30" s="81">
        <f t="shared" si="0"/>
        <v>1.0000000000331966E-3</v>
      </c>
      <c r="K30" s="80"/>
      <c r="L30" s="186">
        <f>K30-B30</f>
        <v>-315.95100000000002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55.43</v>
      </c>
      <c r="C35" s="95"/>
      <c r="D35" s="94"/>
      <c r="E35" s="96"/>
      <c r="F35" s="94"/>
      <c r="G35" s="94"/>
      <c r="H35" s="98"/>
      <c r="I35" s="99">
        <v>55.43</v>
      </c>
      <c r="J35" s="185">
        <f t="shared" si="0"/>
        <v>0</v>
      </c>
      <c r="K35" s="99"/>
      <c r="L35" s="187">
        <f t="shared" ref="L35:L40" si="8">K35-B35</f>
        <v>-55.43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315.95100000000002</v>
      </c>
      <c r="C36" s="95" t="s">
        <v>164</v>
      </c>
      <c r="D36" s="94"/>
      <c r="E36" s="96"/>
      <c r="F36" s="94"/>
      <c r="G36" s="94"/>
      <c r="H36" s="98"/>
      <c r="I36" s="99">
        <v>315.95</v>
      </c>
      <c r="J36" s="185">
        <f t="shared" si="0"/>
        <v>1.0000000000331966E-3</v>
      </c>
      <c r="K36" s="99"/>
      <c r="L36" s="187">
        <f t="shared" si="8"/>
        <v>-315.95100000000002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29.94</v>
      </c>
      <c r="C37" s="100"/>
      <c r="D37" s="66"/>
      <c r="E37" s="67"/>
      <c r="F37" s="66"/>
      <c r="G37" s="66"/>
      <c r="H37" s="102"/>
      <c r="I37" s="79">
        <v>29.94</v>
      </c>
      <c r="J37" s="81">
        <f t="shared" si="0"/>
        <v>0</v>
      </c>
      <c r="K37" s="80"/>
      <c r="L37" s="186">
        <f t="shared" si="8"/>
        <v>-29.94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170.65800000000002</v>
      </c>
      <c r="C38" s="100"/>
      <c r="D38" s="66"/>
      <c r="E38" s="67"/>
      <c r="F38" s="66"/>
      <c r="G38" s="66"/>
      <c r="H38" s="102"/>
      <c r="I38" s="79">
        <v>170.66</v>
      </c>
      <c r="J38" s="81">
        <f t="shared" si="0"/>
        <v>-1.999999999981128E-3</v>
      </c>
      <c r="K38" s="80"/>
      <c r="L38" s="186">
        <f t="shared" si="8"/>
        <v>-170.65800000000002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13784.41</v>
      </c>
      <c r="S42" s="190">
        <f t="shared" si="9"/>
        <v>0</v>
      </c>
      <c r="T42" s="190">
        <f t="shared" si="9"/>
        <v>1127.98</v>
      </c>
      <c r="U42" s="190">
        <f t="shared" si="9"/>
        <v>48.619827586206902</v>
      </c>
      <c r="V42" s="190">
        <f t="shared" si="9"/>
        <v>103.38307499999999</v>
      </c>
      <c r="W42" s="190">
        <f t="shared" si="9"/>
        <v>0</v>
      </c>
      <c r="X42" s="190">
        <f t="shared" si="9"/>
        <v>28.1995</v>
      </c>
      <c r="Y42" s="190">
        <f t="shared" si="9"/>
        <v>13681.026925000002</v>
      </c>
      <c r="Z42" s="190">
        <f t="shared" si="9"/>
        <v>0</v>
      </c>
      <c r="AA42" s="190">
        <f t="shared" si="9"/>
        <v>1051.160672413793</v>
      </c>
      <c r="AB42" s="166"/>
    </row>
    <row r="43" spans="1:28" ht="15.75" x14ac:dyDescent="0.25">
      <c r="A43" s="93" t="s">
        <v>101</v>
      </c>
      <c r="B43" s="97">
        <f>+B37+B39+B41</f>
        <v>29.94</v>
      </c>
      <c r="C43" s="95"/>
      <c r="D43" s="94"/>
      <c r="E43" s="96"/>
      <c r="F43" s="94"/>
      <c r="G43" s="94"/>
      <c r="H43" s="98"/>
      <c r="I43" s="99">
        <v>29.94</v>
      </c>
      <c r="J43" s="185">
        <f t="shared" si="0"/>
        <v>0</v>
      </c>
      <c r="K43" s="99"/>
      <c r="L43" s="187">
        <f>K43-B43</f>
        <v>-29.94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170.65800000000002</v>
      </c>
      <c r="C44" s="95"/>
      <c r="D44" s="94"/>
      <c r="E44" s="96"/>
      <c r="F44" s="94"/>
      <c r="G44" s="94"/>
      <c r="H44" s="98"/>
      <c r="I44" s="99">
        <v>170.66</v>
      </c>
      <c r="J44" s="185">
        <f t="shared" si="0"/>
        <v>-1.999999999981128E-3</v>
      </c>
      <c r="K44" s="99"/>
      <c r="L44" s="187">
        <f>K44-B44</f>
        <v>-170.65800000000002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13784.41</v>
      </c>
      <c r="C46" s="116">
        <v>7.4999999999999997E-3</v>
      </c>
      <c r="D46" s="117">
        <f>B46*C46</f>
        <v>103.38307499999999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13681.026925</v>
      </c>
      <c r="H46" s="173">
        <f>B$6+1</f>
        <v>44760</v>
      </c>
      <c r="I46" s="174">
        <v>13784.41</v>
      </c>
      <c r="J46" s="81">
        <f t="shared" si="0"/>
        <v>0</v>
      </c>
      <c r="K46" s="80">
        <v>14281.13</v>
      </c>
      <c r="L46" s="186">
        <f>K46-G46</f>
        <v>600.10307499999908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264.12</v>
      </c>
      <c r="C48" s="116">
        <v>7.4999999999999997E-3</v>
      </c>
      <c r="D48" s="117">
        <f t="shared" si="18"/>
        <v>1.9808999999999999</v>
      </c>
      <c r="E48" s="172">
        <v>0</v>
      </c>
      <c r="F48" s="117">
        <f t="shared" si="16"/>
        <v>0</v>
      </c>
      <c r="G48" s="117">
        <f t="shared" si="17"/>
        <v>262.13909999999998</v>
      </c>
      <c r="H48" s="173">
        <f t="shared" ref="H48:H61" si="20">B$6+1</f>
        <v>44760</v>
      </c>
      <c r="I48" s="176">
        <v>264.12</v>
      </c>
      <c r="J48" s="81">
        <f t="shared" si="0"/>
        <v>0</v>
      </c>
      <c r="K48" s="80"/>
      <c r="L48" s="186">
        <f t="shared" si="19"/>
        <v>262.13909999999998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213</v>
      </c>
      <c r="B49" s="117">
        <f>R75</f>
        <v>2080.0600000000004</v>
      </c>
      <c r="C49" s="116">
        <v>7.4999999999999997E-3</v>
      </c>
      <c r="D49" s="117">
        <f t="shared" si="18"/>
        <v>15.600450000000002</v>
      </c>
      <c r="E49" s="172">
        <v>0</v>
      </c>
      <c r="F49" s="117">
        <f t="shared" si="16"/>
        <v>0</v>
      </c>
      <c r="G49" s="117">
        <f t="shared" si="17"/>
        <v>2064.4595500000005</v>
      </c>
      <c r="H49" s="173">
        <f t="shared" si="20"/>
        <v>44760</v>
      </c>
      <c r="I49" s="176">
        <v>1705.06</v>
      </c>
      <c r="J49" s="81">
        <f t="shared" si="0"/>
        <v>375.00000000000045</v>
      </c>
      <c r="K49" s="80"/>
      <c r="L49" s="186">
        <f t="shared" si="19"/>
        <v>2064.4595500000005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1241.7</v>
      </c>
      <c r="C50" s="116">
        <v>7.4999999999999997E-3</v>
      </c>
      <c r="D50" s="117">
        <f t="shared" si="18"/>
        <v>9.3127499999999994</v>
      </c>
      <c r="E50" s="172">
        <v>0</v>
      </c>
      <c r="F50" s="117">
        <f t="shared" si="16"/>
        <v>0</v>
      </c>
      <c r="G50" s="117">
        <f t="shared" si="17"/>
        <v>1232.38725</v>
      </c>
      <c r="H50" s="173">
        <f t="shared" si="20"/>
        <v>44760</v>
      </c>
      <c r="I50" s="175"/>
      <c r="J50" s="81">
        <f t="shared" si="0"/>
        <v>1241.7</v>
      </c>
      <c r="K50" s="80"/>
      <c r="L50" s="186">
        <f>K50-G50</f>
        <v>-1232.38725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181.16</v>
      </c>
      <c r="C51" s="116">
        <v>1.4999999999999999E-2</v>
      </c>
      <c r="D51" s="117">
        <f>+B51*C51</f>
        <v>2.7174</v>
      </c>
      <c r="E51" s="172">
        <v>0</v>
      </c>
      <c r="F51" s="117">
        <f>D51*E51</f>
        <v>0</v>
      </c>
      <c r="G51" s="117">
        <f t="shared" si="17"/>
        <v>178.4426</v>
      </c>
      <c r="H51" s="173">
        <f t="shared" si="20"/>
        <v>44760</v>
      </c>
      <c r="I51" s="175">
        <v>1422.86</v>
      </c>
      <c r="J51" s="81">
        <f t="shared" si="0"/>
        <v>-1241.6999999999998</v>
      </c>
      <c r="K51" s="80"/>
      <c r="L51" s="186">
        <f>K51-G51</f>
        <v>-178.4426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1127.98</v>
      </c>
      <c r="C52" s="116">
        <v>2.5000000000000001E-2</v>
      </c>
      <c r="D52" s="117">
        <f>B52*C52</f>
        <v>28.1995</v>
      </c>
      <c r="E52" s="172">
        <v>0.05</v>
      </c>
      <c r="F52" s="117">
        <f>(B52/E$10)*E52</f>
        <v>48.619827586206902</v>
      </c>
      <c r="G52" s="117">
        <f>B52-D52-F52</f>
        <v>1051.1606724137932</v>
      </c>
      <c r="H52" s="188">
        <f t="shared" si="20"/>
        <v>44760</v>
      </c>
      <c r="I52" s="176">
        <v>1127.98</v>
      </c>
      <c r="J52" s="81">
        <f t="shared" si="0"/>
        <v>0</v>
      </c>
      <c r="K52" s="80">
        <v>487.59</v>
      </c>
      <c r="L52" s="186">
        <f>K52-G52</f>
        <v>-563.57067241379332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44760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44760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44760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209</v>
      </c>
      <c r="B56" s="117">
        <f>T75</f>
        <v>140.35</v>
      </c>
      <c r="C56" s="116">
        <v>2.5000000000000001E-2</v>
      </c>
      <c r="D56" s="117">
        <f t="shared" si="21"/>
        <v>3.50875</v>
      </c>
      <c r="E56" s="172">
        <v>0.05</v>
      </c>
      <c r="F56" s="117">
        <f t="shared" si="22"/>
        <v>6.049568965517242</v>
      </c>
      <c r="G56" s="117">
        <f t="shared" si="23"/>
        <v>130.79168103448276</v>
      </c>
      <c r="H56" s="173">
        <f t="shared" si="20"/>
        <v>44760</v>
      </c>
      <c r="I56" s="176">
        <v>140.35</v>
      </c>
      <c r="J56" s="81">
        <f t="shared" si="0"/>
        <v>0</v>
      </c>
      <c r="K56" s="80"/>
      <c r="L56" s="186">
        <f t="shared" si="19"/>
        <v>130.79168103448276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164.70282499999999</v>
      </c>
      <c r="E61" s="177"/>
      <c r="F61" s="57">
        <f>SUM(F46:F58)</f>
        <v>54.669396551724148</v>
      </c>
      <c r="G61" s="57">
        <f>SUM(G46:G58)</f>
        <v>18600.407778448276</v>
      </c>
      <c r="H61" s="173">
        <f t="shared" si="20"/>
        <v>44760</v>
      </c>
      <c r="I61" s="175"/>
      <c r="J61" s="81">
        <f t="shared" si="0"/>
        <v>0</v>
      </c>
      <c r="K61" s="80"/>
      <c r="L61" s="186">
        <f t="shared" si="19"/>
        <v>18600.407778448276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375</v>
      </c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375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241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37200.815556896552</v>
      </c>
      <c r="H64" s="184"/>
      <c r="I64" s="175"/>
      <c r="J64" s="81">
        <f t="shared" si="0"/>
        <v>0</v>
      </c>
      <c r="K64" s="80"/>
      <c r="L64" s="186">
        <f t="shared" si="19"/>
        <v>37200.815556896552</v>
      </c>
      <c r="M64" s="130"/>
      <c r="N64" s="87">
        <v>1</v>
      </c>
      <c r="O64" s="122" t="s">
        <v>221</v>
      </c>
      <c r="P64" s="87"/>
      <c r="Q64" s="87"/>
      <c r="R64" s="87">
        <f>20+24.68</f>
        <v>44.68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0.33510000000000001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44.344900000000003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37070.889000000003</v>
      </c>
      <c r="G65" s="22"/>
      <c r="L65" s="132"/>
      <c r="M65" s="131"/>
      <c r="N65" s="87">
        <v>2</v>
      </c>
      <c r="O65" s="122" t="s">
        <v>260</v>
      </c>
      <c r="P65" s="87">
        <v>16681</v>
      </c>
      <c r="Q65" s="87"/>
      <c r="R65" s="137">
        <v>62.91</v>
      </c>
      <c r="S65" s="87"/>
      <c r="T65" s="87"/>
      <c r="U65" s="189">
        <f t="shared" si="28"/>
        <v>0</v>
      </c>
      <c r="V65" s="189">
        <f t="shared" si="29"/>
        <v>0.47182499999999994</v>
      </c>
      <c r="W65" s="189">
        <f t="shared" si="30"/>
        <v>0</v>
      </c>
      <c r="X65" s="189">
        <f t="shared" si="31"/>
        <v>0</v>
      </c>
      <c r="Y65" s="189">
        <f t="shared" si="32"/>
        <v>62.438174999999994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260</v>
      </c>
      <c r="P66" s="87"/>
      <c r="Q66" s="87"/>
      <c r="R66" s="137">
        <f>5+0.8</f>
        <v>5.8</v>
      </c>
      <c r="S66" s="87"/>
      <c r="T66" s="87"/>
      <c r="U66" s="189">
        <f t="shared" si="28"/>
        <v>0</v>
      </c>
      <c r="V66" s="189">
        <f t="shared" si="29"/>
        <v>4.3499999999999997E-2</v>
      </c>
      <c r="W66" s="189">
        <f t="shared" si="30"/>
        <v>0</v>
      </c>
      <c r="X66" s="189">
        <f t="shared" si="31"/>
        <v>0</v>
      </c>
      <c r="Y66" s="189">
        <f t="shared" si="32"/>
        <v>5.7565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87"/>
      <c r="R67" s="87">
        <v>22.48</v>
      </c>
      <c r="S67" s="87"/>
      <c r="T67" s="87"/>
      <c r="U67" s="189">
        <f t="shared" si="28"/>
        <v>0</v>
      </c>
      <c r="V67" s="189">
        <f t="shared" si="29"/>
        <v>0.1686</v>
      </c>
      <c r="W67" s="189">
        <f t="shared" si="30"/>
        <v>0</v>
      </c>
      <c r="X67" s="189">
        <f t="shared" si="31"/>
        <v>0</v>
      </c>
      <c r="Y67" s="189">
        <f t="shared" si="32"/>
        <v>22.311399999999999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36551.360000000001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>
        <v>128.25</v>
      </c>
      <c r="S68" s="87"/>
      <c r="T68" s="87"/>
      <c r="U68" s="189">
        <f t="shared" si="28"/>
        <v>0</v>
      </c>
      <c r="V68" s="189">
        <f t="shared" si="29"/>
        <v>0.96187499999999992</v>
      </c>
      <c r="W68" s="189">
        <f t="shared" si="30"/>
        <v>0</v>
      </c>
      <c r="X68" s="189">
        <f t="shared" si="31"/>
        <v>0</v>
      </c>
      <c r="Y68" s="189">
        <f t="shared" si="32"/>
        <v>127.28812499999999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36995.19</v>
      </c>
      <c r="C69" s="59"/>
      <c r="F69" s="87" t="s">
        <v>127</v>
      </c>
      <c r="G69" s="22"/>
      <c r="H69" s="89"/>
      <c r="I69" s="136"/>
      <c r="J69" s="136">
        <f>K52</f>
        <v>487.59</v>
      </c>
      <c r="N69" s="301" t="s">
        <v>108</v>
      </c>
      <c r="O69" s="301"/>
      <c r="P69" s="302"/>
      <c r="Q69" s="302"/>
      <c r="R69" s="192">
        <f>SUM(R64:R68)</f>
        <v>264.12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1.9808999999999997</v>
      </c>
      <c r="W69" s="192">
        <f t="shared" si="34"/>
        <v>0</v>
      </c>
      <c r="X69" s="192">
        <f t="shared" si="34"/>
        <v>0</v>
      </c>
      <c r="Y69" s="192">
        <f t="shared" si="34"/>
        <v>262.13909999999998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-443.83000000000175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87">
        <v>10</v>
      </c>
      <c r="Q70" s="87">
        <v>2001</v>
      </c>
      <c r="R70" s="137">
        <v>363.89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2.7291749999999997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361.16082499999999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75.699000000000524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487.59</v>
      </c>
      <c r="N71" s="87">
        <v>2</v>
      </c>
      <c r="O71" s="122" t="s">
        <v>217</v>
      </c>
      <c r="P71" s="87" t="s">
        <v>274</v>
      </c>
      <c r="Q71" s="87">
        <v>2001</v>
      </c>
      <c r="R71" s="137">
        <v>286.54000000000002</v>
      </c>
      <c r="S71" s="87"/>
      <c r="T71" s="137">
        <v>121.75</v>
      </c>
      <c r="U71" s="189">
        <f t="shared" si="35"/>
        <v>5.2478448275862073</v>
      </c>
      <c r="V71" s="189">
        <f t="shared" si="36"/>
        <v>2.1490499999999999</v>
      </c>
      <c r="W71" s="189">
        <f t="shared" si="37"/>
        <v>0</v>
      </c>
      <c r="X71" s="189">
        <f t="shared" si="38"/>
        <v>3.0437500000000002</v>
      </c>
      <c r="Y71" s="189">
        <f t="shared" si="39"/>
        <v>284.39095000000003</v>
      </c>
      <c r="Z71" s="189">
        <f t="shared" si="39"/>
        <v>0</v>
      </c>
      <c r="AA71" s="189">
        <f t="shared" si="40"/>
        <v>113.45840517241379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87" t="s">
        <v>275</v>
      </c>
      <c r="Q72" s="87">
        <v>1001</v>
      </c>
      <c r="R72" s="87">
        <v>1054.6300000000001</v>
      </c>
      <c r="S72" s="87"/>
      <c r="T72" s="87">
        <v>18.600000000000001</v>
      </c>
      <c r="U72" s="189">
        <f t="shared" si="35"/>
        <v>0.80172413793103459</v>
      </c>
      <c r="V72" s="189">
        <f t="shared" si="36"/>
        <v>7.9097250000000008</v>
      </c>
      <c r="W72" s="189">
        <f t="shared" si="37"/>
        <v>0</v>
      </c>
      <c r="X72" s="189">
        <f t="shared" si="38"/>
        <v>0.46500000000000008</v>
      </c>
      <c r="Y72" s="189">
        <f t="shared" si="39"/>
        <v>1046.7202750000001</v>
      </c>
      <c r="Z72" s="189">
        <f t="shared" si="39"/>
        <v>0</v>
      </c>
      <c r="AA72" s="189">
        <f t="shared" si="40"/>
        <v>17.333275862068966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247</v>
      </c>
      <c r="P73" s="87"/>
      <c r="Q73" s="87"/>
      <c r="R73" s="137"/>
      <c r="S73" s="87"/>
      <c r="T73" s="13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254</v>
      </c>
      <c r="P74" s="87"/>
      <c r="Q74" s="87"/>
      <c r="R74" s="137">
        <f>95+25+85+80+20+70</f>
        <v>375</v>
      </c>
      <c r="S74" s="87"/>
      <c r="T74" s="87"/>
      <c r="U74" s="189">
        <f t="shared" si="35"/>
        <v>0</v>
      </c>
      <c r="V74" s="189">
        <f t="shared" si="36"/>
        <v>2.8125</v>
      </c>
      <c r="W74" s="189">
        <f t="shared" si="37"/>
        <v>0</v>
      </c>
      <c r="X74" s="189">
        <f t="shared" si="38"/>
        <v>0</v>
      </c>
      <c r="Y74" s="189">
        <f t="shared" si="39"/>
        <v>372.1875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2080.0600000000004</v>
      </c>
      <c r="S75" s="192"/>
      <c r="T75" s="192">
        <f>SUM(T70:T74)</f>
        <v>140.35</v>
      </c>
      <c r="U75" s="192">
        <f>SUM(U70:U74)</f>
        <v>6.049568965517242</v>
      </c>
      <c r="V75" s="192">
        <f t="shared" ref="V75:AA75" si="42">SUM(V70:V74)</f>
        <v>15.60045</v>
      </c>
      <c r="W75" s="192">
        <f t="shared" si="42"/>
        <v>0</v>
      </c>
      <c r="X75" s="192">
        <f t="shared" si="42"/>
        <v>3.50875</v>
      </c>
      <c r="Y75" s="192">
        <f t="shared" si="42"/>
        <v>2064.45955</v>
      </c>
      <c r="Z75" s="192">
        <f t="shared" si="42"/>
        <v>0</v>
      </c>
      <c r="AA75" s="193">
        <f t="shared" si="42"/>
        <v>130.79168103448276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34.299999999999997</v>
      </c>
      <c r="Q78" s="87">
        <v>21.87</v>
      </c>
      <c r="R78" s="82">
        <v>7.4999999999999997E-3</v>
      </c>
      <c r="S78" s="194">
        <f>+(P78+Q78)*R78</f>
        <v>0.42127500000000001</v>
      </c>
      <c r="T78" s="254">
        <f>+(P78+Q78)-S78</f>
        <v>55.748725</v>
      </c>
      <c r="U78" s="211">
        <v>23.11</v>
      </c>
      <c r="V78" s="112"/>
      <c r="W78" s="113">
        <v>1.4999999999999999E-2</v>
      </c>
      <c r="X78" s="196">
        <f>+(U78+V78)*W78</f>
        <v>0.34664999999999996</v>
      </c>
      <c r="Y78" s="254">
        <f>+(U78+V78)-X78</f>
        <v>22.763349999999999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>
        <v>81.8</v>
      </c>
      <c r="Q79" s="87">
        <v>57.47</v>
      </c>
      <c r="R79" s="82">
        <v>7.4999999999999997E-3</v>
      </c>
      <c r="S79" s="194">
        <f t="shared" ref="S79:S97" si="44">+(P79+Q79)*R79</f>
        <v>1.0445249999999999</v>
      </c>
      <c r="T79" s="254">
        <f t="shared" ref="T79:T97" si="45">+(P79+Q79)-S79</f>
        <v>138.22547499999999</v>
      </c>
      <c r="U79" s="211">
        <v>41.7</v>
      </c>
      <c r="V79" s="112"/>
      <c r="W79" s="113">
        <v>1.4999999999999999E-2</v>
      </c>
      <c r="X79" s="196">
        <f t="shared" ref="X79:X97" si="46">+(U79+V79)*W79</f>
        <v>0.62550000000000006</v>
      </c>
      <c r="Y79" s="254">
        <f t="shared" ref="Y79:Y97" si="47">+(U79+V79)-X79</f>
        <v>41.0745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>
        <v>103.2</v>
      </c>
      <c r="Q80" s="87">
        <v>35.57</v>
      </c>
      <c r="R80" s="82">
        <v>7.4999999999999997E-3</v>
      </c>
      <c r="S80" s="194">
        <f t="shared" si="44"/>
        <v>1.040775</v>
      </c>
      <c r="T80" s="219">
        <f t="shared" si="45"/>
        <v>137.72922500000001</v>
      </c>
      <c r="U80" s="211">
        <v>18</v>
      </c>
      <c r="V80" s="112"/>
      <c r="W80" s="113">
        <v>1.4999999999999999E-2</v>
      </c>
      <c r="X80" s="196">
        <f t="shared" si="46"/>
        <v>0.27</v>
      </c>
      <c r="Y80" s="254">
        <f t="shared" si="47"/>
        <v>17.73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54.46</v>
      </c>
      <c r="Q81" s="87">
        <v>30.27</v>
      </c>
      <c r="R81" s="82">
        <v>7.4999999999999997E-3</v>
      </c>
      <c r="S81" s="194">
        <f t="shared" si="44"/>
        <v>0.63547500000000001</v>
      </c>
      <c r="T81" s="219">
        <f t="shared" si="45"/>
        <v>84.094525000000004</v>
      </c>
      <c r="U81" s="211">
        <v>8.24</v>
      </c>
      <c r="V81" s="112"/>
      <c r="W81" s="113">
        <v>1.4999999999999999E-2</v>
      </c>
      <c r="X81" s="196">
        <f t="shared" si="46"/>
        <v>0.1236</v>
      </c>
      <c r="Y81" s="254">
        <f t="shared" si="47"/>
        <v>8.1164000000000005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178.07</v>
      </c>
      <c r="Q82" s="87">
        <v>83.94</v>
      </c>
      <c r="R82" s="82">
        <v>7.4999999999999997E-3</v>
      </c>
      <c r="S82" s="194">
        <f t="shared" si="44"/>
        <v>1.9650749999999999</v>
      </c>
      <c r="T82" s="219">
        <f t="shared" si="45"/>
        <v>260.04492499999998</v>
      </c>
      <c r="U82" s="112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98.97</v>
      </c>
      <c r="Q83" s="87">
        <v>2.59</v>
      </c>
      <c r="R83" s="82">
        <v>7.4999999999999997E-3</v>
      </c>
      <c r="S83" s="194">
        <f t="shared" si="44"/>
        <v>0.76170000000000004</v>
      </c>
      <c r="T83" s="219">
        <f t="shared" si="45"/>
        <v>100.7983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88.63</v>
      </c>
      <c r="Q84" s="87">
        <v>54.73</v>
      </c>
      <c r="R84" s="82">
        <v>7.4999999999999997E-3</v>
      </c>
      <c r="S84" s="194">
        <f t="shared" si="44"/>
        <v>1.0751999999999999</v>
      </c>
      <c r="T84" s="219">
        <f>+(P84+Q84)-S84</f>
        <v>142.28479999999999</v>
      </c>
      <c r="U84" s="112"/>
      <c r="V84" s="112"/>
      <c r="W84" s="113">
        <v>1.4999999999999999E-2</v>
      </c>
      <c r="X84" s="196">
        <f t="shared" si="46"/>
        <v>0</v>
      </c>
      <c r="Y84" s="217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>
        <v>6.86</v>
      </c>
      <c r="V85" s="112"/>
      <c r="W85" s="113">
        <v>1.4999999999999999E-2</v>
      </c>
      <c r="X85" s="196">
        <f t="shared" si="46"/>
        <v>0.10290000000000001</v>
      </c>
      <c r="Y85" s="217">
        <f t="shared" si="47"/>
        <v>6.7571000000000003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230.21</v>
      </c>
      <c r="Q86" s="87">
        <v>85.62</v>
      </c>
      <c r="R86" s="82">
        <v>7.4999999999999997E-3</v>
      </c>
      <c r="S86" s="194">
        <f t="shared" si="44"/>
        <v>2.3687250000000004</v>
      </c>
      <c r="T86" s="219">
        <f t="shared" si="45"/>
        <v>313.46127500000006</v>
      </c>
      <c r="U86" s="211">
        <v>83.25</v>
      </c>
      <c r="V86" s="112"/>
      <c r="W86" s="113">
        <v>1.4999999999999999E-2</v>
      </c>
      <c r="X86" s="196">
        <f t="shared" si="46"/>
        <v>1.24875</v>
      </c>
      <c r="Y86" s="217">
        <f>+(U86+V86)-X86</f>
        <v>82.001249999999999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869.64</v>
      </c>
      <c r="Q98" s="195">
        <f>SUM(Q78:Q97)</f>
        <v>372.06</v>
      </c>
      <c r="R98" s="111"/>
      <c r="S98" s="195">
        <f>SUM(S78:S97)</f>
        <v>9.3127500000000012</v>
      </c>
      <c r="T98" s="195">
        <f>SUM(T78:T97)</f>
        <v>1232.3872500000002</v>
      </c>
      <c r="U98" s="114">
        <f>SUM(U78:U97)</f>
        <v>181.16</v>
      </c>
      <c r="V98" s="114">
        <f>SUM(V78:V97)</f>
        <v>0</v>
      </c>
      <c r="W98" s="112"/>
      <c r="X98" s="197">
        <f>SUM(X78:X97)</f>
        <v>2.7174</v>
      </c>
      <c r="Y98" s="197">
        <f>SUM(Y78:Y97)</f>
        <v>178.4426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79.28</v>
      </c>
    </row>
    <row r="101" spans="14:30" x14ac:dyDescent="0.25">
      <c r="N101" s="85"/>
      <c r="R101" s="215">
        <f t="shared" ref="R101:R105" si="51">P79+Q79+U79</f>
        <v>180.96999999999997</v>
      </c>
    </row>
    <row r="102" spans="14:30" x14ac:dyDescent="0.25">
      <c r="N102" s="85"/>
      <c r="R102" s="215">
        <f>P80+Q80+U80</f>
        <v>156.77000000000001</v>
      </c>
    </row>
    <row r="103" spans="14:30" x14ac:dyDescent="0.25">
      <c r="N103" s="85"/>
      <c r="R103" s="215">
        <f>P81+Q81+U81</f>
        <v>92.97</v>
      </c>
    </row>
    <row r="104" spans="14:30" x14ac:dyDescent="0.25">
      <c r="N104" s="85"/>
      <c r="R104" s="215">
        <f t="shared" si="51"/>
        <v>262.01</v>
      </c>
    </row>
    <row r="105" spans="14:30" x14ac:dyDescent="0.25">
      <c r="N105" s="85"/>
      <c r="R105" s="218">
        <f t="shared" si="51"/>
        <v>101.56</v>
      </c>
    </row>
    <row r="106" spans="14:30" x14ac:dyDescent="0.25">
      <c r="N106" s="85"/>
      <c r="R106" s="246">
        <f>P84+Q84+U84</f>
        <v>143.35999999999999</v>
      </c>
    </row>
    <row r="107" spans="14:30" x14ac:dyDescent="0.25">
      <c r="N107" s="85"/>
      <c r="R107" s="241">
        <f>P85+Q85+U85</f>
        <v>6.86</v>
      </c>
    </row>
    <row r="108" spans="14:30" x14ac:dyDescent="0.25">
      <c r="N108" s="85"/>
      <c r="R108" s="233">
        <f>P86+Q86+U86</f>
        <v>399.08000000000004</v>
      </c>
    </row>
    <row r="109" spans="14:30" x14ac:dyDescent="0.25">
      <c r="N109" s="85"/>
      <c r="R109" s="84">
        <f>P87+Q87+U87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3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44760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5.78</v>
      </c>
    </row>
    <row r="9" spans="1:28" x14ac:dyDescent="0.25">
      <c r="A9" s="7" t="s">
        <v>76</v>
      </c>
      <c r="B9" s="108">
        <v>5.75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1715.5</v>
      </c>
      <c r="C12" s="15"/>
      <c r="D12" s="56"/>
      <c r="E12" s="16"/>
      <c r="F12" s="56"/>
      <c r="G12" s="56"/>
      <c r="H12" s="17"/>
      <c r="I12" s="83">
        <v>1715.5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182</v>
      </c>
      <c r="Q12" s="158">
        <v>11</v>
      </c>
      <c r="R12" s="159">
        <v>1315.91</v>
      </c>
      <c r="S12" s="160"/>
      <c r="T12" s="160"/>
      <c r="U12" s="189">
        <f>((T12/U$10)*U$9)</f>
        <v>0</v>
      </c>
      <c r="V12" s="189">
        <f>R12*V$10</f>
        <v>9.8693249999999999</v>
      </c>
      <c r="W12" s="189">
        <f>+S12*V$10</f>
        <v>0</v>
      </c>
      <c r="X12" s="189">
        <f>+T12*X$10</f>
        <v>0</v>
      </c>
      <c r="Y12" s="189">
        <f>R12-V12</f>
        <v>1306.0406750000002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1244</v>
      </c>
      <c r="C13" s="15"/>
      <c r="D13" s="56"/>
      <c r="E13" s="16"/>
      <c r="F13" s="56"/>
      <c r="G13" s="56"/>
      <c r="H13" s="17"/>
      <c r="I13" s="83">
        <v>1244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563</v>
      </c>
      <c r="Q13" s="158">
        <v>2</v>
      </c>
      <c r="R13" s="159">
        <v>647.58000000000004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4.8568500000000006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642.72315000000003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7090.8</v>
      </c>
      <c r="C14" s="15"/>
      <c r="D14" s="56"/>
      <c r="E14" s="16"/>
      <c r="F14" s="56"/>
      <c r="G14" s="56"/>
      <c r="H14" s="17"/>
      <c r="I14" s="83">
        <v>7090.8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564</v>
      </c>
      <c r="Q14" s="158">
        <v>2</v>
      </c>
      <c r="R14" s="159">
        <v>1853.22</v>
      </c>
      <c r="S14" s="160"/>
      <c r="T14" s="161"/>
      <c r="U14" s="189">
        <f t="shared" si="2"/>
        <v>0</v>
      </c>
      <c r="V14" s="189">
        <f t="shared" si="3"/>
        <v>13.899150000000001</v>
      </c>
      <c r="W14" s="189">
        <f t="shared" si="4"/>
        <v>0</v>
      </c>
      <c r="X14" s="189">
        <f t="shared" si="5"/>
        <v>0</v>
      </c>
      <c r="Y14" s="189">
        <f t="shared" si="6"/>
        <v>1839.3208500000001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545</v>
      </c>
      <c r="Q15" s="158">
        <v>4</v>
      </c>
      <c r="R15" s="159">
        <v>1792.1</v>
      </c>
      <c r="S15" s="160"/>
      <c r="T15" s="161">
        <v>14.54</v>
      </c>
      <c r="U15" s="189">
        <f t="shared" si="2"/>
        <v>0.62672413793103454</v>
      </c>
      <c r="V15" s="189">
        <f t="shared" si="3"/>
        <v>13.44075</v>
      </c>
      <c r="W15" s="189">
        <f t="shared" si="4"/>
        <v>0</v>
      </c>
      <c r="X15" s="189">
        <f t="shared" si="5"/>
        <v>0.36349999999999999</v>
      </c>
      <c r="Y15" s="189">
        <f t="shared" si="6"/>
        <v>1778.6592499999999</v>
      </c>
      <c r="Z15" s="189">
        <f t="shared" si="6"/>
        <v>0</v>
      </c>
      <c r="AA15" s="189">
        <f t="shared" si="7"/>
        <v>13.549775862068964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195</v>
      </c>
      <c r="Q16" s="158">
        <v>10</v>
      </c>
      <c r="R16" s="159">
        <v>292.87</v>
      </c>
      <c r="S16" s="160"/>
      <c r="T16" s="161">
        <v>11.13</v>
      </c>
      <c r="U16" s="189">
        <f t="shared" si="2"/>
        <v>0.47974137931034494</v>
      </c>
      <c r="V16" s="189">
        <f t="shared" si="3"/>
        <v>2.1965249999999998</v>
      </c>
      <c r="W16" s="189">
        <f t="shared" si="4"/>
        <v>0</v>
      </c>
      <c r="X16" s="189">
        <f t="shared" si="5"/>
        <v>0.27825000000000005</v>
      </c>
      <c r="Y16" s="189">
        <f t="shared" si="6"/>
        <v>290.673475</v>
      </c>
      <c r="Z16" s="189">
        <f t="shared" si="6"/>
        <v>0</v>
      </c>
      <c r="AA16" s="189">
        <f t="shared" si="7"/>
        <v>10.372008620689655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196</v>
      </c>
      <c r="Q17" s="158">
        <v>10</v>
      </c>
      <c r="R17" s="159">
        <v>812.66</v>
      </c>
      <c r="S17" s="160"/>
      <c r="T17" s="161">
        <v>10.85</v>
      </c>
      <c r="U17" s="189">
        <f t="shared" si="2"/>
        <v>0.46767241379310348</v>
      </c>
      <c r="V17" s="189">
        <f t="shared" si="3"/>
        <v>6.0949499999999999</v>
      </c>
      <c r="W17" s="189">
        <f t="shared" si="4"/>
        <v>0</v>
      </c>
      <c r="X17" s="189">
        <f t="shared" si="5"/>
        <v>0.27124999999999999</v>
      </c>
      <c r="Y17" s="189">
        <f t="shared" si="6"/>
        <v>806.56504999999993</v>
      </c>
      <c r="Z17" s="189">
        <f t="shared" si="6"/>
        <v>0</v>
      </c>
      <c r="AA17" s="189">
        <f t="shared" si="7"/>
        <v>10.111077586206896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629</v>
      </c>
      <c r="Q18" s="158">
        <v>18</v>
      </c>
      <c r="R18" s="159">
        <v>226.88</v>
      </c>
      <c r="S18" s="160"/>
      <c r="T18" s="161"/>
      <c r="U18" s="189">
        <f t="shared" si="2"/>
        <v>0</v>
      </c>
      <c r="V18" s="189">
        <f t="shared" si="3"/>
        <v>1.7016</v>
      </c>
      <c r="W18" s="189">
        <f t="shared" si="4"/>
        <v>0</v>
      </c>
      <c r="X18" s="189">
        <f t="shared" si="5"/>
        <v>0</v>
      </c>
      <c r="Y18" s="189">
        <f t="shared" si="6"/>
        <v>225.17839999999998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1244</v>
      </c>
      <c r="C19" s="95"/>
      <c r="D19" s="94"/>
      <c r="E19" s="96"/>
      <c r="F19" s="94"/>
      <c r="G19" s="94"/>
      <c r="H19" s="98"/>
      <c r="I19" s="99">
        <v>1244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630</v>
      </c>
      <c r="Q19" s="158">
        <v>18</v>
      </c>
      <c r="R19" s="159">
        <v>586.86</v>
      </c>
      <c r="S19" s="160"/>
      <c r="T19" s="161">
        <v>46.59</v>
      </c>
      <c r="U19" s="189">
        <f t="shared" si="2"/>
        <v>2.0081896551724143</v>
      </c>
      <c r="V19" s="189">
        <f t="shared" si="3"/>
        <v>4.4014499999999996</v>
      </c>
      <c r="W19" s="189">
        <f t="shared" si="4"/>
        <v>0</v>
      </c>
      <c r="X19" s="189">
        <f t="shared" si="5"/>
        <v>1.1647500000000002</v>
      </c>
      <c r="Y19" s="189">
        <f t="shared" si="6"/>
        <v>582.45855000000006</v>
      </c>
      <c r="Z19" s="189">
        <f t="shared" si="6"/>
        <v>0</v>
      </c>
      <c r="AA19" s="189">
        <f t="shared" si="7"/>
        <v>43.41706034482759</v>
      </c>
      <c r="AB19" s="156"/>
    </row>
    <row r="20" spans="1:28" ht="15.75" x14ac:dyDescent="0.25">
      <c r="A20" s="93" t="s">
        <v>80</v>
      </c>
      <c r="B20" s="97">
        <f>+B14+B16+B18</f>
        <v>7090.8</v>
      </c>
      <c r="C20" s="95"/>
      <c r="D20" s="94"/>
      <c r="E20" s="96"/>
      <c r="F20" s="94"/>
      <c r="G20" s="94"/>
      <c r="H20" s="98"/>
      <c r="I20" s="99">
        <v>7090.8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100</v>
      </c>
      <c r="C21" s="100"/>
      <c r="D21" s="66"/>
      <c r="E21" s="67"/>
      <c r="F21" s="66"/>
      <c r="G21" s="66"/>
      <c r="H21" s="102"/>
      <c r="I21" s="79">
        <v>100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578</v>
      </c>
      <c r="C22" s="100"/>
      <c r="D22" s="66"/>
      <c r="E22" s="67"/>
      <c r="F22" s="66"/>
      <c r="G22" s="66"/>
      <c r="H22" s="102"/>
      <c r="I22" s="79">
        <v>578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100</v>
      </c>
      <c r="C27" s="95"/>
      <c r="D27" s="94"/>
      <c r="E27" s="96"/>
      <c r="F27" s="94"/>
      <c r="G27" s="94"/>
      <c r="H27" s="98"/>
      <c r="I27" s="99">
        <v>100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578</v>
      </c>
      <c r="C28" s="95"/>
      <c r="D28" s="94"/>
      <c r="E28" s="96"/>
      <c r="F28" s="94"/>
      <c r="G28" s="94"/>
      <c r="H28" s="98"/>
      <c r="I28" s="99">
        <v>578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26.04</v>
      </c>
      <c r="C29" s="100"/>
      <c r="D29" s="66"/>
      <c r="E29" s="67"/>
      <c r="F29" s="66"/>
      <c r="G29" s="66"/>
      <c r="H29" s="102"/>
      <c r="I29" s="79">
        <v>26.04</v>
      </c>
      <c r="J29" s="81">
        <f t="shared" si="0"/>
        <v>0</v>
      </c>
      <c r="K29" s="80">
        <f>7.2+18.84</f>
        <v>26.04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148.428</v>
      </c>
      <c r="C30" s="100"/>
      <c r="D30" s="66"/>
      <c r="E30" s="67"/>
      <c r="F30" s="66"/>
      <c r="G30" s="66"/>
      <c r="H30" s="102"/>
      <c r="I30" s="79">
        <v>148.43</v>
      </c>
      <c r="J30" s="81">
        <f t="shared" si="0"/>
        <v>-2.0000000000095497E-3</v>
      </c>
      <c r="K30" s="80">
        <v>148.43</v>
      </c>
      <c r="L30" s="186">
        <f>K30-B30</f>
        <v>2.0000000000095497E-3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26.04</v>
      </c>
      <c r="C35" s="95"/>
      <c r="D35" s="94"/>
      <c r="E35" s="96"/>
      <c r="F35" s="94"/>
      <c r="G35" s="94"/>
      <c r="H35" s="98"/>
      <c r="I35" s="99">
        <v>26.04</v>
      </c>
      <c r="J35" s="185">
        <f t="shared" si="0"/>
        <v>0</v>
      </c>
      <c r="K35" s="99">
        <f>18.84+7.2</f>
        <v>26.04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148.428</v>
      </c>
      <c r="C36" s="95"/>
      <c r="D36" s="94"/>
      <c r="E36" s="96"/>
      <c r="F36" s="94"/>
      <c r="G36" s="94"/>
      <c r="H36" s="98"/>
      <c r="I36" s="99">
        <v>148.43</v>
      </c>
      <c r="J36" s="185">
        <f t="shared" si="0"/>
        <v>-2.0000000000095497E-3</v>
      </c>
      <c r="K36" s="99">
        <v>148.43</v>
      </c>
      <c r="L36" s="187">
        <f t="shared" si="8"/>
        <v>2.0000000000095497E-3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35.340000000000003</v>
      </c>
      <c r="C37" s="100"/>
      <c r="D37" s="66"/>
      <c r="E37" s="67"/>
      <c r="F37" s="66"/>
      <c r="G37" s="66"/>
      <c r="H37" s="102"/>
      <c r="I37" s="79">
        <v>35.340000000000003</v>
      </c>
      <c r="J37" s="81">
        <f t="shared" si="0"/>
        <v>0</v>
      </c>
      <c r="K37" s="80">
        <v>35.340000000000003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201.43800000000002</v>
      </c>
      <c r="C38" s="100"/>
      <c r="D38" s="66"/>
      <c r="E38" s="67"/>
      <c r="F38" s="66"/>
      <c r="G38" s="66"/>
      <c r="H38" s="102"/>
      <c r="I38" s="79">
        <v>201.44</v>
      </c>
      <c r="J38" s="81">
        <f t="shared" si="0"/>
        <v>-1.999999999981128E-3</v>
      </c>
      <c r="K38" s="80">
        <v>201.44</v>
      </c>
      <c r="L38" s="186">
        <f t="shared" si="8"/>
        <v>1.999999999981128E-3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7528.079999999999</v>
      </c>
      <c r="S42" s="190">
        <f t="shared" si="9"/>
        <v>0</v>
      </c>
      <c r="T42" s="190">
        <f t="shared" si="9"/>
        <v>83.110000000000014</v>
      </c>
      <c r="U42" s="190">
        <f t="shared" si="9"/>
        <v>3.5823275862068975</v>
      </c>
      <c r="V42" s="190">
        <f t="shared" si="9"/>
        <v>56.460599999999999</v>
      </c>
      <c r="W42" s="190">
        <f t="shared" si="9"/>
        <v>0</v>
      </c>
      <c r="X42" s="190">
        <f t="shared" si="9"/>
        <v>2.07775</v>
      </c>
      <c r="Y42" s="190">
        <f t="shared" si="9"/>
        <v>7471.6193999999996</v>
      </c>
      <c r="Z42" s="190">
        <f t="shared" si="9"/>
        <v>0</v>
      </c>
      <c r="AA42" s="190">
        <f t="shared" si="9"/>
        <v>77.449922413793104</v>
      </c>
      <c r="AB42" s="166"/>
    </row>
    <row r="43" spans="1:28" ht="15.75" x14ac:dyDescent="0.25">
      <c r="A43" s="93" t="s">
        <v>101</v>
      </c>
      <c r="B43" s="97">
        <f>+B37+B39+B41</f>
        <v>35.340000000000003</v>
      </c>
      <c r="C43" s="95"/>
      <c r="D43" s="94"/>
      <c r="E43" s="96"/>
      <c r="F43" s="94"/>
      <c r="G43" s="94"/>
      <c r="H43" s="98"/>
      <c r="I43" s="99">
        <v>35.340000000000003</v>
      </c>
      <c r="J43" s="185">
        <f t="shared" si="0"/>
        <v>0</v>
      </c>
      <c r="K43" s="99">
        <v>35.340000000000003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201.43800000000002</v>
      </c>
      <c r="C44" s="95"/>
      <c r="D44" s="94"/>
      <c r="E44" s="96"/>
      <c r="F44" s="94"/>
      <c r="G44" s="94"/>
      <c r="H44" s="98"/>
      <c r="I44" s="99">
        <v>201.44</v>
      </c>
      <c r="J44" s="185">
        <f t="shared" si="0"/>
        <v>-1.999999999981128E-3</v>
      </c>
      <c r="K44" s="99">
        <v>201.44</v>
      </c>
      <c r="L44" s="187">
        <f>K44-B44</f>
        <v>1.999999999981128E-3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7528.079999999999</v>
      </c>
      <c r="C46" s="116">
        <v>7.4999999999999997E-3</v>
      </c>
      <c r="D46" s="117">
        <f>B46*C46</f>
        <v>56.460599999999992</v>
      </c>
      <c r="E46" s="172">
        <v>0</v>
      </c>
      <c r="F46" s="117">
        <f t="shared" ref="F46:F50" si="16">D46*E46</f>
        <v>0</v>
      </c>
      <c r="G46" s="117">
        <f t="shared" ref="G46:G51" si="17">B46-D46-F46</f>
        <v>7471.6193999999987</v>
      </c>
      <c r="H46" s="173">
        <f>B$6+1</f>
        <v>44761</v>
      </c>
      <c r="I46" s="174">
        <v>7528.08</v>
      </c>
      <c r="J46" s="81">
        <f t="shared" si="0"/>
        <v>0</v>
      </c>
      <c r="K46" s="80">
        <v>7528.45</v>
      </c>
      <c r="L46" s="186">
        <f>K46-G46</f>
        <v>56.830600000001141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228.55</v>
      </c>
      <c r="C48" s="116">
        <v>7.4999999999999997E-3</v>
      </c>
      <c r="D48" s="117">
        <f t="shared" si="18"/>
        <v>1.7141250000000001</v>
      </c>
      <c r="E48" s="172">
        <v>0</v>
      </c>
      <c r="F48" s="117">
        <f t="shared" si="16"/>
        <v>0</v>
      </c>
      <c r="G48" s="117">
        <f t="shared" si="17"/>
        <v>226.83587500000002</v>
      </c>
      <c r="H48" s="173">
        <f t="shared" ref="H48:H61" si="20">B$6+1</f>
        <v>44761</v>
      </c>
      <c r="I48" s="176">
        <v>228.55</v>
      </c>
      <c r="J48" s="81">
        <f t="shared" si="0"/>
        <v>0</v>
      </c>
      <c r="K48" s="80"/>
      <c r="L48" s="186">
        <f t="shared" si="19"/>
        <v>226.83587500000002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213</v>
      </c>
      <c r="B49" s="117">
        <f>R75</f>
        <v>3181.6</v>
      </c>
      <c r="C49" s="116">
        <v>7.4999999999999997E-3</v>
      </c>
      <c r="D49" s="117">
        <f t="shared" si="18"/>
        <v>23.861999999999998</v>
      </c>
      <c r="E49" s="172">
        <v>0</v>
      </c>
      <c r="F49" s="117">
        <f t="shared" si="16"/>
        <v>0</v>
      </c>
      <c r="G49" s="117">
        <f t="shared" si="17"/>
        <v>3157.7379999999998</v>
      </c>
      <c r="H49" s="173">
        <f t="shared" si="20"/>
        <v>44761</v>
      </c>
      <c r="I49" s="176">
        <v>2874.32</v>
      </c>
      <c r="J49" s="81">
        <f t="shared" si="0"/>
        <v>307.27999999999975</v>
      </c>
      <c r="K49" s="80"/>
      <c r="L49" s="186">
        <f t="shared" si="19"/>
        <v>3157.7379999999998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1146.95</v>
      </c>
      <c r="C50" s="116">
        <v>7.4999999999999997E-3</v>
      </c>
      <c r="D50" s="117">
        <f t="shared" si="18"/>
        <v>8.6021250000000009</v>
      </c>
      <c r="E50" s="172">
        <v>0</v>
      </c>
      <c r="F50" s="117">
        <f t="shared" si="16"/>
        <v>0</v>
      </c>
      <c r="G50" s="117">
        <f t="shared" si="17"/>
        <v>1138.3478749999999</v>
      </c>
      <c r="H50" s="173">
        <f t="shared" si="20"/>
        <v>44761</v>
      </c>
      <c r="I50" s="175">
        <f>1410.64</f>
        <v>1410.64</v>
      </c>
      <c r="J50" s="81">
        <f t="shared" si="0"/>
        <v>-263.69000000000005</v>
      </c>
      <c r="K50" s="80">
        <v>1138.3499999999999</v>
      </c>
      <c r="L50" s="186">
        <f t="shared" si="19"/>
        <v>-2.1249999999781721E-3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206.07999999999998</v>
      </c>
      <c r="C51" s="116">
        <v>1.4999999999999999E-2</v>
      </c>
      <c r="D51" s="117">
        <f>+B51*C51</f>
        <v>3.0911999999999997</v>
      </c>
      <c r="E51" s="172">
        <v>0</v>
      </c>
      <c r="F51" s="117">
        <f>D51*E51</f>
        <v>0</v>
      </c>
      <c r="G51" s="117">
        <f t="shared" si="17"/>
        <v>202.9888</v>
      </c>
      <c r="H51" s="173">
        <f t="shared" si="20"/>
        <v>44761</v>
      </c>
      <c r="I51" s="175"/>
      <c r="J51" s="81">
        <f t="shared" si="0"/>
        <v>206.07999999999998</v>
      </c>
      <c r="K51" s="80">
        <v>202.99</v>
      </c>
      <c r="L51" s="186">
        <f t="shared" si="19"/>
        <v>-1.2000000000114142E-3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83.110000000000014</v>
      </c>
      <c r="C52" s="116">
        <v>2.5000000000000001E-2</v>
      </c>
      <c r="D52" s="117">
        <f>B52*C52</f>
        <v>2.0777500000000004</v>
      </c>
      <c r="E52" s="172">
        <v>0.05</v>
      </c>
      <c r="F52" s="117">
        <f>(B52/E$10)*E52</f>
        <v>3.5823275862068975</v>
      </c>
      <c r="G52" s="117">
        <f>B52-D52-F52</f>
        <v>77.449922413793118</v>
      </c>
      <c r="H52" s="188">
        <f t="shared" si="20"/>
        <v>44761</v>
      </c>
      <c r="I52" s="176">
        <v>83.11</v>
      </c>
      <c r="J52" s="81">
        <f t="shared" si="0"/>
        <v>0</v>
      </c>
      <c r="K52" s="80">
        <v>23.92</v>
      </c>
      <c r="L52" s="186">
        <f>K52-G52</f>
        <v>-53.529922413793116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44761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44761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44761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74.599999999999994</v>
      </c>
      <c r="C56" s="116">
        <v>2.5000000000000001E-2</v>
      </c>
      <c r="D56" s="117">
        <f t="shared" si="21"/>
        <v>1.865</v>
      </c>
      <c r="E56" s="172">
        <v>0.05</v>
      </c>
      <c r="F56" s="117">
        <f t="shared" si="22"/>
        <v>3.2155172413793105</v>
      </c>
      <c r="G56" s="117">
        <f t="shared" si="23"/>
        <v>69.519482758620683</v>
      </c>
      <c r="H56" s="173">
        <f t="shared" si="20"/>
        <v>44761</v>
      </c>
      <c r="I56" s="176">
        <v>74.599999999999994</v>
      </c>
      <c r="J56" s="81">
        <f t="shared" si="0"/>
        <v>0</v>
      </c>
      <c r="K56" s="80"/>
      <c r="L56" s="186">
        <f t="shared" si="19"/>
        <v>69.519482758620683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97.672799999999981</v>
      </c>
      <c r="E61" s="177"/>
      <c r="F61" s="57">
        <f>SUM(F46:F58)</f>
        <v>6.797844827586208</v>
      </c>
      <c r="G61" s="57">
        <f>SUM(G46:G58)</f>
        <v>12344.499355172409</v>
      </c>
      <c r="H61" s="173">
        <f t="shared" si="20"/>
        <v>44761</v>
      </c>
      <c r="I61" s="175"/>
      <c r="J61" s="81">
        <f t="shared" si="0"/>
        <v>0</v>
      </c>
      <c r="K61" s="80"/>
      <c r="L61" s="186">
        <f t="shared" si="19"/>
        <v>12344.499355172409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305</v>
      </c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305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259</v>
      </c>
      <c r="B63" s="144">
        <v>18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24688.998710344818</v>
      </c>
      <c r="H64" s="184"/>
      <c r="I64" s="175"/>
      <c r="J64" s="81">
        <f t="shared" si="0"/>
        <v>0</v>
      </c>
      <c r="K64" s="80"/>
      <c r="L64" s="186">
        <f t="shared" si="19"/>
        <v>24688.998710344818</v>
      </c>
      <c r="M64" s="130"/>
      <c r="N64" s="87">
        <v>1</v>
      </c>
      <c r="O64" s="122" t="s">
        <v>261</v>
      </c>
      <c r="P64" s="225"/>
      <c r="Q64" s="225"/>
      <c r="R64" s="225">
        <v>11.24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8.43E-2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11.1557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21860.135999999999</v>
      </c>
      <c r="G65" s="22"/>
      <c r="L65" s="132"/>
      <c r="M65" s="131"/>
      <c r="N65" s="87">
        <v>2</v>
      </c>
      <c r="O65" s="122" t="s">
        <v>223</v>
      </c>
      <c r="P65" s="225"/>
      <c r="Q65" s="225"/>
      <c r="R65" s="225">
        <v>30</v>
      </c>
      <c r="S65" s="225"/>
      <c r="T65" s="87"/>
      <c r="U65" s="189">
        <f t="shared" si="28"/>
        <v>0</v>
      </c>
      <c r="V65" s="189">
        <f t="shared" si="29"/>
        <v>0.22499999999999998</v>
      </c>
      <c r="W65" s="189">
        <f t="shared" si="30"/>
        <v>0</v>
      </c>
      <c r="X65" s="189">
        <f t="shared" si="31"/>
        <v>0</v>
      </c>
      <c r="Y65" s="189">
        <f t="shared" si="32"/>
        <v>29.774999999999999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223</v>
      </c>
      <c r="P66" s="225"/>
      <c r="Q66" s="225"/>
      <c r="R66" s="225">
        <v>58.13</v>
      </c>
      <c r="S66" s="225"/>
      <c r="T66" s="87"/>
      <c r="U66" s="189">
        <f t="shared" si="28"/>
        <v>0</v>
      </c>
      <c r="V66" s="189">
        <f t="shared" si="29"/>
        <v>0.435975</v>
      </c>
      <c r="W66" s="189">
        <f t="shared" si="30"/>
        <v>0</v>
      </c>
      <c r="X66" s="189">
        <f t="shared" si="31"/>
        <v>0</v>
      </c>
      <c r="Y66" s="189">
        <f t="shared" si="32"/>
        <v>57.694025000000003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223</v>
      </c>
      <c r="P67" s="87"/>
      <c r="Q67" s="225"/>
      <c r="R67" s="225">
        <v>42.85</v>
      </c>
      <c r="S67" s="225"/>
      <c r="T67" s="87"/>
      <c r="U67" s="189">
        <f t="shared" si="28"/>
        <v>0</v>
      </c>
      <c r="V67" s="189">
        <f t="shared" si="29"/>
        <v>0.32137500000000002</v>
      </c>
      <c r="W67" s="189">
        <f t="shared" si="30"/>
        <v>0</v>
      </c>
      <c r="X67" s="189">
        <f t="shared" si="31"/>
        <v>0</v>
      </c>
      <c r="Y67" s="189">
        <f t="shared" si="32"/>
        <v>42.528624999999998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21858.13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223</v>
      </c>
      <c r="P68" s="87"/>
      <c r="Q68" s="225"/>
      <c r="R68" s="225">
        <v>86.33</v>
      </c>
      <c r="S68" s="225"/>
      <c r="T68" s="87"/>
      <c r="U68" s="189">
        <f t="shared" si="28"/>
        <v>0</v>
      </c>
      <c r="V68" s="189">
        <f t="shared" si="29"/>
        <v>0.64747499999999991</v>
      </c>
      <c r="W68" s="189">
        <f t="shared" si="30"/>
        <v>0</v>
      </c>
      <c r="X68" s="189">
        <f t="shared" si="31"/>
        <v>0</v>
      </c>
      <c r="Y68" s="189">
        <f t="shared" si="32"/>
        <v>85.682524999999998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22070.98</v>
      </c>
      <c r="C69" s="59"/>
      <c r="F69" s="87" t="s">
        <v>127</v>
      </c>
      <c r="G69" s="22"/>
      <c r="H69" s="89"/>
      <c r="I69" s="136"/>
      <c r="J69" s="136">
        <f>K52</f>
        <v>23.92</v>
      </c>
      <c r="N69" s="301" t="s">
        <v>108</v>
      </c>
      <c r="O69" s="301"/>
      <c r="P69" s="302"/>
      <c r="Q69" s="302"/>
      <c r="R69" s="192">
        <f>SUM(R64:R68)</f>
        <v>228.55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1.7141249999999997</v>
      </c>
      <c r="W69" s="192">
        <f t="shared" si="34"/>
        <v>0</v>
      </c>
      <c r="X69" s="192">
        <f t="shared" si="34"/>
        <v>0</v>
      </c>
      <c r="Y69" s="192">
        <f t="shared" si="34"/>
        <v>226.83587500000002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-212.84999999999854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87" t="s">
        <v>276</v>
      </c>
      <c r="Q70" s="87">
        <v>2001</v>
      </c>
      <c r="R70" s="236">
        <v>1584.11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11.880824999999998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1572.2291749999999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-210.84400000000096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23.92</v>
      </c>
      <c r="N71" s="87">
        <v>2</v>
      </c>
      <c r="O71" s="122" t="s">
        <v>217</v>
      </c>
      <c r="P71" s="87">
        <v>162</v>
      </c>
      <c r="Q71" s="87">
        <v>2001</v>
      </c>
      <c r="R71" s="236">
        <v>969.7</v>
      </c>
      <c r="S71" s="87"/>
      <c r="T71" s="87"/>
      <c r="U71" s="189">
        <f t="shared" si="35"/>
        <v>0</v>
      </c>
      <c r="V71" s="189">
        <f t="shared" si="36"/>
        <v>7.2727500000000003</v>
      </c>
      <c r="W71" s="189">
        <f t="shared" si="37"/>
        <v>0</v>
      </c>
      <c r="X71" s="189">
        <f t="shared" si="38"/>
        <v>0</v>
      </c>
      <c r="Y71" s="189">
        <f t="shared" si="39"/>
        <v>962.42725000000007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87">
        <v>2</v>
      </c>
      <c r="Q72" s="87">
        <v>1001</v>
      </c>
      <c r="R72" s="137">
        <v>15.47</v>
      </c>
      <c r="S72" s="87"/>
      <c r="T72" s="240">
        <v>28.88</v>
      </c>
      <c r="U72" s="189">
        <f t="shared" si="35"/>
        <v>1.2448275862068967</v>
      </c>
      <c r="V72" s="189">
        <f t="shared" si="36"/>
        <v>0.116025</v>
      </c>
      <c r="W72" s="189">
        <f t="shared" si="37"/>
        <v>0</v>
      </c>
      <c r="X72" s="189">
        <f t="shared" si="38"/>
        <v>0.72199999999999998</v>
      </c>
      <c r="Y72" s="189">
        <f t="shared" si="39"/>
        <v>15.353975</v>
      </c>
      <c r="Z72" s="189">
        <f t="shared" si="39"/>
        <v>0</v>
      </c>
      <c r="AA72" s="189">
        <f t="shared" si="40"/>
        <v>26.913172413793102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217</v>
      </c>
      <c r="P73" s="87">
        <v>168</v>
      </c>
      <c r="Q73" s="87">
        <v>2001</v>
      </c>
      <c r="R73" s="236">
        <v>307.32</v>
      </c>
      <c r="S73" s="87"/>
      <c r="T73" s="87">
        <v>45.72</v>
      </c>
      <c r="U73" s="189">
        <f t="shared" si="35"/>
        <v>1.970689655172414</v>
      </c>
      <c r="V73" s="189">
        <f t="shared" si="36"/>
        <v>2.3048999999999999</v>
      </c>
      <c r="W73" s="189">
        <f t="shared" si="37"/>
        <v>0</v>
      </c>
      <c r="X73" s="189">
        <f t="shared" si="38"/>
        <v>1.143</v>
      </c>
      <c r="Y73" s="189">
        <f t="shared" si="39"/>
        <v>305.01510000000002</v>
      </c>
      <c r="Z73" s="189">
        <f t="shared" si="39"/>
        <v>0</v>
      </c>
      <c r="AA73" s="189">
        <f t="shared" si="40"/>
        <v>42.606310344827584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90+60+80+50+25</f>
        <v>305</v>
      </c>
      <c r="S74" s="87"/>
      <c r="T74" s="137"/>
      <c r="U74" s="189">
        <f t="shared" si="35"/>
        <v>0</v>
      </c>
      <c r="V74" s="189">
        <f t="shared" si="36"/>
        <v>2.2875000000000001</v>
      </c>
      <c r="W74" s="189">
        <f t="shared" si="37"/>
        <v>0</v>
      </c>
      <c r="X74" s="189">
        <f t="shared" si="38"/>
        <v>0</v>
      </c>
      <c r="Y74" s="189">
        <f t="shared" si="39"/>
        <v>302.71249999999998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3181.6</v>
      </c>
      <c r="S75" s="192"/>
      <c r="T75" s="192">
        <f>SUM(T70:T74)</f>
        <v>74.599999999999994</v>
      </c>
      <c r="U75" s="192">
        <f>SUM(U70:U74)</f>
        <v>3.2155172413793105</v>
      </c>
      <c r="V75" s="192">
        <f t="shared" ref="V75:AA75" si="42">SUM(V70:V74)</f>
        <v>23.861999999999998</v>
      </c>
      <c r="W75" s="192">
        <f t="shared" si="42"/>
        <v>0</v>
      </c>
      <c r="X75" s="192">
        <f t="shared" si="42"/>
        <v>1.865</v>
      </c>
      <c r="Y75" s="192">
        <f t="shared" si="42"/>
        <v>3157.7380000000003</v>
      </c>
      <c r="Z75" s="192">
        <f t="shared" si="42"/>
        <v>0</v>
      </c>
      <c r="AA75" s="193">
        <f t="shared" si="42"/>
        <v>69.519482758620683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78.25</v>
      </c>
      <c r="Q78" s="137">
        <v>39.36</v>
      </c>
      <c r="R78" s="82">
        <v>7.4999999999999997E-3</v>
      </c>
      <c r="S78" s="216">
        <f>+(P78+Q78)*R78</f>
        <v>0.88207499999999994</v>
      </c>
      <c r="T78" s="254">
        <f>+(P78+Q78)-S78</f>
        <v>116.727925</v>
      </c>
      <c r="U78" s="112">
        <v>43.74</v>
      </c>
      <c r="V78" s="112"/>
      <c r="W78" s="113">
        <v>1.4999999999999999E-2</v>
      </c>
      <c r="X78" s="217">
        <f>+(U78+V78)*W78</f>
        <v>0.65610000000000002</v>
      </c>
      <c r="Y78" s="262">
        <f>+(U78+V78)-X78</f>
        <v>43.0839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1138.3499999999999</v>
      </c>
      <c r="N79" s="87">
        <v>2</v>
      </c>
      <c r="O79" s="87" t="s">
        <v>110</v>
      </c>
      <c r="P79" s="137">
        <v>190.27</v>
      </c>
      <c r="Q79" s="137"/>
      <c r="R79" s="82">
        <v>7.4999999999999997E-3</v>
      </c>
      <c r="S79" s="216">
        <f t="shared" ref="S79:S97" si="44">+(P79+Q79)*R79</f>
        <v>1.427025</v>
      </c>
      <c r="T79" s="254">
        <f t="shared" ref="T79:T97" si="45">+(P79+Q79)-S79</f>
        <v>188.84297500000002</v>
      </c>
      <c r="U79" s="211">
        <v>36.18</v>
      </c>
      <c r="V79" s="112"/>
      <c r="W79" s="113">
        <v>1.4999999999999999E-2</v>
      </c>
      <c r="X79" s="217">
        <f t="shared" ref="X79:X97" si="46">+(U79+V79)*W79</f>
        <v>0.54269999999999996</v>
      </c>
      <c r="Y79" s="262">
        <f t="shared" ref="Y79:Y97" si="47">+(U79+V79)-X79</f>
        <v>35.637299999999996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72.14</v>
      </c>
      <c r="Q80" s="137">
        <v>3.43</v>
      </c>
      <c r="R80" s="82">
        <v>7.4999999999999997E-3</v>
      </c>
      <c r="S80" s="216">
        <f t="shared" si="44"/>
        <v>0.56677500000000003</v>
      </c>
      <c r="T80" s="254">
        <f t="shared" si="45"/>
        <v>75.003225</v>
      </c>
      <c r="U80" s="211">
        <v>1.59</v>
      </c>
      <c r="V80" s="112"/>
      <c r="W80" s="113">
        <v>1.4999999999999999E-2</v>
      </c>
      <c r="X80" s="217">
        <f t="shared" si="46"/>
        <v>2.385E-2</v>
      </c>
      <c r="Y80" s="262">
        <f t="shared" si="47"/>
        <v>1.5661500000000002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1138.3499999999999</v>
      </c>
      <c r="N81" s="87">
        <v>4</v>
      </c>
      <c r="O81" s="87" t="s">
        <v>110</v>
      </c>
      <c r="P81" s="137">
        <v>103.86</v>
      </c>
      <c r="Q81" s="137"/>
      <c r="R81" s="82">
        <v>7.4999999999999997E-3</v>
      </c>
      <c r="S81" s="216">
        <f t="shared" si="44"/>
        <v>0.77894999999999992</v>
      </c>
      <c r="T81" s="254">
        <f t="shared" si="45"/>
        <v>103.08105</v>
      </c>
      <c r="U81" s="112">
        <v>59.64</v>
      </c>
      <c r="V81" s="112"/>
      <c r="W81" s="113">
        <v>1.4999999999999999E-2</v>
      </c>
      <c r="X81" s="217">
        <f t="shared" si="46"/>
        <v>0.89459999999999995</v>
      </c>
      <c r="Y81" s="262">
        <f t="shared" si="47"/>
        <v>58.745400000000004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170.04</v>
      </c>
      <c r="Q82" s="137"/>
      <c r="R82" s="82">
        <v>7.4999999999999997E-3</v>
      </c>
      <c r="S82" s="216">
        <f t="shared" si="44"/>
        <v>1.2752999999999999</v>
      </c>
      <c r="T82" s="254">
        <f t="shared" si="45"/>
        <v>168.7647</v>
      </c>
      <c r="U82" s="211">
        <v>6.3</v>
      </c>
      <c r="V82" s="112"/>
      <c r="W82" s="113">
        <v>1.4999999999999999E-2</v>
      </c>
      <c r="X82" s="217">
        <f t="shared" si="46"/>
        <v>9.4500000000000001E-2</v>
      </c>
      <c r="Y82" s="262">
        <f t="shared" si="47"/>
        <v>6.2054999999999998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>
        <v>12</v>
      </c>
      <c r="R83" s="82">
        <v>7.4999999999999997E-3</v>
      </c>
      <c r="S83" s="216">
        <f t="shared" si="44"/>
        <v>0.09</v>
      </c>
      <c r="T83" s="254">
        <f t="shared" si="45"/>
        <v>11.91</v>
      </c>
      <c r="U83" s="211"/>
      <c r="V83" s="112"/>
      <c r="W83" s="113">
        <v>1.4999999999999999E-2</v>
      </c>
      <c r="X83" s="217">
        <f t="shared" si="46"/>
        <v>0</v>
      </c>
      <c r="Y83" s="232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212.08</v>
      </c>
      <c r="Q84" s="87">
        <v>20.54</v>
      </c>
      <c r="R84" s="82">
        <v>7.4999999999999997E-3</v>
      </c>
      <c r="S84" s="216">
        <f t="shared" si="44"/>
        <v>1.74465</v>
      </c>
      <c r="T84" s="254">
        <f t="shared" si="45"/>
        <v>230.87535</v>
      </c>
      <c r="U84" s="112">
        <v>7.73</v>
      </c>
      <c r="V84" s="112"/>
      <c r="W84" s="113">
        <v>1.4999999999999999E-2</v>
      </c>
      <c r="X84" s="196">
        <f t="shared" si="46"/>
        <v>0.11595</v>
      </c>
      <c r="Y84" s="254">
        <f t="shared" si="47"/>
        <v>7.6140500000000007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155.47999999999999</v>
      </c>
      <c r="Q85" s="87"/>
      <c r="R85" s="82">
        <v>7.4999999999999997E-3</v>
      </c>
      <c r="S85" s="194">
        <f t="shared" si="44"/>
        <v>1.1660999999999999</v>
      </c>
      <c r="T85" s="254">
        <f t="shared" si="45"/>
        <v>154.31389999999999</v>
      </c>
      <c r="U85" s="112">
        <v>23.2</v>
      </c>
      <c r="V85" s="112"/>
      <c r="W85" s="113">
        <v>1.4999999999999999E-2</v>
      </c>
      <c r="X85" s="196">
        <f t="shared" si="46"/>
        <v>0.34799999999999998</v>
      </c>
      <c r="Y85" s="254">
        <f t="shared" si="47"/>
        <v>22.852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76.88</v>
      </c>
      <c r="Q86" s="87">
        <v>12.62</v>
      </c>
      <c r="R86" s="82">
        <v>7.4999999999999997E-3</v>
      </c>
      <c r="S86" s="194">
        <f t="shared" si="44"/>
        <v>0.67125000000000001</v>
      </c>
      <c r="T86" s="254">
        <f t="shared" si="45"/>
        <v>88.828749999999999</v>
      </c>
      <c r="U86" s="112">
        <v>27.7</v>
      </c>
      <c r="V86" s="112"/>
      <c r="W86" s="113">
        <v>1.4999999999999999E-2</v>
      </c>
      <c r="X86" s="196">
        <f t="shared" si="46"/>
        <v>0.41549999999999998</v>
      </c>
      <c r="Y86" s="254">
        <f t="shared" si="47"/>
        <v>27.284499999999998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20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1059</v>
      </c>
      <c r="Q98" s="195">
        <f>SUM(Q78:Q97)</f>
        <v>87.95</v>
      </c>
      <c r="R98" s="111"/>
      <c r="S98" s="195">
        <f>SUM(S78:S97)</f>
        <v>8.6021249999999991</v>
      </c>
      <c r="T98" s="195">
        <f>SUM(T78:T97)</f>
        <v>1138.3478749999999</v>
      </c>
      <c r="U98" s="114">
        <f>SUM(U78:U97)</f>
        <v>206.07999999999998</v>
      </c>
      <c r="V98" s="114">
        <f>SUM(V78:V97)</f>
        <v>0</v>
      </c>
      <c r="W98" s="112"/>
      <c r="X98" s="197">
        <f>SUM(X78:X97)</f>
        <v>3.0911999999999997</v>
      </c>
      <c r="Y98" s="197">
        <f>SUM(Y78:Y97)</f>
        <v>202.9888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 t="shared" ref="P101:P102" si="51">P78+Q78+U78</f>
        <v>161.35</v>
      </c>
      <c r="Q101" s="84"/>
    </row>
    <row r="102" spans="14:30" x14ac:dyDescent="0.25">
      <c r="N102" s="85"/>
      <c r="O102" s="84"/>
      <c r="P102" s="215">
        <f t="shared" si="51"/>
        <v>226.45000000000002</v>
      </c>
      <c r="Q102" s="84"/>
    </row>
    <row r="103" spans="14:30" x14ac:dyDescent="0.25">
      <c r="N103" s="85"/>
      <c r="O103" s="84"/>
      <c r="P103" s="215">
        <f>P80+Q80+U80</f>
        <v>77.160000000000011</v>
      </c>
      <c r="Q103" s="84"/>
    </row>
    <row r="104" spans="14:30" x14ac:dyDescent="0.25">
      <c r="N104" s="85"/>
      <c r="O104" s="84"/>
      <c r="P104" s="215">
        <f>P81+Q81+U81</f>
        <v>163.5</v>
      </c>
      <c r="Q104" s="84"/>
    </row>
    <row r="105" spans="14:30" x14ac:dyDescent="0.25">
      <c r="N105" s="85"/>
      <c r="O105" s="84"/>
      <c r="P105" s="215">
        <f t="shared" ref="P105:P110" si="52">P82+Q82+U82</f>
        <v>176.34</v>
      </c>
      <c r="Q105" s="84"/>
    </row>
    <row r="106" spans="14:30" x14ac:dyDescent="0.25">
      <c r="N106" s="85"/>
      <c r="O106" s="84"/>
      <c r="P106" s="215">
        <f t="shared" si="52"/>
        <v>12</v>
      </c>
      <c r="Q106" s="84"/>
    </row>
    <row r="107" spans="14:30" x14ac:dyDescent="0.25">
      <c r="N107" s="85"/>
      <c r="O107" s="84"/>
      <c r="P107" s="246">
        <f t="shared" si="52"/>
        <v>240.35</v>
      </c>
      <c r="Q107" s="84"/>
    </row>
    <row r="108" spans="14:30" x14ac:dyDescent="0.25">
      <c r="N108" s="85"/>
      <c r="O108" s="84"/>
      <c r="P108" s="246">
        <f>P85+Q85+U85</f>
        <v>178.67999999999998</v>
      </c>
      <c r="Q108" s="84"/>
    </row>
    <row r="109" spans="14:30" x14ac:dyDescent="0.25">
      <c r="N109" s="85"/>
      <c r="O109" s="84"/>
      <c r="P109" s="84">
        <f>P86+Q86+U86</f>
        <v>117.2</v>
      </c>
      <c r="Q109" s="84"/>
    </row>
    <row r="110" spans="14:30" x14ac:dyDescent="0.25">
      <c r="N110" s="85"/>
      <c r="O110" s="84"/>
      <c r="P110" s="84">
        <f t="shared" si="52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  <c r="P112" s="84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H43" zoomScale="90" zoomScaleNormal="90" workbookViewId="0">
      <selection activeCell="I67" sqref="I67:J6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1138</v>
      </c>
      <c r="C12" s="15"/>
      <c r="D12" s="56"/>
      <c r="E12" s="16"/>
      <c r="F12" s="56"/>
      <c r="G12" s="56"/>
      <c r="H12" s="17"/>
      <c r="I12" s="83">
        <v>1138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255</v>
      </c>
      <c r="P12" s="158">
        <v>183</v>
      </c>
      <c r="Q12" s="158">
        <v>11</v>
      </c>
      <c r="R12" s="244">
        <v>614.85</v>
      </c>
      <c r="S12" s="160"/>
      <c r="T12" s="160">
        <v>108.99</v>
      </c>
      <c r="U12" s="189">
        <f>((T12/U$10)*U$9)</f>
        <v>4.6978448275862075</v>
      </c>
      <c r="V12" s="189">
        <f>R12*V$10</f>
        <v>4.6113749999999998</v>
      </c>
      <c r="W12" s="189">
        <f>+S12*V$10</f>
        <v>0</v>
      </c>
      <c r="X12" s="189">
        <f>+T12*X$10</f>
        <v>2.7247500000000002</v>
      </c>
      <c r="Y12" s="189">
        <f>R12-V12</f>
        <v>610.23862500000007</v>
      </c>
      <c r="Z12" s="189">
        <f>S12-W12</f>
        <v>0</v>
      </c>
      <c r="AA12" s="189">
        <f>T12-U12-X12</f>
        <v>101.56740517241379</v>
      </c>
      <c r="AB12" s="156"/>
    </row>
    <row r="13" spans="1:28" ht="15.75" x14ac:dyDescent="0.25">
      <c r="A13" s="86" t="s">
        <v>74</v>
      </c>
      <c r="B13" s="89">
        <v>1892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1892</v>
      </c>
      <c r="K13" s="75"/>
      <c r="L13" s="186">
        <f t="shared" ref="L13:L40" si="1">+G13-K13</f>
        <v>0</v>
      </c>
      <c r="M13" s="106"/>
      <c r="N13" s="104">
        <v>2</v>
      </c>
      <c r="O13" s="152" t="s">
        <v>255</v>
      </c>
      <c r="P13" s="158">
        <v>184</v>
      </c>
      <c r="Q13" s="158">
        <v>11</v>
      </c>
      <c r="R13" s="244">
        <v>1254.6600000000001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9.4099500000000003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1245.2500500000001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10784.4</v>
      </c>
      <c r="C14" s="15"/>
      <c r="D14" s="56"/>
      <c r="E14" s="16"/>
      <c r="F14" s="56"/>
      <c r="G14" s="56"/>
      <c r="H14" s="17"/>
      <c r="I14" s="83"/>
      <c r="J14" s="81">
        <f t="shared" si="0"/>
        <v>10784.4</v>
      </c>
      <c r="K14" s="80"/>
      <c r="L14" s="186">
        <f t="shared" si="1"/>
        <v>0</v>
      </c>
      <c r="M14" s="107"/>
      <c r="N14" s="104">
        <v>3</v>
      </c>
      <c r="O14" s="152" t="s">
        <v>255</v>
      </c>
      <c r="P14" s="158">
        <v>565</v>
      </c>
      <c r="Q14" s="158">
        <v>2</v>
      </c>
      <c r="R14" s="244">
        <v>988.61</v>
      </c>
      <c r="S14" s="160"/>
      <c r="T14" s="161">
        <v>55.71</v>
      </c>
      <c r="U14" s="189">
        <f t="shared" si="2"/>
        <v>2.4012931034482765</v>
      </c>
      <c r="V14" s="189">
        <f t="shared" si="3"/>
        <v>7.4145750000000001</v>
      </c>
      <c r="W14" s="189">
        <f t="shared" si="4"/>
        <v>0</v>
      </c>
      <c r="X14" s="189">
        <f t="shared" si="5"/>
        <v>1.3927500000000002</v>
      </c>
      <c r="Y14" s="189">
        <f t="shared" si="6"/>
        <v>981.195425</v>
      </c>
      <c r="Z14" s="189">
        <f t="shared" si="6"/>
        <v>0</v>
      </c>
      <c r="AA14" s="189">
        <f t="shared" si="7"/>
        <v>51.915956896551727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255</v>
      </c>
      <c r="P15" s="158">
        <v>566</v>
      </c>
      <c r="Q15" s="158">
        <v>2</v>
      </c>
      <c r="R15" s="244">
        <v>1537.19</v>
      </c>
      <c r="S15" s="160"/>
      <c r="T15" s="161">
        <v>64.75</v>
      </c>
      <c r="U15" s="189">
        <f t="shared" si="2"/>
        <v>2.7909482758620694</v>
      </c>
      <c r="V15" s="189">
        <f t="shared" si="3"/>
        <v>11.528924999999999</v>
      </c>
      <c r="W15" s="189">
        <f t="shared" si="4"/>
        <v>0</v>
      </c>
      <c r="X15" s="189">
        <f t="shared" si="5"/>
        <v>1.6187500000000001</v>
      </c>
      <c r="Y15" s="189">
        <f t="shared" si="6"/>
        <v>1525.661075</v>
      </c>
      <c r="Z15" s="189">
        <f t="shared" si="6"/>
        <v>0</v>
      </c>
      <c r="AA15" s="189">
        <f t="shared" si="7"/>
        <v>60.34030172413793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255</v>
      </c>
      <c r="P16" s="158">
        <v>546</v>
      </c>
      <c r="Q16" s="158">
        <v>4</v>
      </c>
      <c r="R16" s="244">
        <v>454.12</v>
      </c>
      <c r="S16" s="160"/>
      <c r="T16" s="161"/>
      <c r="U16" s="189">
        <f t="shared" si="2"/>
        <v>0</v>
      </c>
      <c r="V16" s="189">
        <f t="shared" si="3"/>
        <v>3.4058999999999999</v>
      </c>
      <c r="W16" s="189">
        <f t="shared" si="4"/>
        <v>0</v>
      </c>
      <c r="X16" s="189">
        <f t="shared" si="5"/>
        <v>0</v>
      </c>
      <c r="Y16" s="189">
        <f t="shared" si="6"/>
        <v>450.71410000000003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255</v>
      </c>
      <c r="P17" s="158">
        <v>547</v>
      </c>
      <c r="Q17" s="158">
        <v>4</v>
      </c>
      <c r="R17" s="244">
        <v>4721.6499999999996</v>
      </c>
      <c r="S17" s="160"/>
      <c r="T17" s="161">
        <v>383.54</v>
      </c>
      <c r="U17" s="189">
        <f t="shared" si="2"/>
        <v>16.531896551724142</v>
      </c>
      <c r="V17" s="189">
        <f t="shared" si="3"/>
        <v>35.412374999999997</v>
      </c>
      <c r="W17" s="189">
        <f t="shared" si="4"/>
        <v>0</v>
      </c>
      <c r="X17" s="189">
        <f t="shared" si="5"/>
        <v>9.5885000000000016</v>
      </c>
      <c r="Y17" s="189">
        <f t="shared" si="6"/>
        <v>4686.2376249999998</v>
      </c>
      <c r="Z17" s="189">
        <f t="shared" si="6"/>
        <v>0</v>
      </c>
      <c r="AA17" s="189">
        <f t="shared" si="7"/>
        <v>357.41960344827589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255</v>
      </c>
      <c r="P18" s="158">
        <v>197</v>
      </c>
      <c r="Q18" s="158">
        <v>10</v>
      </c>
      <c r="R18" s="244">
        <v>637.55999999999995</v>
      </c>
      <c r="S18" s="160"/>
      <c r="T18" s="161"/>
      <c r="U18" s="189">
        <f t="shared" si="2"/>
        <v>0</v>
      </c>
      <c r="V18" s="189">
        <f t="shared" si="3"/>
        <v>4.7816999999999998</v>
      </c>
      <c r="W18" s="189">
        <f t="shared" si="4"/>
        <v>0</v>
      </c>
      <c r="X18" s="189">
        <f t="shared" si="5"/>
        <v>0</v>
      </c>
      <c r="Y18" s="189">
        <f t="shared" si="6"/>
        <v>632.77829999999994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1892</v>
      </c>
      <c r="C19" s="95"/>
      <c r="D19" s="94"/>
      <c r="E19" s="96"/>
      <c r="F19" s="94"/>
      <c r="G19" s="94"/>
      <c r="H19" s="98"/>
      <c r="I19" s="99"/>
      <c r="J19" s="185">
        <f>B19-I19</f>
        <v>1892</v>
      </c>
      <c r="K19" s="99"/>
      <c r="L19" s="187">
        <f t="shared" si="1"/>
        <v>0</v>
      </c>
      <c r="M19" s="107"/>
      <c r="N19" s="104">
        <v>8</v>
      </c>
      <c r="O19" s="152" t="s">
        <v>255</v>
      </c>
      <c r="P19" s="158">
        <v>198</v>
      </c>
      <c r="Q19" s="158">
        <v>10</v>
      </c>
      <c r="R19" s="244">
        <v>905.96</v>
      </c>
      <c r="S19" s="160"/>
      <c r="T19" s="161">
        <v>117.85</v>
      </c>
      <c r="U19" s="189">
        <f t="shared" si="2"/>
        <v>5.0797413793103452</v>
      </c>
      <c r="V19" s="189">
        <f t="shared" si="3"/>
        <v>6.7946999999999997</v>
      </c>
      <c r="W19" s="189">
        <f t="shared" si="4"/>
        <v>0</v>
      </c>
      <c r="X19" s="189">
        <f t="shared" si="5"/>
        <v>2.94625</v>
      </c>
      <c r="Y19" s="189">
        <f t="shared" si="6"/>
        <v>899.1653</v>
      </c>
      <c r="Z19" s="189">
        <f t="shared" si="6"/>
        <v>0</v>
      </c>
      <c r="AA19" s="189">
        <f t="shared" si="7"/>
        <v>109.82400862068964</v>
      </c>
      <c r="AB19" s="156"/>
    </row>
    <row r="20" spans="1:28" ht="15.75" x14ac:dyDescent="0.25">
      <c r="A20" s="93" t="s">
        <v>80</v>
      </c>
      <c r="B20" s="97">
        <f>+B14+B16+B18</f>
        <v>10784.4</v>
      </c>
      <c r="C20" s="95"/>
      <c r="D20" s="94"/>
      <c r="E20" s="96"/>
      <c r="F20" s="94"/>
      <c r="G20" s="94"/>
      <c r="H20" s="98"/>
      <c r="I20" s="99">
        <v>10784.4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255</v>
      </c>
      <c r="P20" s="158">
        <v>631</v>
      </c>
      <c r="Q20" s="158">
        <v>18</v>
      </c>
      <c r="R20" s="244">
        <v>564.61</v>
      </c>
      <c r="S20" s="160"/>
      <c r="T20" s="161">
        <v>7</v>
      </c>
      <c r="U20" s="189">
        <f t="shared" si="2"/>
        <v>0.30172413793103453</v>
      </c>
      <c r="V20" s="189">
        <f t="shared" si="3"/>
        <v>4.2345749999999995</v>
      </c>
      <c r="W20" s="189">
        <f t="shared" si="4"/>
        <v>0</v>
      </c>
      <c r="X20" s="189">
        <f t="shared" si="5"/>
        <v>0.17500000000000002</v>
      </c>
      <c r="Y20" s="189">
        <f t="shared" si="6"/>
        <v>560.37542500000006</v>
      </c>
      <c r="Z20" s="189">
        <f t="shared" si="6"/>
        <v>0</v>
      </c>
      <c r="AA20" s="189">
        <f t="shared" si="7"/>
        <v>6.5232758620689655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255</v>
      </c>
      <c r="P21" s="158">
        <v>632</v>
      </c>
      <c r="Q21" s="158">
        <v>18</v>
      </c>
      <c r="R21" s="244">
        <v>1212.96</v>
      </c>
      <c r="S21" s="160"/>
      <c r="T21" s="161"/>
      <c r="U21" s="189">
        <f t="shared" si="2"/>
        <v>0</v>
      </c>
      <c r="V21" s="189">
        <f t="shared" si="3"/>
        <v>9.0971999999999991</v>
      </c>
      <c r="W21" s="189">
        <f t="shared" si="4"/>
        <v>0</v>
      </c>
      <c r="X21" s="189">
        <f t="shared" si="5"/>
        <v>0</v>
      </c>
      <c r="Y21" s="189">
        <f t="shared" si="6"/>
        <v>1203.8628000000001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10.99</v>
      </c>
      <c r="C29" s="100"/>
      <c r="D29" s="66"/>
      <c r="E29" s="67"/>
      <c r="F29" s="66"/>
      <c r="G29" s="66"/>
      <c r="H29" s="102"/>
      <c r="I29" s="79">
        <v>10.99</v>
      </c>
      <c r="J29" s="81">
        <f t="shared" si="0"/>
        <v>0</v>
      </c>
      <c r="K29" s="80">
        <v>10.99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62.643000000000001</v>
      </c>
      <c r="C30" s="100"/>
      <c r="D30" s="66"/>
      <c r="E30" s="67"/>
      <c r="F30" s="66"/>
      <c r="G30" s="66"/>
      <c r="H30" s="102"/>
      <c r="I30" s="79">
        <v>62.64</v>
      </c>
      <c r="J30" s="81">
        <f t="shared" si="0"/>
        <v>3.0000000000001137E-3</v>
      </c>
      <c r="K30" s="80">
        <v>62.64</v>
      </c>
      <c r="L30" s="186">
        <f>K30-B30</f>
        <v>-3.0000000000001137E-3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38" si="8">K33-B33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8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10.99</v>
      </c>
      <c r="C35" s="95"/>
      <c r="D35" s="94"/>
      <c r="E35" s="96"/>
      <c r="F35" s="94"/>
      <c r="G35" s="94"/>
      <c r="H35" s="98"/>
      <c r="I35" s="99"/>
      <c r="J35" s="185">
        <f t="shared" si="0"/>
        <v>10.99</v>
      </c>
      <c r="K35" s="99">
        <v>10.99</v>
      </c>
      <c r="L35" s="187">
        <f t="shared" si="8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62.643000000000001</v>
      </c>
      <c r="C36" s="95"/>
      <c r="D36" s="94"/>
      <c r="E36" s="96"/>
      <c r="F36" s="94"/>
      <c r="G36" s="94"/>
      <c r="H36" s="98"/>
      <c r="I36" s="99"/>
      <c r="J36" s="185">
        <f t="shared" si="0"/>
        <v>62.643000000000001</v>
      </c>
      <c r="K36" s="99">
        <v>62.64</v>
      </c>
      <c r="L36" s="187">
        <f t="shared" si="8"/>
        <v>-3.0000000000001137E-3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30.11</v>
      </c>
      <c r="C37" s="100"/>
      <c r="D37" s="66"/>
      <c r="E37" s="67"/>
      <c r="F37" s="66"/>
      <c r="G37" s="66"/>
      <c r="H37" s="102"/>
      <c r="I37" s="79">
        <v>30.11</v>
      </c>
      <c r="J37" s="81">
        <f t="shared" si="0"/>
        <v>0</v>
      </c>
      <c r="K37" s="80">
        <f>10+20.11</f>
        <v>30.11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171.62700000000001</v>
      </c>
      <c r="C38" s="100"/>
      <c r="D38" s="66"/>
      <c r="E38" s="67"/>
      <c r="F38" s="66"/>
      <c r="G38" s="66"/>
      <c r="H38" s="102"/>
      <c r="I38" s="79"/>
      <c r="J38" s="81">
        <f t="shared" si="0"/>
        <v>171.62700000000001</v>
      </c>
      <c r="K38" s="80">
        <v>171.63</v>
      </c>
      <c r="L38" s="186">
        <f t="shared" si="8"/>
        <v>2.9999999999859028E-3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>K41-B41</f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>K42-B42</f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12892.169999999998</v>
      </c>
      <c r="S42" s="190">
        <f t="shared" si="9"/>
        <v>0</v>
      </c>
      <c r="T42" s="190">
        <f t="shared" si="9"/>
        <v>737.84</v>
      </c>
      <c r="U42" s="190">
        <f t="shared" si="9"/>
        <v>31.803448275862074</v>
      </c>
      <c r="V42" s="190">
        <f t="shared" si="9"/>
        <v>96.691275000000005</v>
      </c>
      <c r="W42" s="190">
        <f t="shared" si="9"/>
        <v>0</v>
      </c>
      <c r="X42" s="190">
        <f t="shared" si="9"/>
        <v>18.446000000000002</v>
      </c>
      <c r="Y42" s="190">
        <f t="shared" si="9"/>
        <v>12795.478725000003</v>
      </c>
      <c r="Z42" s="190">
        <f t="shared" si="9"/>
        <v>0</v>
      </c>
      <c r="AA42" s="190">
        <f t="shared" si="9"/>
        <v>687.59055172413787</v>
      </c>
      <c r="AB42" s="166"/>
    </row>
    <row r="43" spans="1:28" ht="15.75" x14ac:dyDescent="0.25">
      <c r="A43" s="93" t="s">
        <v>101</v>
      </c>
      <c r="B43" s="97">
        <f>+B37+B39+B41</f>
        <v>30.11</v>
      </c>
      <c r="C43" s="95"/>
      <c r="D43" s="94"/>
      <c r="E43" s="96"/>
      <c r="F43" s="94"/>
      <c r="G43" s="94"/>
      <c r="H43" s="98"/>
      <c r="I43" s="99"/>
      <c r="J43" s="185">
        <f t="shared" si="0"/>
        <v>30.11</v>
      </c>
      <c r="K43" s="99">
        <v>30.11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23.51</v>
      </c>
      <c r="U43" s="189">
        <f t="shared" ref="U43:U62" si="10">((T43/U$10)*U$9)</f>
        <v>1.0133620689655174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0.58775000000000011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21.908887931034485</v>
      </c>
      <c r="AB43" s="156"/>
    </row>
    <row r="44" spans="1:28" ht="15.75" x14ac:dyDescent="0.25">
      <c r="A44" s="93" t="s">
        <v>102</v>
      </c>
      <c r="B44" s="97">
        <f>+B38+B40+B42</f>
        <v>171.62700000000001</v>
      </c>
      <c r="C44" s="95"/>
      <c r="D44" s="94"/>
      <c r="E44" s="96"/>
      <c r="F44" s="94"/>
      <c r="G44" s="94"/>
      <c r="H44" s="98"/>
      <c r="I44" s="99"/>
      <c r="J44" s="185">
        <f t="shared" si="0"/>
        <v>171.62700000000001</v>
      </c>
      <c r="K44" s="99">
        <v>171.63</v>
      </c>
      <c r="L44" s="187">
        <f>K44-B44</f>
        <v>2.9999999999859028E-3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32.49</v>
      </c>
      <c r="U44" s="189">
        <f t="shared" si="10"/>
        <v>1.4004310344827589</v>
      </c>
      <c r="V44" s="189">
        <f t="shared" si="11"/>
        <v>0</v>
      </c>
      <c r="W44" s="189">
        <f t="shared" si="12"/>
        <v>0</v>
      </c>
      <c r="X44" s="189">
        <f t="shared" si="13"/>
        <v>0.81225000000000014</v>
      </c>
      <c r="Y44" s="189">
        <f t="shared" si="14"/>
        <v>0</v>
      </c>
      <c r="Z44" s="189">
        <f t="shared" si="14"/>
        <v>0</v>
      </c>
      <c r="AA44" s="189">
        <f t="shared" si="15"/>
        <v>30.277318965517246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12892.169999999998</v>
      </c>
      <c r="C46" s="116">
        <v>7.4999999999999997E-3</v>
      </c>
      <c r="D46" s="117">
        <f>B46*C46</f>
        <v>96.69127499999999</v>
      </c>
      <c r="E46" s="172">
        <v>0</v>
      </c>
      <c r="F46" s="117">
        <f t="shared" ref="F46:F50" si="16">D46*E46</f>
        <v>0</v>
      </c>
      <c r="G46" s="117">
        <f t="shared" ref="G46:G51" si="17">B46-D46-F46</f>
        <v>12795.478724999999</v>
      </c>
      <c r="H46" s="173">
        <f>B$6+1</f>
        <v>44762</v>
      </c>
      <c r="I46" s="174">
        <v>9892.17</v>
      </c>
      <c r="J46" s="81">
        <f t="shared" si="0"/>
        <v>2999.9999999999982</v>
      </c>
      <c r="K46" s="80">
        <v>13435.45</v>
      </c>
      <c r="L46" s="186">
        <f>K46-G46</f>
        <v>639.9712750000017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44762</v>
      </c>
      <c r="I47" s="175">
        <v>32.49</v>
      </c>
      <c r="J47" s="81">
        <f t="shared" si="0"/>
        <v>-32.49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132.66999999999999</v>
      </c>
      <c r="C48" s="116">
        <v>7.4999999999999997E-3</v>
      </c>
      <c r="D48" s="117">
        <f t="shared" si="18"/>
        <v>0.99502499999999983</v>
      </c>
      <c r="E48" s="172">
        <v>0</v>
      </c>
      <c r="F48" s="117">
        <f t="shared" si="16"/>
        <v>0</v>
      </c>
      <c r="G48" s="117">
        <f t="shared" si="17"/>
        <v>131.67497499999999</v>
      </c>
      <c r="H48" s="173">
        <f t="shared" ref="H48:H61" si="20">B$6+1</f>
        <v>44762</v>
      </c>
      <c r="I48" s="176">
        <v>132.66999999999999</v>
      </c>
      <c r="J48" s="81">
        <f t="shared" si="0"/>
        <v>0</v>
      </c>
      <c r="K48" s="80"/>
      <c r="L48" s="186">
        <f t="shared" si="19"/>
        <v>131.67497499999999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205</v>
      </c>
      <c r="B49" s="117">
        <f>R75</f>
        <v>1080.9099999999999</v>
      </c>
      <c r="C49" s="116">
        <v>7.4999999999999997E-3</v>
      </c>
      <c r="D49" s="117">
        <f t="shared" si="18"/>
        <v>8.1068249999999988</v>
      </c>
      <c r="E49" s="172">
        <v>0</v>
      </c>
      <c r="F49" s="117">
        <f t="shared" si="16"/>
        <v>0</v>
      </c>
      <c r="G49" s="117">
        <f t="shared" si="17"/>
        <v>1072.8031749999998</v>
      </c>
      <c r="H49" s="173">
        <f t="shared" si="20"/>
        <v>44762</v>
      </c>
      <c r="I49" s="176">
        <f>578.41</f>
        <v>578.41</v>
      </c>
      <c r="J49" s="81">
        <f t="shared" si="0"/>
        <v>502.49999999999989</v>
      </c>
      <c r="K49" s="80"/>
      <c r="L49" s="186">
        <f t="shared" si="19"/>
        <v>1072.8031749999998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1130.96</v>
      </c>
      <c r="C50" s="116">
        <v>7.4999999999999997E-3</v>
      </c>
      <c r="D50" s="117">
        <f t="shared" si="18"/>
        <v>8.4822000000000006</v>
      </c>
      <c r="E50" s="172">
        <v>0</v>
      </c>
      <c r="F50" s="117">
        <f t="shared" si="16"/>
        <v>0</v>
      </c>
      <c r="G50" s="117">
        <f t="shared" si="17"/>
        <v>1122.4778000000001</v>
      </c>
      <c r="H50" s="173">
        <f t="shared" si="20"/>
        <v>44762</v>
      </c>
      <c r="I50" s="175">
        <v>1784.78</v>
      </c>
      <c r="J50" s="81">
        <f t="shared" si="0"/>
        <v>-653.81999999999994</v>
      </c>
      <c r="K50" s="80">
        <v>1122.48</v>
      </c>
      <c r="L50" s="186">
        <f t="shared" si="19"/>
        <v>-2.1999999999025022E-3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653.81999999999994</v>
      </c>
      <c r="C51" s="116">
        <v>1.4999999999999999E-2</v>
      </c>
      <c r="D51" s="117">
        <f>+B51*C51</f>
        <v>9.8072999999999979</v>
      </c>
      <c r="E51" s="172">
        <v>0</v>
      </c>
      <c r="F51" s="117">
        <f>D51*E51</f>
        <v>0</v>
      </c>
      <c r="G51" s="117">
        <f t="shared" si="17"/>
        <v>644.0127</v>
      </c>
      <c r="H51" s="173">
        <f t="shared" si="20"/>
        <v>44762</v>
      </c>
      <c r="I51" s="175"/>
      <c r="J51" s="81">
        <f t="shared" si="0"/>
        <v>653.81999999999994</v>
      </c>
      <c r="K51" s="80">
        <v>644.01</v>
      </c>
      <c r="L51" s="186">
        <f t="shared" si="19"/>
        <v>2.7000000000043656E-3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737.84</v>
      </c>
      <c r="C52" s="116">
        <v>2.5000000000000001E-2</v>
      </c>
      <c r="D52" s="117">
        <f>B52*C52</f>
        <v>18.446000000000002</v>
      </c>
      <c r="E52" s="172">
        <v>0.05</v>
      </c>
      <c r="F52" s="117">
        <f>(B52/E$10)*E52</f>
        <v>31.80344827586207</v>
      </c>
      <c r="G52" s="117">
        <f>B52-D52-F52</f>
        <v>687.59055172413798</v>
      </c>
      <c r="H52" s="188">
        <f t="shared" si="20"/>
        <v>44762</v>
      </c>
      <c r="I52" s="176">
        <v>737.84</v>
      </c>
      <c r="J52" s="81">
        <f t="shared" si="0"/>
        <v>0</v>
      </c>
      <c r="K52" s="80">
        <v>34.630000000000003</v>
      </c>
      <c r="L52" s="186">
        <f>K52-G52</f>
        <v>-652.96055172413799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56</v>
      </c>
      <c r="C53" s="116">
        <v>2.5000000000000001E-2</v>
      </c>
      <c r="D53" s="117">
        <f t="shared" ref="D53:D56" si="21">B53*C53</f>
        <v>1.4000000000000001</v>
      </c>
      <c r="E53" s="172">
        <v>0.05</v>
      </c>
      <c r="F53" s="117">
        <f t="shared" ref="F53:F56" si="22">(B53/E$10)*E53</f>
        <v>2.4137931034482762</v>
      </c>
      <c r="G53" s="117">
        <f t="shared" ref="G53:G58" si="23">B53-D53-F53</f>
        <v>52.186206896551724</v>
      </c>
      <c r="H53" s="188">
        <f t="shared" si="20"/>
        <v>44762</v>
      </c>
      <c r="I53" s="176">
        <v>23.51</v>
      </c>
      <c r="J53" s="81">
        <f t="shared" si="0"/>
        <v>32.489999999999995</v>
      </c>
      <c r="K53" s="80"/>
      <c r="L53" s="186">
        <f t="shared" si="19"/>
        <v>52.186206896551724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44762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44762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238</v>
      </c>
      <c r="B56" s="117">
        <f>T75</f>
        <v>68.44</v>
      </c>
      <c r="C56" s="116">
        <v>2.5000000000000001E-2</v>
      </c>
      <c r="D56" s="117">
        <f t="shared" si="21"/>
        <v>1.7110000000000001</v>
      </c>
      <c r="E56" s="172">
        <v>0.05</v>
      </c>
      <c r="F56" s="117">
        <f t="shared" si="22"/>
        <v>2.95</v>
      </c>
      <c r="G56" s="117">
        <f t="shared" si="23"/>
        <v>63.778999999999996</v>
      </c>
      <c r="H56" s="173">
        <f t="shared" si="20"/>
        <v>44762</v>
      </c>
      <c r="I56" s="176">
        <v>68.44</v>
      </c>
      <c r="J56" s="81">
        <f>B56-I56</f>
        <v>0</v>
      </c>
      <c r="K56" s="80"/>
      <c r="L56" s="186">
        <f t="shared" si="19"/>
        <v>63.778999999999996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145.63962500000002</v>
      </c>
      <c r="E61" s="177"/>
      <c r="F61" s="57">
        <f>SUM(F46:F58)</f>
        <v>37.167241379310347</v>
      </c>
      <c r="G61" s="57">
        <f>SUM(G46:G58)</f>
        <v>16570.003133620688</v>
      </c>
      <c r="H61" s="173">
        <f t="shared" si="20"/>
        <v>44762</v>
      </c>
      <c r="I61" s="175"/>
      <c r="J61" s="81">
        <f t="shared" si="0"/>
        <v>0</v>
      </c>
      <c r="K61" s="80"/>
      <c r="L61" s="186">
        <f t="shared" si="19"/>
        <v>16570.003133620688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360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>
        <f>5+6</f>
        <v>11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56</v>
      </c>
      <c r="U63" s="191">
        <f t="shared" ref="U63:X63" si="26">SUM(U43:U62)</f>
        <v>2.4137931034482762</v>
      </c>
      <c r="V63" s="191">
        <f t="shared" si="26"/>
        <v>0</v>
      </c>
      <c r="W63" s="191">
        <f t="shared" si="26"/>
        <v>0</v>
      </c>
      <c r="X63" s="191">
        <f t="shared" si="26"/>
        <v>1.4000000000000004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52.186206896551731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SUM(G46:G60)</f>
        <v>16570.003133620688</v>
      </c>
      <c r="H64" s="184"/>
      <c r="I64" s="175"/>
      <c r="J64" s="81">
        <f t="shared" si="0"/>
        <v>0</v>
      </c>
      <c r="K64" s="80"/>
      <c r="L64" s="186">
        <f t="shared" si="19"/>
        <v>16570.003133620688</v>
      </c>
      <c r="M64" s="130"/>
      <c r="N64" s="87">
        <v>1</v>
      </c>
      <c r="O64" s="122" t="s">
        <v>262</v>
      </c>
      <c r="P64" s="87">
        <v>6707</v>
      </c>
      <c r="Q64" s="225"/>
      <c r="R64" s="236">
        <v>7.7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5.7749999999999996E-2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7.6422499999999998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28538.479999999992</v>
      </c>
      <c r="G65" s="22"/>
      <c r="L65" s="132"/>
      <c r="M65" s="131"/>
      <c r="N65" s="87">
        <v>2</v>
      </c>
      <c r="O65" s="122" t="s">
        <v>262</v>
      </c>
      <c r="P65" s="87"/>
      <c r="Q65" s="225"/>
      <c r="R65" s="236">
        <v>100.6</v>
      </c>
      <c r="S65" s="225"/>
      <c r="T65" s="87"/>
      <c r="U65" s="189">
        <f t="shared" si="28"/>
        <v>0</v>
      </c>
      <c r="V65" s="189">
        <f t="shared" si="29"/>
        <v>0.75449999999999995</v>
      </c>
      <c r="W65" s="189">
        <f t="shared" si="30"/>
        <v>0</v>
      </c>
      <c r="X65" s="189">
        <f t="shared" si="31"/>
        <v>0</v>
      </c>
      <c r="Y65" s="189">
        <f t="shared" si="32"/>
        <v>99.845500000000001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224</v>
      </c>
      <c r="P66" s="87"/>
      <c r="Q66" s="225"/>
      <c r="R66" s="225">
        <v>24.37</v>
      </c>
      <c r="S66" s="225"/>
      <c r="T66" s="87"/>
      <c r="U66" s="189">
        <f t="shared" si="28"/>
        <v>0</v>
      </c>
      <c r="V66" s="189">
        <f t="shared" si="29"/>
        <v>0.18277499999999999</v>
      </c>
      <c r="W66" s="189">
        <f t="shared" si="30"/>
        <v>0</v>
      </c>
      <c r="X66" s="189">
        <f t="shared" si="31"/>
        <v>0</v>
      </c>
      <c r="Y66" s="189">
        <f t="shared" si="32"/>
        <v>24.187225000000002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224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24736.87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224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25037.98</v>
      </c>
      <c r="C69" s="59"/>
      <c r="F69" s="87" t="s">
        <v>127</v>
      </c>
      <c r="G69" s="22"/>
      <c r="H69" s="89"/>
      <c r="I69" s="136"/>
      <c r="J69" s="136">
        <f>K52</f>
        <v>34.630000000000003</v>
      </c>
      <c r="N69" s="301" t="s">
        <v>108</v>
      </c>
      <c r="O69" s="301"/>
      <c r="P69" s="302"/>
      <c r="Q69" s="302"/>
      <c r="R69" s="192">
        <f>SUM(R64:R68)</f>
        <v>132.66999999999999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0.99502499999999994</v>
      </c>
      <c r="W69" s="192">
        <f t="shared" si="34"/>
        <v>0</v>
      </c>
      <c r="X69" s="192">
        <f t="shared" si="34"/>
        <v>0</v>
      </c>
      <c r="Y69" s="192">
        <f t="shared" si="34"/>
        <v>131.67497500000002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-301.11000000000058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164</v>
      </c>
      <c r="Q70" s="225">
        <v>2001</v>
      </c>
      <c r="R70" s="236">
        <v>537.79999999999995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4.0334999999999992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533.76649999999995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3500.4999999999927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34.630000000000003</v>
      </c>
      <c r="N71" s="87">
        <v>2</v>
      </c>
      <c r="O71" s="122" t="s">
        <v>210</v>
      </c>
      <c r="P71" s="225"/>
      <c r="Q71" s="225"/>
      <c r="R71" s="221"/>
      <c r="S71" s="225"/>
      <c r="T71" s="221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256</v>
      </c>
      <c r="P72" s="225"/>
      <c r="Q72" s="225"/>
      <c r="R72" s="221"/>
      <c r="S72" s="225"/>
      <c r="T72" s="221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256</v>
      </c>
      <c r="P73" s="225" t="s">
        <v>277</v>
      </c>
      <c r="Q73" s="225">
        <v>2001</v>
      </c>
      <c r="R73" s="236">
        <f>173.56+9.55</f>
        <v>183.11</v>
      </c>
      <c r="S73" s="225"/>
      <c r="T73" s="225">
        <v>68.44</v>
      </c>
      <c r="U73" s="189">
        <f t="shared" si="35"/>
        <v>2.95</v>
      </c>
      <c r="V73" s="189">
        <f t="shared" si="36"/>
        <v>1.3733250000000001</v>
      </c>
      <c r="W73" s="189">
        <f t="shared" si="37"/>
        <v>0</v>
      </c>
      <c r="X73" s="189">
        <f t="shared" si="38"/>
        <v>1.7110000000000001</v>
      </c>
      <c r="Y73" s="189">
        <f t="shared" si="39"/>
        <v>181.73667500000002</v>
      </c>
      <c r="Z73" s="189">
        <f t="shared" si="39"/>
        <v>0</v>
      </c>
      <c r="AA73" s="189">
        <f t="shared" si="40"/>
        <v>63.778999999999996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/>
      <c r="Q74" s="225"/>
      <c r="R74" s="221">
        <f>80+70+85+105+20</f>
        <v>360</v>
      </c>
      <c r="S74" s="225"/>
      <c r="T74" s="225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1080.9099999999999</v>
      </c>
      <c r="S75" s="192"/>
      <c r="T75" s="192">
        <f>SUM(T70:T74)</f>
        <v>68.44</v>
      </c>
      <c r="U75" s="192">
        <f>SUM(U70:U74)</f>
        <v>2.95</v>
      </c>
      <c r="V75" s="192">
        <f t="shared" ref="V75:AA75" si="42">SUM(V70:V74)</f>
        <v>8.1068249999999988</v>
      </c>
      <c r="W75" s="192">
        <f t="shared" si="42"/>
        <v>0</v>
      </c>
      <c r="X75" s="192">
        <f t="shared" si="42"/>
        <v>1.7110000000000001</v>
      </c>
      <c r="Y75" s="192">
        <f t="shared" si="42"/>
        <v>1072.803175</v>
      </c>
      <c r="Z75" s="192">
        <f t="shared" si="42"/>
        <v>0</v>
      </c>
      <c r="AA75" s="193">
        <f t="shared" si="42"/>
        <v>63.778999999999996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111.02</v>
      </c>
      <c r="Q78" s="137">
        <v>32</v>
      </c>
      <c r="R78" s="82">
        <v>7.4999999999999997E-3</v>
      </c>
      <c r="S78" s="194">
        <f>+(P78+Q78)*R78</f>
        <v>1.0726499999999999</v>
      </c>
      <c r="T78" s="254">
        <f>+(P78+Q78)-S78</f>
        <v>141.94734999999997</v>
      </c>
      <c r="U78" s="211">
        <v>62.56</v>
      </c>
      <c r="V78" s="112"/>
      <c r="W78" s="113">
        <v>1.4999999999999999E-2</v>
      </c>
      <c r="X78" s="196">
        <f>+(U78+V78)*W78</f>
        <v>0.93840000000000001</v>
      </c>
      <c r="Y78" s="254">
        <f>+(U78+V78)-X78</f>
        <v>61.621600000000001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1122.48</v>
      </c>
      <c r="N79" s="87">
        <v>2</v>
      </c>
      <c r="O79" s="87" t="s">
        <v>110</v>
      </c>
      <c r="P79" s="137">
        <v>122.76</v>
      </c>
      <c r="Q79" s="87">
        <v>18.8</v>
      </c>
      <c r="R79" s="82">
        <v>7.4999999999999997E-3</v>
      </c>
      <c r="S79" s="194">
        <f t="shared" ref="S79:S97" si="44">+(P79+Q79)*R79</f>
        <v>1.0617000000000001</v>
      </c>
      <c r="T79" s="254">
        <f t="shared" ref="T79:T97" si="45">+(P79+Q79)-S79</f>
        <v>140.4983</v>
      </c>
      <c r="U79" s="211">
        <v>147.91</v>
      </c>
      <c r="V79" s="112"/>
      <c r="W79" s="113">
        <v>1.4999999999999999E-2</v>
      </c>
      <c r="X79" s="196">
        <f t="shared" ref="X79:X97" si="46">+(U79+V79)*W79</f>
        <v>2.2186499999999998</v>
      </c>
      <c r="Y79" s="254">
        <f t="shared" ref="Y79:Y97" si="47">+(U79+V79)-X79</f>
        <v>145.69135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83.46</v>
      </c>
      <c r="Q80" s="137">
        <v>2.71</v>
      </c>
      <c r="R80" s="82">
        <v>7.4999999999999997E-3</v>
      </c>
      <c r="S80" s="194">
        <f t="shared" si="44"/>
        <v>0.64627499999999993</v>
      </c>
      <c r="T80" s="213">
        <f t="shared" si="45"/>
        <v>85.523724999999985</v>
      </c>
      <c r="U80" s="211">
        <v>49.78</v>
      </c>
      <c r="V80" s="112"/>
      <c r="W80" s="113">
        <v>1.4999999999999999E-2</v>
      </c>
      <c r="X80" s="196">
        <f t="shared" si="46"/>
        <v>0.74670000000000003</v>
      </c>
      <c r="Y80" s="213">
        <f t="shared" si="47"/>
        <v>49.033300000000004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1122.48</v>
      </c>
      <c r="N81" s="87">
        <v>4</v>
      </c>
      <c r="O81" s="87" t="s">
        <v>110</v>
      </c>
      <c r="P81" s="137">
        <v>38.909999999999997</v>
      </c>
      <c r="Q81" s="137">
        <v>57.91</v>
      </c>
      <c r="R81" s="82">
        <v>7.4999999999999997E-3</v>
      </c>
      <c r="S81" s="194">
        <f t="shared" si="44"/>
        <v>0.72614999999999996</v>
      </c>
      <c r="T81" s="213">
        <f t="shared" si="45"/>
        <v>96.093849999999989</v>
      </c>
      <c r="U81" s="211">
        <v>169.98</v>
      </c>
      <c r="V81" s="112"/>
      <c r="W81" s="113">
        <v>1.4999999999999999E-2</v>
      </c>
      <c r="X81" s="196">
        <f t="shared" si="46"/>
        <v>2.5496999999999996</v>
      </c>
      <c r="Y81" s="213">
        <f t="shared" si="47"/>
        <v>167.43029999999999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35.020000000000003</v>
      </c>
      <c r="Q82" s="137">
        <v>6.6</v>
      </c>
      <c r="R82" s="82">
        <v>7.4999999999999997E-3</v>
      </c>
      <c r="S82" s="194">
        <f t="shared" si="44"/>
        <v>0.31215000000000004</v>
      </c>
      <c r="T82" s="254">
        <f t="shared" si="45"/>
        <v>41.307850000000002</v>
      </c>
      <c r="U82" s="211">
        <v>3.71</v>
      </c>
      <c r="V82" s="112"/>
      <c r="W82" s="113">
        <v>1.4999999999999999E-2</v>
      </c>
      <c r="X82" s="196">
        <f t="shared" si="46"/>
        <v>5.5649999999999998E-2</v>
      </c>
      <c r="Y82" s="254">
        <f t="shared" si="47"/>
        <v>3.65435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354.6</v>
      </c>
      <c r="Q83" s="137">
        <v>105.47</v>
      </c>
      <c r="R83" s="82">
        <v>7.4999999999999997E-3</v>
      </c>
      <c r="S83" s="194">
        <f t="shared" si="44"/>
        <v>3.4505250000000003</v>
      </c>
      <c r="T83" s="254">
        <f t="shared" si="45"/>
        <v>456.61947500000002</v>
      </c>
      <c r="U83" s="211">
        <v>79.650000000000006</v>
      </c>
      <c r="V83" s="112"/>
      <c r="W83" s="113">
        <v>1.4999999999999999E-2</v>
      </c>
      <c r="X83" s="196">
        <f t="shared" si="46"/>
        <v>1.19475</v>
      </c>
      <c r="Y83" s="254">
        <f t="shared" si="47"/>
        <v>78.455250000000007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>
        <v>2.7</v>
      </c>
      <c r="Q84" s="137"/>
      <c r="R84" s="82">
        <v>7.4999999999999997E-3</v>
      </c>
      <c r="S84" s="194">
        <f t="shared" si="44"/>
        <v>2.0250000000000001E-2</v>
      </c>
      <c r="T84" s="254">
        <f t="shared" si="45"/>
        <v>2.6797500000000003</v>
      </c>
      <c r="U84" s="112">
        <v>2.52</v>
      </c>
      <c r="V84" s="112"/>
      <c r="W84" s="113">
        <v>1.4999999999999999E-2</v>
      </c>
      <c r="X84" s="196">
        <f t="shared" si="46"/>
        <v>3.78E-2</v>
      </c>
      <c r="Y84" s="254">
        <f t="shared" si="47"/>
        <v>2.4822000000000002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>
        <v>11</v>
      </c>
      <c r="R85" s="82">
        <v>7.4999999999999997E-3</v>
      </c>
      <c r="S85" s="194">
        <f t="shared" si="44"/>
        <v>8.249999999999999E-2</v>
      </c>
      <c r="T85" s="254">
        <f t="shared" si="45"/>
        <v>10.9175</v>
      </c>
      <c r="U85" s="112">
        <v>20.64</v>
      </c>
      <c r="V85" s="112"/>
      <c r="W85" s="113">
        <v>1.4999999999999999E-2</v>
      </c>
      <c r="X85" s="196">
        <f t="shared" si="46"/>
        <v>0.30959999999999999</v>
      </c>
      <c r="Y85" s="254">
        <f t="shared" si="47"/>
        <v>20.330400000000001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42.72</v>
      </c>
      <c r="Q86" s="87"/>
      <c r="R86" s="82">
        <v>7.4999999999999997E-3</v>
      </c>
      <c r="S86" s="194">
        <f t="shared" si="44"/>
        <v>0.32039999999999996</v>
      </c>
      <c r="T86" s="254">
        <f t="shared" si="45"/>
        <v>42.3996</v>
      </c>
      <c r="U86" s="112">
        <v>17.28</v>
      </c>
      <c r="V86" s="112"/>
      <c r="W86" s="113">
        <v>1.4999999999999999E-2</v>
      </c>
      <c r="X86" s="196">
        <f t="shared" si="46"/>
        <v>0.25919999999999999</v>
      </c>
      <c r="Y86" s="254">
        <f t="shared" si="47"/>
        <v>17.020800000000001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137">
        <v>84.76</v>
      </c>
      <c r="Q87" s="87">
        <v>20.52</v>
      </c>
      <c r="R87" s="82">
        <v>7.4999999999999997E-3</v>
      </c>
      <c r="S87" s="194">
        <f t="shared" si="44"/>
        <v>0.78959999999999997</v>
      </c>
      <c r="T87" s="254">
        <f t="shared" si="45"/>
        <v>104.49040000000001</v>
      </c>
      <c r="U87" s="112">
        <v>99.79</v>
      </c>
      <c r="V87" s="112"/>
      <c r="W87" s="113">
        <v>1.4999999999999999E-2</v>
      </c>
      <c r="X87" s="196">
        <f t="shared" si="46"/>
        <v>1.49685</v>
      </c>
      <c r="Y87" s="254">
        <f t="shared" si="47"/>
        <v>98.293150000000011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875.95</v>
      </c>
      <c r="Q98" s="195">
        <f>SUM(Q78:Q97)</f>
        <v>255.01</v>
      </c>
      <c r="R98" s="111"/>
      <c r="S98" s="195">
        <f>SUM(S78:S97)</f>
        <v>8.4821999999999989</v>
      </c>
      <c r="T98" s="195">
        <f>SUM(T78:T97)</f>
        <v>1122.4777999999999</v>
      </c>
      <c r="U98" s="114">
        <f>SUM(U78:U97)</f>
        <v>653.81999999999994</v>
      </c>
      <c r="V98" s="114">
        <f>SUM(V78:V97)</f>
        <v>0</v>
      </c>
      <c r="W98" s="112"/>
      <c r="X98" s="197">
        <f>SUM(X78:X97)</f>
        <v>9.8072999999999997</v>
      </c>
      <c r="Y98" s="197">
        <f>SUM(Y78:Y97)</f>
        <v>644.0127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5">
        <f>P78+Q78+U78</f>
        <v>205.57999999999998</v>
      </c>
      <c r="Q101" s="84"/>
    </row>
    <row r="102" spans="14:30" x14ac:dyDescent="0.25">
      <c r="N102" s="85"/>
      <c r="O102" s="84"/>
      <c r="P102" s="215">
        <f>P79+U79+Q79</f>
        <v>289.47000000000003</v>
      </c>
      <c r="Q102" s="84"/>
    </row>
    <row r="103" spans="14:30" x14ac:dyDescent="0.25">
      <c r="N103" s="85"/>
      <c r="O103" s="84"/>
      <c r="P103" s="215">
        <f>P80+Q80+U80</f>
        <v>135.94999999999999</v>
      </c>
      <c r="Q103" s="84"/>
    </row>
    <row r="104" spans="14:30" x14ac:dyDescent="0.25">
      <c r="N104" s="85"/>
      <c r="O104" s="84"/>
      <c r="P104" s="215">
        <f>P81+Q81+U81</f>
        <v>266.79999999999995</v>
      </c>
      <c r="Q104" s="84"/>
    </row>
    <row r="105" spans="14:30" x14ac:dyDescent="0.25">
      <c r="N105" s="85"/>
      <c r="O105" s="84"/>
      <c r="P105" s="215">
        <f>P82+U82+Q82</f>
        <v>45.330000000000005</v>
      </c>
      <c r="Q105" s="84"/>
    </row>
    <row r="106" spans="14:30" x14ac:dyDescent="0.25">
      <c r="N106" s="85"/>
      <c r="O106" s="84"/>
      <c r="P106" s="215">
        <f>P83+Q83+U83</f>
        <v>539.72</v>
      </c>
      <c r="Q106" s="84"/>
    </row>
    <row r="107" spans="14:30" x14ac:dyDescent="0.25">
      <c r="N107" s="85"/>
      <c r="O107" s="84"/>
      <c r="P107" s="84">
        <f>P84+Q84+U84</f>
        <v>5.2200000000000006</v>
      </c>
      <c r="Q107" s="84"/>
    </row>
    <row r="108" spans="14:30" x14ac:dyDescent="0.25">
      <c r="N108" s="85"/>
      <c r="O108" s="84"/>
      <c r="P108" s="84">
        <f>P85+Q85+U85</f>
        <v>31.64</v>
      </c>
      <c r="Q108" s="84"/>
    </row>
    <row r="109" spans="14:30" x14ac:dyDescent="0.25">
      <c r="N109" s="85"/>
      <c r="O109" s="84"/>
      <c r="P109" s="84">
        <f>P86+Q86+U86+Z86</f>
        <v>60</v>
      </c>
      <c r="Q109" s="84"/>
    </row>
    <row r="110" spans="14:30" x14ac:dyDescent="0.25">
      <c r="N110" s="85"/>
      <c r="O110" s="84"/>
      <c r="P110" s="233">
        <f>P87+Q87+U87</f>
        <v>205.07</v>
      </c>
      <c r="Q110" s="84"/>
    </row>
    <row r="111" spans="14:30" x14ac:dyDescent="0.25">
      <c r="N111" s="85"/>
      <c r="O111" s="84"/>
      <c r="P111" s="84">
        <f>P88+Q88+U88</f>
        <v>0</v>
      </c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61" zoomScale="90" zoomScaleNormal="90" workbookViewId="0">
      <selection activeCell="T83" sqref="T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44762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1268.5</v>
      </c>
      <c r="C12" s="15"/>
      <c r="D12" s="56"/>
      <c r="E12" s="16"/>
      <c r="F12" s="56"/>
      <c r="G12" s="56"/>
      <c r="H12" s="17"/>
      <c r="I12" s="83">
        <v>1268.5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185</v>
      </c>
      <c r="Q12" s="158">
        <v>11</v>
      </c>
      <c r="R12" s="159">
        <v>414.74</v>
      </c>
      <c r="S12" s="160"/>
      <c r="T12" s="160"/>
      <c r="U12" s="189">
        <f>((T12/U$10)*U$9)</f>
        <v>0</v>
      </c>
      <c r="V12" s="189">
        <f>R12*V$10</f>
        <v>3.1105499999999999</v>
      </c>
      <c r="W12" s="189">
        <f>+S12*V$10</f>
        <v>0</v>
      </c>
      <c r="X12" s="189">
        <f>+T12*X$10</f>
        <v>0</v>
      </c>
      <c r="Y12" s="189">
        <f>R12-V12</f>
        <v>411.62945000000002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1281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1281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567</v>
      </c>
      <c r="Q13" s="158">
        <v>2</v>
      </c>
      <c r="R13" s="159">
        <v>781.95</v>
      </c>
      <c r="S13" s="160"/>
      <c r="T13" s="161">
        <v>47.54</v>
      </c>
      <c r="U13" s="189">
        <f t="shared" ref="U13:U41" si="2">((T13/U$10)*U$9)</f>
        <v>2.0491379310344828</v>
      </c>
      <c r="V13" s="189">
        <f t="shared" ref="V13:V41" si="3">R13*V$10</f>
        <v>5.8646250000000002</v>
      </c>
      <c r="W13" s="189">
        <f t="shared" ref="W13:W41" si="4">+S13*V$10</f>
        <v>0</v>
      </c>
      <c r="X13" s="189">
        <f t="shared" ref="X13:X41" si="5">+T13*X$10</f>
        <v>1.1885000000000001</v>
      </c>
      <c r="Y13" s="189">
        <f t="shared" ref="Y13:Z41" si="6">R13-V13</f>
        <v>776.085375</v>
      </c>
      <c r="Z13" s="189">
        <f t="shared" si="6"/>
        <v>0</v>
      </c>
      <c r="AA13" s="189">
        <f t="shared" ref="AA13:AA41" si="7">T13-U13-X13</f>
        <v>44.302362068965522</v>
      </c>
      <c r="AB13" s="156"/>
    </row>
    <row r="14" spans="1:28" ht="15.75" x14ac:dyDescent="0.25">
      <c r="A14" s="86" t="s">
        <v>81</v>
      </c>
      <c r="B14" s="57">
        <f>B13*B8</f>
        <v>7340.13</v>
      </c>
      <c r="C14" s="15"/>
      <c r="D14" s="56"/>
      <c r="E14" s="16"/>
      <c r="F14" s="56"/>
      <c r="G14" s="56"/>
      <c r="H14" s="17"/>
      <c r="I14" s="83"/>
      <c r="J14" s="81">
        <f t="shared" si="0"/>
        <v>7340.13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568</v>
      </c>
      <c r="Q14" s="158">
        <v>2</v>
      </c>
      <c r="R14" s="159">
        <v>1128.05</v>
      </c>
      <c r="S14" s="160"/>
      <c r="T14" s="161"/>
      <c r="U14" s="189">
        <f t="shared" si="2"/>
        <v>0</v>
      </c>
      <c r="V14" s="189">
        <f t="shared" si="3"/>
        <v>8.4603749999999991</v>
      </c>
      <c r="W14" s="189">
        <f t="shared" si="4"/>
        <v>0</v>
      </c>
      <c r="X14" s="189">
        <f t="shared" si="5"/>
        <v>0</v>
      </c>
      <c r="Y14" s="189">
        <f t="shared" si="6"/>
        <v>1119.5896250000001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852</v>
      </c>
      <c r="C15" s="15"/>
      <c r="D15" s="56"/>
      <c r="E15" s="16"/>
      <c r="F15" s="56"/>
      <c r="G15" s="56"/>
      <c r="H15" s="17"/>
      <c r="I15" s="83"/>
      <c r="J15" s="81">
        <f t="shared" si="0"/>
        <v>852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548</v>
      </c>
      <c r="Q15" s="158">
        <v>4</v>
      </c>
      <c r="R15" s="159">
        <v>765.19</v>
      </c>
      <c r="S15" s="160"/>
      <c r="T15" s="161">
        <v>66.25</v>
      </c>
      <c r="U15" s="189">
        <f t="shared" si="2"/>
        <v>2.8556034482758625</v>
      </c>
      <c r="V15" s="189">
        <f t="shared" si="3"/>
        <v>5.7389250000000001</v>
      </c>
      <c r="W15" s="189">
        <f t="shared" si="4"/>
        <v>0</v>
      </c>
      <c r="X15" s="189">
        <f t="shared" si="5"/>
        <v>1.65625</v>
      </c>
      <c r="Y15" s="189">
        <f t="shared" si="6"/>
        <v>759.45107500000006</v>
      </c>
      <c r="Z15" s="189">
        <f t="shared" si="6"/>
        <v>0</v>
      </c>
      <c r="AA15" s="189">
        <f t="shared" si="7"/>
        <v>61.738146551724135</v>
      </c>
      <c r="AB15" s="156"/>
    </row>
    <row r="16" spans="1:28" ht="15.75" x14ac:dyDescent="0.25">
      <c r="A16" s="86" t="s">
        <v>81</v>
      </c>
      <c r="B16" s="57">
        <f>B15*B9</f>
        <v>4856.4000000000005</v>
      </c>
      <c r="C16" s="15"/>
      <c r="D16" s="56"/>
      <c r="E16" s="16"/>
      <c r="F16" s="56"/>
      <c r="G16" s="56"/>
      <c r="H16" s="17"/>
      <c r="I16" s="83"/>
      <c r="J16" s="81">
        <f t="shared" si="0"/>
        <v>4856.4000000000005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549</v>
      </c>
      <c r="Q16" s="158">
        <v>4</v>
      </c>
      <c r="R16" s="159">
        <v>1368.1</v>
      </c>
      <c r="S16" s="160"/>
      <c r="T16" s="161"/>
      <c r="U16" s="189">
        <f t="shared" si="2"/>
        <v>0</v>
      </c>
      <c r="V16" s="189">
        <f t="shared" si="3"/>
        <v>10.26075</v>
      </c>
      <c r="W16" s="189">
        <f t="shared" si="4"/>
        <v>0</v>
      </c>
      <c r="X16" s="189">
        <f t="shared" si="5"/>
        <v>0</v>
      </c>
      <c r="Y16" s="189">
        <f t="shared" si="6"/>
        <v>1357.83925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550</v>
      </c>
      <c r="Q17" s="158">
        <v>14</v>
      </c>
      <c r="R17" s="159">
        <v>11.7</v>
      </c>
      <c r="S17" s="160"/>
      <c r="T17" s="161"/>
      <c r="U17" s="189">
        <f t="shared" si="2"/>
        <v>0</v>
      </c>
      <c r="V17" s="189">
        <f t="shared" si="3"/>
        <v>8.7749999999999995E-2</v>
      </c>
      <c r="W17" s="189">
        <f t="shared" si="4"/>
        <v>0</v>
      </c>
      <c r="X17" s="189">
        <f t="shared" si="5"/>
        <v>0</v>
      </c>
      <c r="Y17" s="189">
        <f t="shared" si="6"/>
        <v>11.61225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199</v>
      </c>
      <c r="Q18" s="158">
        <v>10</v>
      </c>
      <c r="R18" s="159">
        <v>565.46</v>
      </c>
      <c r="S18" s="160"/>
      <c r="T18" s="161"/>
      <c r="U18" s="189">
        <f t="shared" si="2"/>
        <v>0</v>
      </c>
      <c r="V18" s="189">
        <f t="shared" si="3"/>
        <v>4.2409499999999998</v>
      </c>
      <c r="W18" s="189">
        <f t="shared" si="4"/>
        <v>0</v>
      </c>
      <c r="X18" s="189">
        <f t="shared" si="5"/>
        <v>0</v>
      </c>
      <c r="Y18" s="189">
        <f t="shared" si="6"/>
        <v>561.21905000000004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2133</v>
      </c>
      <c r="C19" s="95"/>
      <c r="D19" s="94"/>
      <c r="E19" s="96"/>
      <c r="F19" s="94"/>
      <c r="G19" s="94"/>
      <c r="H19" s="98"/>
      <c r="I19" s="99"/>
      <c r="J19" s="185">
        <f>B19-I19</f>
        <v>2133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200</v>
      </c>
      <c r="Q19" s="158">
        <v>10</v>
      </c>
      <c r="R19" s="159">
        <v>600.51</v>
      </c>
      <c r="S19" s="160"/>
      <c r="T19" s="161">
        <v>22.69</v>
      </c>
      <c r="U19" s="189">
        <f t="shared" si="2"/>
        <v>0.97801724137931056</v>
      </c>
      <c r="V19" s="189">
        <f t="shared" si="3"/>
        <v>4.503825</v>
      </c>
      <c r="W19" s="189">
        <f t="shared" si="4"/>
        <v>0</v>
      </c>
      <c r="X19" s="189">
        <f t="shared" si="5"/>
        <v>0.56725000000000003</v>
      </c>
      <c r="Y19" s="189">
        <f t="shared" si="6"/>
        <v>596.00617499999998</v>
      </c>
      <c r="Z19" s="189">
        <f t="shared" si="6"/>
        <v>0</v>
      </c>
      <c r="AA19" s="189">
        <f t="shared" si="7"/>
        <v>21.144732758620691</v>
      </c>
      <c r="AB19" s="156"/>
    </row>
    <row r="20" spans="1:28" ht="15.75" x14ac:dyDescent="0.25">
      <c r="A20" s="93" t="s">
        <v>80</v>
      </c>
      <c r="B20" s="97">
        <f>+B14+B16+B18</f>
        <v>12196.53</v>
      </c>
      <c r="C20" s="95"/>
      <c r="D20" s="94"/>
      <c r="E20" s="96"/>
      <c r="F20" s="94"/>
      <c r="G20" s="94"/>
      <c r="H20" s="98"/>
      <c r="I20" s="99">
        <v>12222.09</v>
      </c>
      <c r="J20" s="185">
        <f t="shared" si="0"/>
        <v>-25.559999999999491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633</v>
      </c>
      <c r="Q20" s="158">
        <v>18</v>
      </c>
      <c r="R20" s="159">
        <v>884.91</v>
      </c>
      <c r="S20" s="160"/>
      <c r="T20" s="161"/>
      <c r="U20" s="189">
        <f t="shared" si="2"/>
        <v>0</v>
      </c>
      <c r="V20" s="189">
        <f t="shared" si="3"/>
        <v>6.6368249999999991</v>
      </c>
      <c r="W20" s="189">
        <f t="shared" si="4"/>
        <v>0</v>
      </c>
      <c r="X20" s="189">
        <f t="shared" si="5"/>
        <v>0</v>
      </c>
      <c r="Y20" s="189">
        <f t="shared" si="6"/>
        <v>878.27317499999992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634</v>
      </c>
      <c r="Q21" s="158">
        <v>18</v>
      </c>
      <c r="R21" s="159">
        <v>651.97</v>
      </c>
      <c r="S21" s="160"/>
      <c r="T21" s="161">
        <v>84.84</v>
      </c>
      <c r="U21" s="189">
        <f t="shared" si="2"/>
        <v>3.6568965517241381</v>
      </c>
      <c r="V21" s="189">
        <f t="shared" si="3"/>
        <v>4.8897750000000002</v>
      </c>
      <c r="W21" s="189">
        <f t="shared" si="4"/>
        <v>0</v>
      </c>
      <c r="X21" s="189">
        <f t="shared" si="5"/>
        <v>2.121</v>
      </c>
      <c r="Y21" s="189">
        <f t="shared" si="6"/>
        <v>647.08022500000004</v>
      </c>
      <c r="Z21" s="189">
        <f t="shared" si="6"/>
        <v>0</v>
      </c>
      <c r="AA21" s="189">
        <f t="shared" si="7"/>
        <v>79.062103448275863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19.78</v>
      </c>
      <c r="C37" s="100"/>
      <c r="D37" s="66"/>
      <c r="E37" s="67"/>
      <c r="F37" s="66"/>
      <c r="G37" s="66"/>
      <c r="H37" s="102"/>
      <c r="I37" s="79">
        <v>19.78</v>
      </c>
      <c r="J37" s="81">
        <f t="shared" si="0"/>
        <v>0</v>
      </c>
      <c r="K37" s="80">
        <f>7.99+11.79</f>
        <v>19.78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113.33940000000001</v>
      </c>
      <c r="C38" s="100"/>
      <c r="D38" s="66"/>
      <c r="E38" s="67"/>
      <c r="F38" s="66"/>
      <c r="G38" s="66"/>
      <c r="H38" s="102"/>
      <c r="I38" s="79">
        <v>113.34</v>
      </c>
      <c r="J38" s="81">
        <f t="shared" si="0"/>
        <v>-5.9999999999149622E-4</v>
      </c>
      <c r="K38" s="80">
        <v>113.34</v>
      </c>
      <c r="L38" s="186">
        <f>K38-B38</f>
        <v>5.9999999999149622E-4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7172.58</v>
      </c>
      <c r="S42" s="190">
        <f t="shared" si="8"/>
        <v>0</v>
      </c>
      <c r="T42" s="190">
        <f t="shared" si="8"/>
        <v>221.32</v>
      </c>
      <c r="U42" s="190">
        <f t="shared" si="8"/>
        <v>9.539655172413795</v>
      </c>
      <c r="V42" s="190">
        <f t="shared" si="8"/>
        <v>53.794350000000001</v>
      </c>
      <c r="W42" s="190">
        <f t="shared" si="8"/>
        <v>0</v>
      </c>
      <c r="X42" s="190">
        <f t="shared" si="8"/>
        <v>5.5330000000000004</v>
      </c>
      <c r="Y42" s="190">
        <f t="shared" si="8"/>
        <v>7118.7856499999998</v>
      </c>
      <c r="Z42" s="190">
        <f t="shared" si="8"/>
        <v>0</v>
      </c>
      <c r="AA42" s="190">
        <f t="shared" si="8"/>
        <v>206.2473448275862</v>
      </c>
      <c r="AB42" s="166"/>
    </row>
    <row r="43" spans="1:28" ht="15.75" x14ac:dyDescent="0.25">
      <c r="A43" s="93" t="s">
        <v>101</v>
      </c>
      <c r="B43" s="97">
        <f>+B37+B39+B41</f>
        <v>19.78</v>
      </c>
      <c r="C43" s="95"/>
      <c r="D43" s="94"/>
      <c r="E43" s="96"/>
      <c r="F43" s="94"/>
      <c r="G43" s="94"/>
      <c r="H43" s="98"/>
      <c r="I43" s="99">
        <v>19.78</v>
      </c>
      <c r="J43" s="185">
        <f t="shared" si="0"/>
        <v>0</v>
      </c>
      <c r="K43" s="99">
        <v>19.78</v>
      </c>
      <c r="L43" s="187">
        <f>K43-B43</f>
        <v>0</v>
      </c>
      <c r="M43" s="107"/>
      <c r="N43" s="104">
        <v>1</v>
      </c>
      <c r="O43" s="167" t="s">
        <v>186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113.33940000000001</v>
      </c>
      <c r="C44" s="95"/>
      <c r="D44" s="94"/>
      <c r="E44" s="96"/>
      <c r="F44" s="94"/>
      <c r="G44" s="94"/>
      <c r="H44" s="98"/>
      <c r="I44" s="99">
        <v>113.34</v>
      </c>
      <c r="J44" s="185">
        <f t="shared" si="0"/>
        <v>-5.9999999999149622E-4</v>
      </c>
      <c r="K44" s="99">
        <v>113.34</v>
      </c>
      <c r="L44" s="187">
        <f>K44-B44</f>
        <v>5.9999999999149622E-4</v>
      </c>
      <c r="M44" s="107"/>
      <c r="N44" s="104">
        <v>2</v>
      </c>
      <c r="O44" s="167" t="s">
        <v>186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7172.58</v>
      </c>
      <c r="C46" s="116">
        <v>7.4999999999999997E-3</v>
      </c>
      <c r="D46" s="117">
        <f>B46*C46</f>
        <v>53.794349999999994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7118.7856499999998</v>
      </c>
      <c r="H46" s="173">
        <f>B$6+1</f>
        <v>44763</v>
      </c>
      <c r="I46" s="174">
        <v>7172.58</v>
      </c>
      <c r="J46" s="81">
        <f t="shared" si="0"/>
        <v>0</v>
      </c>
      <c r="K46" s="80">
        <v>7230.52</v>
      </c>
      <c r="L46" s="186">
        <f>K46-G46</f>
        <v>111.73435000000063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154.16</v>
      </c>
      <c r="C48" s="116">
        <v>7.4999999999999997E-3</v>
      </c>
      <c r="D48" s="117">
        <f t="shared" si="17"/>
        <v>1.1561999999999999</v>
      </c>
      <c r="E48" s="172">
        <v>0</v>
      </c>
      <c r="F48" s="117">
        <f t="shared" si="15"/>
        <v>0</v>
      </c>
      <c r="G48" s="117">
        <f t="shared" si="16"/>
        <v>153.00379999999998</v>
      </c>
      <c r="H48" s="173">
        <f t="shared" ref="H48:H61" si="19">B$6+1</f>
        <v>44763</v>
      </c>
      <c r="I48" s="176">
        <v>154.16</v>
      </c>
      <c r="J48" s="81">
        <f t="shared" si="0"/>
        <v>0</v>
      </c>
      <c r="K48" s="80"/>
      <c r="L48" s="186">
        <f t="shared" si="18"/>
        <v>153.00379999999998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200</v>
      </c>
      <c r="B49" s="117">
        <f>R75</f>
        <v>3165.26</v>
      </c>
      <c r="C49" s="116">
        <v>7.4999999999999997E-3</v>
      </c>
      <c r="D49" s="117">
        <f t="shared" si="17"/>
        <v>23.739450000000001</v>
      </c>
      <c r="E49" s="172">
        <v>0</v>
      </c>
      <c r="F49" s="117">
        <f t="shared" si="15"/>
        <v>0</v>
      </c>
      <c r="G49" s="117">
        <f t="shared" si="16"/>
        <v>3141.5205500000002</v>
      </c>
      <c r="H49" s="173">
        <f t="shared" si="19"/>
        <v>44763</v>
      </c>
      <c r="I49" s="176">
        <f>2745.26</f>
        <v>2745.26</v>
      </c>
      <c r="J49" s="81">
        <f t="shared" si="0"/>
        <v>420</v>
      </c>
      <c r="K49" s="80"/>
      <c r="L49" s="186">
        <f t="shared" si="18"/>
        <v>3141.5205500000002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1494.6999999999998</v>
      </c>
      <c r="C50" s="116">
        <v>7.4999999999999997E-3</v>
      </c>
      <c r="D50" s="117">
        <f t="shared" si="17"/>
        <v>11.210249999999998</v>
      </c>
      <c r="E50" s="172">
        <v>0</v>
      </c>
      <c r="F50" s="117">
        <f t="shared" si="15"/>
        <v>0</v>
      </c>
      <c r="G50" s="117">
        <f t="shared" si="16"/>
        <v>1483.4897499999997</v>
      </c>
      <c r="H50" s="173">
        <f t="shared" si="19"/>
        <v>44763</v>
      </c>
      <c r="I50" s="175"/>
      <c r="J50" s="81">
        <f t="shared" si="0"/>
        <v>1494.6999999999998</v>
      </c>
      <c r="K50" s="80"/>
      <c r="L50" s="186">
        <f t="shared" si="18"/>
        <v>1483.4897499999997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676.99</v>
      </c>
      <c r="C51" s="116">
        <v>1.4999999999999999E-2</v>
      </c>
      <c r="D51" s="117">
        <f>+B51*C51</f>
        <v>10.15485</v>
      </c>
      <c r="E51" s="172">
        <v>0</v>
      </c>
      <c r="F51" s="117">
        <f>D51*E51</f>
        <v>0</v>
      </c>
      <c r="G51" s="117">
        <f t="shared" si="16"/>
        <v>666.83515</v>
      </c>
      <c r="H51" s="173">
        <f t="shared" si="19"/>
        <v>44763</v>
      </c>
      <c r="I51" s="175">
        <v>2170.5500000000002</v>
      </c>
      <c r="J51" s="81">
        <f t="shared" si="0"/>
        <v>-1493.5600000000002</v>
      </c>
      <c r="K51" s="80"/>
      <c r="L51" s="186">
        <f t="shared" si="18"/>
        <v>666.83515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221.32</v>
      </c>
      <c r="C52" s="116">
        <v>2.5000000000000001E-2</v>
      </c>
      <c r="D52" s="117">
        <f>B52*C52</f>
        <v>5.5330000000000004</v>
      </c>
      <c r="E52" s="172">
        <v>0.05</v>
      </c>
      <c r="F52" s="117">
        <f>(B52/E$10)*E52</f>
        <v>9.5396551724137932</v>
      </c>
      <c r="G52" s="117">
        <f>B52-D52-F52</f>
        <v>206.2473448275862</v>
      </c>
      <c r="H52" s="188">
        <f t="shared" si="19"/>
        <v>44763</v>
      </c>
      <c r="I52" s="176">
        <v>221.32</v>
      </c>
      <c r="J52" s="81">
        <f t="shared" si="0"/>
        <v>0</v>
      </c>
      <c r="K52" s="80">
        <v>101.28</v>
      </c>
      <c r="L52" s="186">
        <f>K52-G52</f>
        <v>-104.9673448275862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219</v>
      </c>
      <c r="B56" s="117">
        <f>T75</f>
        <v>68.599999999999994</v>
      </c>
      <c r="C56" s="116">
        <v>2.5000000000000001E-2</v>
      </c>
      <c r="D56" s="117">
        <f t="shared" si="20"/>
        <v>1.7149999999999999</v>
      </c>
      <c r="E56" s="172">
        <v>0.05</v>
      </c>
      <c r="F56" s="117">
        <f t="shared" si="21"/>
        <v>2.9568965517241379</v>
      </c>
      <c r="G56" s="117">
        <f t="shared" si="22"/>
        <v>63.928103448275856</v>
      </c>
      <c r="H56" s="173">
        <f t="shared" si="19"/>
        <v>44763</v>
      </c>
      <c r="I56" s="176">
        <v>68.599999999999994</v>
      </c>
      <c r="J56" s="81">
        <f t="shared" si="0"/>
        <v>0</v>
      </c>
      <c r="K56" s="80"/>
      <c r="L56" s="186">
        <f t="shared" si="18"/>
        <v>63.928103448275856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>
        <v>1865.13</v>
      </c>
      <c r="C59" s="18"/>
      <c r="D59" s="57"/>
      <c r="E59" s="177"/>
      <c r="F59" s="57"/>
      <c r="G59" s="57">
        <f>B59-D59-F59</f>
        <v>1865.13</v>
      </c>
      <c r="H59" s="173"/>
      <c r="I59" s="175">
        <v>1865.13</v>
      </c>
      <c r="J59" s="81">
        <f>B59-I59</f>
        <v>0</v>
      </c>
      <c r="K59" s="80"/>
      <c r="L59" s="186">
        <f t="shared" si="18"/>
        <v>1865.13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107.3031</v>
      </c>
      <c r="E61" s="177"/>
      <c r="F61" s="57">
        <f>SUM(F46:F58)</f>
        <v>12.49655172413793</v>
      </c>
      <c r="G61" s="57">
        <f>SUM(G46:G58)</f>
        <v>12833.810348275865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12833.810348275865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420</v>
      </c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420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27532.750696551731</v>
      </c>
      <c r="H64" s="184"/>
      <c r="I64" s="175"/>
      <c r="J64" s="81">
        <f t="shared" si="0"/>
        <v>0</v>
      </c>
      <c r="K64" s="80"/>
      <c r="L64" s="186">
        <f t="shared" si="18"/>
        <v>27532.750696551731</v>
      </c>
      <c r="M64" s="130"/>
      <c r="N64" s="87">
        <v>1</v>
      </c>
      <c r="O64" s="122" t="s">
        <v>262</v>
      </c>
      <c r="P64" s="87">
        <v>5382</v>
      </c>
      <c r="Q64" s="87"/>
      <c r="R64" s="87">
        <v>7.7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5.7749999999999996E-2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7.6422499999999998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27977.109400000005</v>
      </c>
      <c r="G65" s="22"/>
      <c r="L65" s="132"/>
      <c r="M65" s="131"/>
      <c r="N65" s="87">
        <v>2</v>
      </c>
      <c r="O65" s="122" t="s">
        <v>262</v>
      </c>
      <c r="P65" s="87"/>
      <c r="Q65" s="87"/>
      <c r="R65" s="87">
        <v>63.83</v>
      </c>
      <c r="S65" s="87"/>
      <c r="T65" s="87"/>
      <c r="U65" s="189">
        <f t="shared" si="27"/>
        <v>0</v>
      </c>
      <c r="V65" s="189">
        <f t="shared" si="28"/>
        <v>0.47872499999999996</v>
      </c>
      <c r="W65" s="189">
        <f t="shared" si="29"/>
        <v>0</v>
      </c>
      <c r="X65" s="189">
        <f t="shared" si="30"/>
        <v>0</v>
      </c>
      <c r="Y65" s="189">
        <f t="shared" si="31"/>
        <v>63.351275000000001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225</v>
      </c>
      <c r="P66" s="87"/>
      <c r="Q66" s="87"/>
      <c r="R66" s="87">
        <v>3.54</v>
      </c>
      <c r="S66" s="87"/>
      <c r="T66" s="87"/>
      <c r="U66" s="189">
        <f t="shared" si="27"/>
        <v>0</v>
      </c>
      <c r="V66" s="189">
        <f t="shared" si="28"/>
        <v>2.6550000000000001E-2</v>
      </c>
      <c r="W66" s="189">
        <f t="shared" si="29"/>
        <v>0</v>
      </c>
      <c r="X66" s="189">
        <f t="shared" si="30"/>
        <v>0</v>
      </c>
      <c r="Y66" s="189">
        <f t="shared" si="31"/>
        <v>3.5134500000000002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225</v>
      </c>
      <c r="P67" s="87"/>
      <c r="Q67" s="87"/>
      <c r="R67" s="87">
        <f>11+16.02</f>
        <v>27.02</v>
      </c>
      <c r="S67" s="87"/>
      <c r="T67" s="87"/>
      <c r="U67" s="189">
        <f t="shared" si="27"/>
        <v>0</v>
      </c>
      <c r="V67" s="189">
        <f t="shared" si="28"/>
        <v>0.20265</v>
      </c>
      <c r="W67" s="189">
        <f t="shared" si="29"/>
        <v>0</v>
      </c>
      <c r="X67" s="189">
        <f t="shared" si="30"/>
        <v>0</v>
      </c>
      <c r="Y67" s="189">
        <f t="shared" si="31"/>
        <v>26.817350000000001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27600.240000000002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225</v>
      </c>
      <c r="P68" s="87"/>
      <c r="Q68" s="87"/>
      <c r="R68" s="87">
        <v>52.07</v>
      </c>
      <c r="S68" s="87"/>
      <c r="T68" s="87"/>
      <c r="U68" s="189">
        <f t="shared" si="27"/>
        <v>0</v>
      </c>
      <c r="V68" s="189">
        <f t="shared" si="28"/>
        <v>0.39052500000000001</v>
      </c>
      <c r="W68" s="189">
        <f t="shared" si="29"/>
        <v>0</v>
      </c>
      <c r="X68" s="189">
        <f t="shared" si="30"/>
        <v>0</v>
      </c>
      <c r="Y68" s="189">
        <f t="shared" si="31"/>
        <v>51.679475000000004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27933.8</v>
      </c>
      <c r="C69" s="59"/>
      <c r="F69" s="87" t="s">
        <v>127</v>
      </c>
      <c r="G69" s="22"/>
      <c r="H69" s="89"/>
      <c r="I69" s="136"/>
      <c r="J69" s="136">
        <f>K52</f>
        <v>101.28</v>
      </c>
      <c r="N69" s="301" t="s">
        <v>108</v>
      </c>
      <c r="O69" s="301"/>
      <c r="P69" s="302"/>
      <c r="Q69" s="302"/>
      <c r="R69" s="192">
        <f>SUM(R64:R68)</f>
        <v>154.16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1.1561999999999999</v>
      </c>
      <c r="W69" s="192">
        <f t="shared" si="33"/>
        <v>0</v>
      </c>
      <c r="X69" s="192">
        <f t="shared" si="33"/>
        <v>0</v>
      </c>
      <c r="Y69" s="192">
        <f t="shared" si="33"/>
        <v>153.00380000000001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-333.55999999999767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87" t="s">
        <v>278</v>
      </c>
      <c r="Q70" s="87">
        <v>1001</v>
      </c>
      <c r="R70" s="87">
        <f>861.84+36.92</f>
        <v>898.76</v>
      </c>
      <c r="S70" s="87"/>
      <c r="T70" s="87">
        <v>50.61</v>
      </c>
      <c r="U70" s="189">
        <f t="shared" ref="U70:U74" si="34">((T70/U$10)*U$9)</f>
        <v>2.1814655172413793</v>
      </c>
      <c r="V70" s="189">
        <f t="shared" ref="V70:V74" si="35">R70*V$10</f>
        <v>6.7406999999999995</v>
      </c>
      <c r="W70" s="189">
        <f t="shared" ref="W70:W74" si="36">+S70*V$10</f>
        <v>0</v>
      </c>
      <c r="X70" s="189">
        <f t="shared" ref="X70:X74" si="37">+T70*X$10</f>
        <v>1.26525</v>
      </c>
      <c r="Y70" s="189">
        <f t="shared" ref="Y70:Z74" si="38">R70-V70</f>
        <v>892.01930000000004</v>
      </c>
      <c r="Z70" s="189">
        <f t="shared" si="38"/>
        <v>0</v>
      </c>
      <c r="AA70" s="189">
        <f t="shared" ref="AA70:AA74" si="39">T70-U70-X70</f>
        <v>47.16328448275862</v>
      </c>
      <c r="AB70" s="87"/>
    </row>
    <row r="71" spans="1:30" ht="28.5" customHeight="1" thickBot="1" x14ac:dyDescent="0.3">
      <c r="A71" s="25" t="s">
        <v>56</v>
      </c>
      <c r="B71" s="70">
        <f>(B65-B69)-B72</f>
        <v>43.309400000005553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101.28</v>
      </c>
      <c r="N71" s="87">
        <v>2</v>
      </c>
      <c r="O71" s="122" t="s">
        <v>217</v>
      </c>
      <c r="P71" s="87">
        <v>15</v>
      </c>
      <c r="Q71" s="87">
        <v>2001</v>
      </c>
      <c r="R71" s="87">
        <v>10.65</v>
      </c>
      <c r="S71" s="87"/>
      <c r="T71" s="87"/>
      <c r="U71" s="189">
        <f t="shared" si="34"/>
        <v>0</v>
      </c>
      <c r="V71" s="189">
        <f t="shared" si="35"/>
        <v>7.9875000000000002E-2</v>
      </c>
      <c r="W71" s="189">
        <f t="shared" si="36"/>
        <v>0</v>
      </c>
      <c r="X71" s="189">
        <f t="shared" si="37"/>
        <v>0</v>
      </c>
      <c r="Y71" s="189">
        <f t="shared" si="38"/>
        <v>10.570125000000001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87">
        <v>3</v>
      </c>
      <c r="Q72" s="87">
        <v>1001</v>
      </c>
      <c r="R72" s="137">
        <v>765.49</v>
      </c>
      <c r="S72" s="87"/>
      <c r="T72" s="137">
        <v>15.99</v>
      </c>
      <c r="U72" s="189">
        <f t="shared" si="34"/>
        <v>0.68922413793103454</v>
      </c>
      <c r="V72" s="189">
        <f t="shared" si="35"/>
        <v>5.7411750000000001</v>
      </c>
      <c r="W72" s="189">
        <f t="shared" si="36"/>
        <v>0</v>
      </c>
      <c r="X72" s="189">
        <f t="shared" si="37"/>
        <v>0.39975000000000005</v>
      </c>
      <c r="Y72" s="189">
        <f t="shared" si="38"/>
        <v>759.74882500000001</v>
      </c>
      <c r="Z72" s="189">
        <f t="shared" si="38"/>
        <v>0</v>
      </c>
      <c r="AA72" s="189">
        <f t="shared" si="39"/>
        <v>14.901025862068966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217</v>
      </c>
      <c r="P73" s="87">
        <v>173</v>
      </c>
      <c r="Q73" s="87">
        <v>2001</v>
      </c>
      <c r="R73" s="137">
        <v>1070.3599999999999</v>
      </c>
      <c r="S73" s="87"/>
      <c r="T73" s="87">
        <v>2</v>
      </c>
      <c r="U73" s="189">
        <f t="shared" si="34"/>
        <v>8.6206896551724144E-2</v>
      </c>
      <c r="V73" s="189">
        <f t="shared" si="35"/>
        <v>8.0276999999999994</v>
      </c>
      <c r="W73" s="189">
        <f t="shared" si="36"/>
        <v>0</v>
      </c>
      <c r="X73" s="189">
        <f t="shared" si="37"/>
        <v>0.05</v>
      </c>
      <c r="Y73" s="189">
        <f t="shared" si="38"/>
        <v>1062.3322999999998</v>
      </c>
      <c r="Z73" s="189">
        <f t="shared" si="38"/>
        <v>0</v>
      </c>
      <c r="AA73" s="189">
        <f t="shared" si="39"/>
        <v>1.8637931034482758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>
        <f>145+30+155+80+10</f>
        <v>420</v>
      </c>
      <c r="S74" s="87"/>
      <c r="T74" s="87"/>
      <c r="U74" s="189">
        <f t="shared" si="34"/>
        <v>0</v>
      </c>
      <c r="V74" s="189">
        <f t="shared" si="35"/>
        <v>3.15</v>
      </c>
      <c r="W74" s="189">
        <f t="shared" si="36"/>
        <v>0</v>
      </c>
      <c r="X74" s="189">
        <f t="shared" si="37"/>
        <v>0</v>
      </c>
      <c r="Y74" s="189">
        <f t="shared" si="38"/>
        <v>416.85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3165.26</v>
      </c>
      <c r="S75" s="192"/>
      <c r="T75" s="192">
        <f>SUM(T70:T74)</f>
        <v>68.599999999999994</v>
      </c>
      <c r="U75" s="192">
        <f>SUM(U70:U74)</f>
        <v>2.9568965517241379</v>
      </c>
      <c r="V75" s="192">
        <f t="shared" ref="V75:AA75" si="41">SUM(V70:V74)</f>
        <v>23.739449999999998</v>
      </c>
      <c r="W75" s="192">
        <f t="shared" si="41"/>
        <v>0</v>
      </c>
      <c r="X75" s="192">
        <f t="shared" si="41"/>
        <v>1.7150000000000001</v>
      </c>
      <c r="Y75" s="192">
        <f t="shared" si="41"/>
        <v>3141.5205499999997</v>
      </c>
      <c r="Z75" s="192">
        <f t="shared" si="41"/>
        <v>0</v>
      </c>
      <c r="AA75" s="193">
        <f t="shared" si="41"/>
        <v>63.928103448275863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>
        <v>31.7</v>
      </c>
      <c r="Q78" s="137"/>
      <c r="R78" s="82">
        <v>7.4999999999999997E-3</v>
      </c>
      <c r="S78" s="216">
        <f>+(P78+Q78)*R78</f>
        <v>0.23774999999999999</v>
      </c>
      <c r="T78" s="219">
        <f>+(P78+Q78)-S78</f>
        <v>31.462250000000001</v>
      </c>
      <c r="U78" s="211">
        <v>35.79</v>
      </c>
      <c r="V78" s="112"/>
      <c r="W78" s="113">
        <v>1.4999999999999999E-2</v>
      </c>
      <c r="X78" s="217">
        <f>+(U78+V78)*W78</f>
        <v>0.53684999999999994</v>
      </c>
      <c r="Y78" s="254">
        <f>+(U78+V78)-X78</f>
        <v>35.253149999999998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46.82</v>
      </c>
      <c r="Q79" s="137">
        <v>30.2</v>
      </c>
      <c r="R79" s="82">
        <v>7.4999999999999997E-3</v>
      </c>
      <c r="S79" s="216">
        <f t="shared" ref="S79:S97" si="43">+(P79+Q79)*R79</f>
        <v>0.57765</v>
      </c>
      <c r="T79" s="219">
        <f t="shared" ref="T79:T97" si="44">+(P79+Q79)-S79</f>
        <v>76.44234999999999</v>
      </c>
      <c r="U79" s="211">
        <v>61.82</v>
      </c>
      <c r="V79" s="112"/>
      <c r="W79" s="113">
        <v>1.4999999999999999E-2</v>
      </c>
      <c r="X79" s="217">
        <f t="shared" ref="X79:X97" si="45">+(U79+V79)*W79</f>
        <v>0.92730000000000001</v>
      </c>
      <c r="Y79" s="254">
        <f t="shared" ref="Y79:Y97" si="46">+(U79+V79)-X79</f>
        <v>60.892699999999998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36.979999999999997</v>
      </c>
      <c r="Q80" s="137">
        <v>47.58</v>
      </c>
      <c r="R80" s="82">
        <v>7.4999999999999997E-3</v>
      </c>
      <c r="S80" s="216">
        <f t="shared" si="43"/>
        <v>0.63419999999999999</v>
      </c>
      <c r="T80" s="219">
        <f t="shared" si="44"/>
        <v>83.925799999999995</v>
      </c>
      <c r="U80" s="211">
        <v>19.399999999999999</v>
      </c>
      <c r="V80" s="112"/>
      <c r="W80" s="113">
        <v>1.4999999999999999E-2</v>
      </c>
      <c r="X80" s="217">
        <f t="shared" si="45"/>
        <v>0.29099999999999998</v>
      </c>
      <c r="Y80" s="254">
        <f t="shared" si="46"/>
        <v>19.108999999999998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279.61</v>
      </c>
      <c r="Q81" s="137">
        <v>64.489999999999995</v>
      </c>
      <c r="R81" s="82">
        <v>7.4999999999999997E-3</v>
      </c>
      <c r="S81" s="216">
        <f t="shared" si="43"/>
        <v>2.5807500000000001</v>
      </c>
      <c r="T81" s="219">
        <f t="shared" si="44"/>
        <v>341.51925</v>
      </c>
      <c r="U81" s="211">
        <v>43.91</v>
      </c>
      <c r="V81" s="112"/>
      <c r="W81" s="113">
        <v>1.4999999999999999E-2</v>
      </c>
      <c r="X81" s="217">
        <f t="shared" si="45"/>
        <v>0.65864999999999996</v>
      </c>
      <c r="Y81" s="254">
        <f t="shared" si="46"/>
        <v>43.251349999999995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11.3</v>
      </c>
      <c r="Q82" s="137">
        <v>77.08</v>
      </c>
      <c r="R82" s="82">
        <v>7.4999999999999997E-3</v>
      </c>
      <c r="S82" s="216">
        <f t="shared" si="43"/>
        <v>0.66284999999999994</v>
      </c>
      <c r="T82" s="219">
        <f t="shared" si="44"/>
        <v>87.71714999999999</v>
      </c>
      <c r="U82" s="211">
        <v>17.2</v>
      </c>
      <c r="V82" s="112"/>
      <c r="W82" s="113">
        <v>1.4999999999999999E-2</v>
      </c>
      <c r="X82" s="217">
        <f t="shared" si="45"/>
        <v>0.25800000000000001</v>
      </c>
      <c r="Y82" s="254">
        <f t="shared" si="46"/>
        <v>16.942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85.97</v>
      </c>
      <c r="Q83" s="87">
        <v>65.62</v>
      </c>
      <c r="R83" s="82">
        <v>7.4999999999999997E-3</v>
      </c>
      <c r="S83" s="216">
        <f t="shared" si="43"/>
        <v>1.136925</v>
      </c>
      <c r="T83" s="219">
        <f t="shared" si="44"/>
        <v>150.45307500000001</v>
      </c>
      <c r="U83" s="112">
        <v>8.6</v>
      </c>
      <c r="V83" s="112"/>
      <c r="W83" s="113">
        <v>1.4999999999999999E-2</v>
      </c>
      <c r="X83" s="196">
        <f t="shared" si="45"/>
        <v>0.129</v>
      </c>
      <c r="Y83" s="264">
        <f t="shared" si="46"/>
        <v>8.4710000000000001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>
        <v>5.5</v>
      </c>
      <c r="V84" s="112"/>
      <c r="W84" s="113">
        <v>1.4999999999999999E-2</v>
      </c>
      <c r="X84" s="196">
        <f t="shared" si="45"/>
        <v>8.249999999999999E-2</v>
      </c>
      <c r="Y84" s="217">
        <f t="shared" si="46"/>
        <v>5.4175000000000004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164.69</v>
      </c>
      <c r="Q85" s="87">
        <v>57.62</v>
      </c>
      <c r="R85" s="82">
        <v>7.4999999999999997E-3</v>
      </c>
      <c r="S85" s="194">
        <f t="shared" si="43"/>
        <v>1.6673249999999999</v>
      </c>
      <c r="T85" s="216">
        <f t="shared" si="44"/>
        <v>220.642675</v>
      </c>
      <c r="U85" s="112">
        <v>261.27</v>
      </c>
      <c r="V85" s="112"/>
      <c r="W85" s="113">
        <v>1.4999999999999999E-2</v>
      </c>
      <c r="X85" s="196">
        <f t="shared" si="45"/>
        <v>3.9190499999999995</v>
      </c>
      <c r="Y85" s="254">
        <f t="shared" si="46"/>
        <v>257.35094999999995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92.55</v>
      </c>
      <c r="Q86" s="87">
        <v>123.48</v>
      </c>
      <c r="R86" s="82">
        <v>7.4999999999999997E-3</v>
      </c>
      <c r="S86" s="194">
        <f t="shared" si="43"/>
        <v>1.620225</v>
      </c>
      <c r="T86" s="254">
        <f t="shared" si="44"/>
        <v>214.409775</v>
      </c>
      <c r="U86" s="112">
        <v>80.94</v>
      </c>
      <c r="V86" s="112"/>
      <c r="W86" s="113">
        <v>1.4999999999999999E-2</v>
      </c>
      <c r="X86" s="196">
        <f t="shared" si="45"/>
        <v>1.2141</v>
      </c>
      <c r="Y86" s="254">
        <f t="shared" si="46"/>
        <v>79.725899999999996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165.12</v>
      </c>
      <c r="Q87" s="87">
        <v>113.89</v>
      </c>
      <c r="R87" s="82">
        <v>7.4999999999999997E-3</v>
      </c>
      <c r="S87" s="194">
        <f t="shared" si="43"/>
        <v>2.0925750000000001</v>
      </c>
      <c r="T87" s="254">
        <f t="shared" si="44"/>
        <v>276.91742499999998</v>
      </c>
      <c r="U87" s="112">
        <v>142.56</v>
      </c>
      <c r="V87" s="112"/>
      <c r="W87" s="113">
        <v>1.4999999999999999E-2</v>
      </c>
      <c r="X87" s="196">
        <f t="shared" si="45"/>
        <v>2.1383999999999999</v>
      </c>
      <c r="Y87" s="254">
        <f t="shared" si="46"/>
        <v>140.42160000000001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914.7399999999999</v>
      </c>
      <c r="Q98" s="195">
        <f>SUM(Q78:Q97)</f>
        <v>579.96</v>
      </c>
      <c r="R98" s="111"/>
      <c r="S98" s="195">
        <f>SUM(S78:S97)</f>
        <v>11.21025</v>
      </c>
      <c r="T98" s="195">
        <f>SUM(T78:T97)</f>
        <v>1483.4897500000002</v>
      </c>
      <c r="U98" s="114">
        <f>SUM(U78:U97)</f>
        <v>676.99</v>
      </c>
      <c r="V98" s="114">
        <f>SUM(V78:V97)</f>
        <v>0</v>
      </c>
      <c r="W98" s="112"/>
      <c r="X98" s="197">
        <f>SUM(X78:X97)</f>
        <v>10.15485</v>
      </c>
      <c r="Y98" s="197">
        <f>SUM(Y78:Y97)</f>
        <v>666.83515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/>
    </row>
    <row r="101" spans="14:30" x14ac:dyDescent="0.25">
      <c r="N101" s="85"/>
      <c r="P101" s="212"/>
      <c r="R101" s="215">
        <f t="shared" ref="R101:R106" si="50">P78+Q78+U78</f>
        <v>67.489999999999995</v>
      </c>
    </row>
    <row r="102" spans="14:30" x14ac:dyDescent="0.25">
      <c r="N102" s="85"/>
      <c r="R102" s="215">
        <f>P79+Q79+U79</f>
        <v>138.84</v>
      </c>
    </row>
    <row r="103" spans="14:30" x14ac:dyDescent="0.25">
      <c r="N103" s="85"/>
      <c r="R103" s="215">
        <f t="shared" si="50"/>
        <v>103.96000000000001</v>
      </c>
    </row>
    <row r="104" spans="14:30" x14ac:dyDescent="0.25">
      <c r="N104" s="85"/>
      <c r="R104" s="215">
        <f t="shared" si="50"/>
        <v>388.01</v>
      </c>
    </row>
    <row r="105" spans="14:30" x14ac:dyDescent="0.25">
      <c r="N105" s="85"/>
      <c r="R105" s="215">
        <f t="shared" si="50"/>
        <v>105.58</v>
      </c>
    </row>
    <row r="106" spans="14:30" x14ac:dyDescent="0.25">
      <c r="N106" s="85"/>
      <c r="R106" s="215">
        <f t="shared" si="50"/>
        <v>160.19</v>
      </c>
    </row>
    <row r="107" spans="14:30" x14ac:dyDescent="0.25">
      <c r="N107" s="85"/>
      <c r="R107" s="212">
        <f>P84+Q84+U84</f>
        <v>5.5</v>
      </c>
    </row>
    <row r="108" spans="14:30" x14ac:dyDescent="0.25">
      <c r="N108" s="85"/>
      <c r="R108" s="246">
        <f>P85+Q85+U85</f>
        <v>483.58</v>
      </c>
    </row>
    <row r="109" spans="14:30" x14ac:dyDescent="0.25">
      <c r="N109" s="85"/>
      <c r="R109" s="246">
        <f>P86+Q86+U86</f>
        <v>296.97000000000003</v>
      </c>
    </row>
    <row r="110" spans="14:30" x14ac:dyDescent="0.25">
      <c r="N110" s="85"/>
      <c r="R110" s="85">
        <f>P87+Q87+U87</f>
        <v>421.57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1238.7</v>
      </c>
      <c r="C12" s="15"/>
      <c r="D12" s="56"/>
      <c r="E12" s="16"/>
      <c r="F12" s="56"/>
      <c r="G12" s="56"/>
      <c r="H12" s="17"/>
      <c r="I12" s="83">
        <v>1238.7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186</v>
      </c>
      <c r="Q12" s="158">
        <v>11</v>
      </c>
      <c r="R12" s="159">
        <v>80.239999999999995</v>
      </c>
      <c r="S12" s="160"/>
      <c r="T12" s="160"/>
      <c r="U12" s="189">
        <f>((T12/U$10)*U$9)</f>
        <v>0</v>
      </c>
      <c r="V12" s="189">
        <f>R12*V$10</f>
        <v>0.60179999999999989</v>
      </c>
      <c r="W12" s="189">
        <f>+S12*V$10</f>
        <v>0</v>
      </c>
      <c r="X12" s="189">
        <f>+T12*X$10</f>
        <v>0</v>
      </c>
      <c r="Y12" s="189">
        <f>R12-V12</f>
        <v>79.638199999999998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2160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2160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187</v>
      </c>
      <c r="Q13" s="158">
        <v>11</v>
      </c>
      <c r="R13" s="159">
        <v>1765.6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13.241999999999999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1752.3579999999999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12376.800000000001</v>
      </c>
      <c r="C14" s="15"/>
      <c r="D14" s="56"/>
      <c r="E14" s="16"/>
      <c r="F14" s="56"/>
      <c r="G14" s="56"/>
      <c r="H14" s="17"/>
      <c r="I14" s="83"/>
      <c r="J14" s="81">
        <f t="shared" si="0"/>
        <v>12376.800000000001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569</v>
      </c>
      <c r="Q14" s="158">
        <v>2</v>
      </c>
      <c r="R14" s="159">
        <v>503.6</v>
      </c>
      <c r="S14" s="160"/>
      <c r="T14" s="161"/>
      <c r="U14" s="189">
        <f t="shared" si="2"/>
        <v>0</v>
      </c>
      <c r="V14" s="189">
        <f t="shared" si="3"/>
        <v>3.7770000000000001</v>
      </c>
      <c r="W14" s="189">
        <f t="shared" si="4"/>
        <v>0</v>
      </c>
      <c r="X14" s="189">
        <f t="shared" si="5"/>
        <v>0</v>
      </c>
      <c r="Y14" s="189">
        <f t="shared" si="6"/>
        <v>499.82300000000004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570</v>
      </c>
      <c r="Q15" s="158">
        <v>2</v>
      </c>
      <c r="R15" s="159">
        <v>1859.85</v>
      </c>
      <c r="S15" s="160"/>
      <c r="T15" s="161"/>
      <c r="U15" s="189">
        <f t="shared" si="2"/>
        <v>0</v>
      </c>
      <c r="V15" s="189">
        <f t="shared" si="3"/>
        <v>13.948874999999999</v>
      </c>
      <c r="W15" s="189">
        <f t="shared" si="4"/>
        <v>0</v>
      </c>
      <c r="X15" s="189">
        <f t="shared" si="5"/>
        <v>0</v>
      </c>
      <c r="Y15" s="189">
        <f t="shared" si="6"/>
        <v>1845.9011249999999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550</v>
      </c>
      <c r="Q16" s="158">
        <v>4</v>
      </c>
      <c r="R16" s="159">
        <v>546.1</v>
      </c>
      <c r="S16" s="160"/>
      <c r="T16" s="161">
        <v>0</v>
      </c>
      <c r="U16" s="189">
        <f t="shared" si="2"/>
        <v>0</v>
      </c>
      <c r="V16" s="189">
        <f t="shared" si="3"/>
        <v>4.0957499999999998</v>
      </c>
      <c r="W16" s="189">
        <f t="shared" si="4"/>
        <v>0</v>
      </c>
      <c r="X16" s="189">
        <f t="shared" si="5"/>
        <v>0</v>
      </c>
      <c r="Y16" s="189">
        <f t="shared" si="6"/>
        <v>542.00425000000007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551</v>
      </c>
      <c r="Q17" s="158">
        <v>4</v>
      </c>
      <c r="R17" s="159">
        <v>2459.81</v>
      </c>
      <c r="S17" s="160"/>
      <c r="T17" s="161"/>
      <c r="U17" s="189">
        <f t="shared" si="2"/>
        <v>0</v>
      </c>
      <c r="V17" s="189">
        <f t="shared" si="3"/>
        <v>18.448574999999998</v>
      </c>
      <c r="W17" s="189">
        <f t="shared" si="4"/>
        <v>0</v>
      </c>
      <c r="X17" s="189">
        <f t="shared" si="5"/>
        <v>0</v>
      </c>
      <c r="Y17" s="189">
        <f t="shared" si="6"/>
        <v>2441.3614250000001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201</v>
      </c>
      <c r="Q18" s="158">
        <v>10</v>
      </c>
      <c r="R18" s="159">
        <v>970.52</v>
      </c>
      <c r="S18" s="160"/>
      <c r="T18" s="161"/>
      <c r="U18" s="189">
        <f t="shared" si="2"/>
        <v>0</v>
      </c>
      <c r="V18" s="189">
        <f t="shared" si="3"/>
        <v>7.2788999999999993</v>
      </c>
      <c r="W18" s="189">
        <f t="shared" si="4"/>
        <v>0</v>
      </c>
      <c r="X18" s="189">
        <f t="shared" si="5"/>
        <v>0</v>
      </c>
      <c r="Y18" s="189">
        <f t="shared" si="6"/>
        <v>963.24109999999996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2160</v>
      </c>
      <c r="C19" s="95"/>
      <c r="D19" s="94"/>
      <c r="E19" s="96"/>
      <c r="F19" s="94"/>
      <c r="G19" s="94"/>
      <c r="H19" s="98"/>
      <c r="I19" s="99"/>
      <c r="J19" s="185">
        <f>B19-I19</f>
        <v>2160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203</v>
      </c>
      <c r="Q19" s="158">
        <v>10</v>
      </c>
      <c r="R19" s="159">
        <v>612.72</v>
      </c>
      <c r="S19" s="160"/>
      <c r="T19" s="161">
        <v>11</v>
      </c>
      <c r="U19" s="189">
        <f t="shared" si="2"/>
        <v>0.47413793103448287</v>
      </c>
      <c r="V19" s="189">
        <f t="shared" si="3"/>
        <v>4.5953999999999997</v>
      </c>
      <c r="W19" s="189">
        <f t="shared" si="4"/>
        <v>0</v>
      </c>
      <c r="X19" s="189">
        <f t="shared" si="5"/>
        <v>0.27500000000000002</v>
      </c>
      <c r="Y19" s="189">
        <f t="shared" si="6"/>
        <v>608.12459999999999</v>
      </c>
      <c r="Z19" s="189">
        <f t="shared" si="6"/>
        <v>0</v>
      </c>
      <c r="AA19" s="189">
        <f t="shared" si="7"/>
        <v>10.250862068965517</v>
      </c>
      <c r="AB19" s="156"/>
    </row>
    <row r="20" spans="1:28" ht="15.75" x14ac:dyDescent="0.25">
      <c r="A20" s="93" t="s">
        <v>80</v>
      </c>
      <c r="B20" s="97">
        <f>+B14+B16+B18</f>
        <v>12376.800000000001</v>
      </c>
      <c r="C20" s="95"/>
      <c r="D20" s="94"/>
      <c r="E20" s="96"/>
      <c r="F20" s="94"/>
      <c r="G20" s="94"/>
      <c r="H20" s="98"/>
      <c r="I20" s="99">
        <v>12376.8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202</v>
      </c>
      <c r="Q20" s="158">
        <v>10</v>
      </c>
      <c r="R20" s="159">
        <v>127.51</v>
      </c>
      <c r="S20" s="160"/>
      <c r="T20" s="161"/>
      <c r="U20" s="189">
        <f t="shared" si="2"/>
        <v>0</v>
      </c>
      <c r="V20" s="189">
        <f t="shared" si="3"/>
        <v>0.95632499999999998</v>
      </c>
      <c r="W20" s="189">
        <f t="shared" si="4"/>
        <v>0</v>
      </c>
      <c r="X20" s="189">
        <f t="shared" si="5"/>
        <v>0</v>
      </c>
      <c r="Y20" s="189">
        <f t="shared" si="6"/>
        <v>126.553675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635</v>
      </c>
      <c r="Q21" s="158">
        <v>18</v>
      </c>
      <c r="R21" s="159">
        <v>575.79</v>
      </c>
      <c r="S21" s="160"/>
      <c r="T21" s="161"/>
      <c r="U21" s="189">
        <f t="shared" si="2"/>
        <v>0</v>
      </c>
      <c r="V21" s="189">
        <f t="shared" si="3"/>
        <v>4.3184249999999995</v>
      </c>
      <c r="W21" s="189">
        <f t="shared" si="4"/>
        <v>0</v>
      </c>
      <c r="X21" s="189">
        <f t="shared" si="5"/>
        <v>0</v>
      </c>
      <c r="Y21" s="189">
        <f t="shared" si="6"/>
        <v>571.47157499999992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636</v>
      </c>
      <c r="Q22" s="158">
        <v>18</v>
      </c>
      <c r="R22" s="162">
        <v>1432.85</v>
      </c>
      <c r="S22" s="160"/>
      <c r="T22" s="160"/>
      <c r="U22" s="189">
        <f t="shared" si="2"/>
        <v>0</v>
      </c>
      <c r="V22" s="189">
        <f t="shared" si="3"/>
        <v>10.746374999999999</v>
      </c>
      <c r="W22" s="189">
        <f t="shared" si="4"/>
        <v>0</v>
      </c>
      <c r="X22" s="189">
        <f t="shared" si="5"/>
        <v>0</v>
      </c>
      <c r="Y22" s="189">
        <f t="shared" si="6"/>
        <v>1422.103625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54.57</v>
      </c>
      <c r="C29" s="100"/>
      <c r="D29" s="66"/>
      <c r="E29" s="67"/>
      <c r="F29" s="66"/>
      <c r="G29" s="66"/>
      <c r="H29" s="102"/>
      <c r="I29" s="79">
        <v>54.57</v>
      </c>
      <c r="J29" s="81">
        <f t="shared" si="0"/>
        <v>0</v>
      </c>
      <c r="K29" s="80">
        <v>54.57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312.68610000000001</v>
      </c>
      <c r="C30" s="100"/>
      <c r="D30" s="66"/>
      <c r="E30" s="67"/>
      <c r="F30" s="66"/>
      <c r="G30" s="66"/>
      <c r="H30" s="102"/>
      <c r="I30" s="79"/>
      <c r="J30" s="81">
        <f t="shared" si="0"/>
        <v>312.68610000000001</v>
      </c>
      <c r="K30" s="80">
        <v>312.69</v>
      </c>
      <c r="L30" s="186">
        <f>K30-B30</f>
        <v>3.899999999987358E-3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54.57</v>
      </c>
      <c r="C35" s="95"/>
      <c r="D35" s="94"/>
      <c r="E35" s="96"/>
      <c r="F35" s="94"/>
      <c r="G35" s="94"/>
      <c r="H35" s="98"/>
      <c r="I35" s="99"/>
      <c r="J35" s="185">
        <f t="shared" si="0"/>
        <v>54.57</v>
      </c>
      <c r="K35" s="99">
        <v>54.57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312.68610000000001</v>
      </c>
      <c r="C36" s="95"/>
      <c r="D36" s="94"/>
      <c r="E36" s="96"/>
      <c r="F36" s="94"/>
      <c r="G36" s="94"/>
      <c r="H36" s="98"/>
      <c r="I36" s="99"/>
      <c r="J36" s="185">
        <f t="shared" si="0"/>
        <v>312.68610000000001</v>
      </c>
      <c r="K36" s="99">
        <v>312.69</v>
      </c>
      <c r="L36" s="187">
        <f>K36-B36</f>
        <v>3.899999999987358E-3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95.77</v>
      </c>
      <c r="C37" s="100"/>
      <c r="D37" s="66"/>
      <c r="E37" s="67"/>
      <c r="F37" s="66"/>
      <c r="G37" s="66"/>
      <c r="H37" s="102"/>
      <c r="I37" s="79">
        <v>95.77</v>
      </c>
      <c r="J37" s="81">
        <f t="shared" si="0"/>
        <v>0</v>
      </c>
      <c r="K37" s="80">
        <v>95.77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548.76210000000003</v>
      </c>
      <c r="C38" s="100"/>
      <c r="D38" s="66"/>
      <c r="E38" s="67"/>
      <c r="F38" s="66"/>
      <c r="G38" s="66"/>
      <c r="H38" s="102"/>
      <c r="I38" s="79"/>
      <c r="J38" s="81">
        <f t="shared" si="0"/>
        <v>548.76210000000003</v>
      </c>
      <c r="K38" s="80">
        <v>548.76</v>
      </c>
      <c r="L38" s="186">
        <f>K38-B38</f>
        <v>-2.1000000000412911E-3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10934.590000000002</v>
      </c>
      <c r="S42" s="190">
        <f t="shared" si="8"/>
        <v>0</v>
      </c>
      <c r="T42" s="190">
        <f t="shared" si="8"/>
        <v>11</v>
      </c>
      <c r="U42" s="190">
        <f t="shared" si="8"/>
        <v>0.47413793103448287</v>
      </c>
      <c r="V42" s="190">
        <f t="shared" si="8"/>
        <v>82.009425000000007</v>
      </c>
      <c r="W42" s="190">
        <f t="shared" si="8"/>
        <v>0</v>
      </c>
      <c r="X42" s="190">
        <f t="shared" si="8"/>
        <v>0.27500000000000002</v>
      </c>
      <c r="Y42" s="190">
        <f t="shared" si="8"/>
        <v>10852.580574999998</v>
      </c>
      <c r="Z42" s="190">
        <f t="shared" si="8"/>
        <v>0</v>
      </c>
      <c r="AA42" s="190">
        <f t="shared" si="8"/>
        <v>10.250862068965517</v>
      </c>
      <c r="AB42" s="166"/>
    </row>
    <row r="43" spans="1:28" ht="15.75" x14ac:dyDescent="0.25">
      <c r="A43" s="93" t="s">
        <v>101</v>
      </c>
      <c r="B43" s="97">
        <f>+B37+B39+B41</f>
        <v>95.77</v>
      </c>
      <c r="C43" s="95"/>
      <c r="D43" s="94"/>
      <c r="E43" s="96"/>
      <c r="F43" s="94"/>
      <c r="G43" s="94"/>
      <c r="H43" s="98"/>
      <c r="I43" s="99"/>
      <c r="J43" s="185">
        <f t="shared" si="0"/>
        <v>95.77</v>
      </c>
      <c r="K43" s="99">
        <v>95.77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548.76210000000003</v>
      </c>
      <c r="C44" s="95"/>
      <c r="D44" s="94"/>
      <c r="E44" s="96"/>
      <c r="F44" s="94"/>
      <c r="G44" s="94"/>
      <c r="H44" s="98"/>
      <c r="I44" s="99"/>
      <c r="J44" s="185">
        <f t="shared" si="0"/>
        <v>548.76210000000003</v>
      </c>
      <c r="K44" s="99">
        <v>548.76</v>
      </c>
      <c r="L44" s="187">
        <f>K44-B44</f>
        <v>-2.1000000000412911E-3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10934.590000000002</v>
      </c>
      <c r="C46" s="116">
        <v>7.4999999999999997E-3</v>
      </c>
      <c r="D46" s="117">
        <f>B46*C46</f>
        <v>82.009425000000007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10852.580575000002</v>
      </c>
      <c r="H46" s="173">
        <f>B$6+1</f>
        <v>44764</v>
      </c>
      <c r="I46" s="174">
        <v>10934.59</v>
      </c>
      <c r="J46" s="81">
        <f t="shared" si="0"/>
        <v>0</v>
      </c>
      <c r="K46" s="80"/>
      <c r="L46" s="186">
        <f t="shared" ref="L46:L64" si="17">+G46-K46</f>
        <v>10852.580575000002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106.25999999999999</v>
      </c>
      <c r="C48" s="116">
        <v>7.4999999999999997E-3</v>
      </c>
      <c r="D48" s="117">
        <f t="shared" si="18"/>
        <v>0.79694999999999994</v>
      </c>
      <c r="E48" s="172">
        <v>0</v>
      </c>
      <c r="F48" s="117">
        <f t="shared" si="15"/>
        <v>0</v>
      </c>
      <c r="G48" s="117">
        <f t="shared" si="16"/>
        <v>105.46305</v>
      </c>
      <c r="H48" s="173">
        <f t="shared" ref="H48:H61" si="19">B$6+1</f>
        <v>44764</v>
      </c>
      <c r="I48" s="176">
        <v>106.26</v>
      </c>
      <c r="J48" s="81">
        <f t="shared" si="0"/>
        <v>0</v>
      </c>
      <c r="K48" s="80"/>
      <c r="L48" s="186">
        <f t="shared" si="17"/>
        <v>105.46305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168</v>
      </c>
      <c r="B49" s="117">
        <f>R75</f>
        <v>3138.73</v>
      </c>
      <c r="C49" s="116">
        <v>7.4999999999999997E-3</v>
      </c>
      <c r="D49" s="117">
        <f t="shared" si="18"/>
        <v>23.540475000000001</v>
      </c>
      <c r="E49" s="172">
        <v>0</v>
      </c>
      <c r="F49" s="117">
        <f t="shared" si="15"/>
        <v>0</v>
      </c>
      <c r="G49" s="117">
        <f t="shared" si="16"/>
        <v>3115.1895250000002</v>
      </c>
      <c r="H49" s="173">
        <f t="shared" si="19"/>
        <v>44764</v>
      </c>
      <c r="I49" s="176">
        <f>2603.74</f>
        <v>2603.7399999999998</v>
      </c>
      <c r="J49" s="81">
        <f>B49-I49</f>
        <v>534.99000000000024</v>
      </c>
      <c r="K49" s="80"/>
      <c r="L49" s="186">
        <f t="shared" si="17"/>
        <v>3115.1895250000002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1943.0600000000002</v>
      </c>
      <c r="C50" s="116">
        <v>7.4999999999999997E-3</v>
      </c>
      <c r="D50" s="117">
        <f t="shared" si="18"/>
        <v>14.572950000000001</v>
      </c>
      <c r="E50" s="172">
        <v>0</v>
      </c>
      <c r="F50" s="117">
        <f t="shared" si="15"/>
        <v>0</v>
      </c>
      <c r="G50" s="117">
        <f t="shared" si="16"/>
        <v>1928.4870500000002</v>
      </c>
      <c r="H50" s="173">
        <f t="shared" si="19"/>
        <v>44764</v>
      </c>
      <c r="I50" s="175"/>
      <c r="J50" s="81">
        <f t="shared" si="0"/>
        <v>1943.0600000000002</v>
      </c>
      <c r="K50" s="80"/>
      <c r="L50" s="186">
        <f t="shared" si="17"/>
        <v>1928.4870500000002</v>
      </c>
      <c r="M50" s="107"/>
      <c r="N50" s="104">
        <v>8</v>
      </c>
      <c r="O50" s="167" t="s">
        <v>69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1054.8599999999999</v>
      </c>
      <c r="C51" s="116">
        <v>1.4999999999999999E-2</v>
      </c>
      <c r="D51" s="117">
        <f>+B51*C51</f>
        <v>15.822899999999997</v>
      </c>
      <c r="E51" s="172">
        <v>0</v>
      </c>
      <c r="F51" s="117">
        <f>D51*E51</f>
        <v>0</v>
      </c>
      <c r="G51" s="117">
        <f t="shared" si="16"/>
        <v>1039.0371</v>
      </c>
      <c r="H51" s="173">
        <f t="shared" si="19"/>
        <v>44764</v>
      </c>
      <c r="I51" s="175">
        <v>2997.92</v>
      </c>
      <c r="J51" s="81">
        <f t="shared" si="0"/>
        <v>-1943.0600000000002</v>
      </c>
      <c r="K51" s="80"/>
      <c r="L51" s="186">
        <f t="shared" si="17"/>
        <v>1039.0371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</v>
      </c>
      <c r="C52" s="116">
        <v>2.5000000000000001E-2</v>
      </c>
      <c r="D52" s="117">
        <f>B52*C52</f>
        <v>0.27500000000000002</v>
      </c>
      <c r="E52" s="172">
        <v>0.05</v>
      </c>
      <c r="F52" s="117">
        <f>(B52/E$10)*E52</f>
        <v>0.47413793103448287</v>
      </c>
      <c r="G52" s="117">
        <f>B52-D52-F52</f>
        <v>10.250862068965517</v>
      </c>
      <c r="H52" s="188">
        <f t="shared" si="19"/>
        <v>44764</v>
      </c>
      <c r="I52" s="176">
        <v>86.55</v>
      </c>
      <c r="J52" s="81">
        <f t="shared" si="0"/>
        <v>-75.55</v>
      </c>
      <c r="K52" s="80"/>
      <c r="L52" s="186">
        <f>K52-G52</f>
        <v>-10.250862068965517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129.30000000000001</v>
      </c>
      <c r="C56" s="116">
        <v>2.5000000000000001E-2</v>
      </c>
      <c r="D56" s="117">
        <f t="shared" si="20"/>
        <v>3.2325000000000004</v>
      </c>
      <c r="E56" s="172">
        <v>0.05</v>
      </c>
      <c r="F56" s="117">
        <f t="shared" si="21"/>
        <v>5.5732758620689671</v>
      </c>
      <c r="G56" s="117">
        <f t="shared" si="22"/>
        <v>120.49422413793104</v>
      </c>
      <c r="H56" s="173">
        <f t="shared" si="19"/>
        <v>44764</v>
      </c>
      <c r="I56" s="176">
        <f>53.75</f>
        <v>53.75</v>
      </c>
      <c r="J56" s="81">
        <f t="shared" si="0"/>
        <v>75.550000000000011</v>
      </c>
      <c r="K56" s="80"/>
      <c r="L56" s="186">
        <f t="shared" si="17"/>
        <v>120.49422413793104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140.25020000000001</v>
      </c>
      <c r="E61" s="177"/>
      <c r="F61" s="57">
        <f>SUM(F46:F58)</f>
        <v>6.0474137931034502</v>
      </c>
      <c r="G61" s="57">
        <f>SUM(G46:G58)</f>
        <v>17171.502386206899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17171.502386206899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535</v>
      </c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535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34343.004772413798</v>
      </c>
      <c r="H64" s="184"/>
      <c r="I64" s="175"/>
      <c r="J64" s="81">
        <f t="shared" si="0"/>
        <v>0</v>
      </c>
      <c r="K64" s="80"/>
      <c r="L64" s="186">
        <f t="shared" si="17"/>
        <v>34343.004772413798</v>
      </c>
      <c r="M64" s="130"/>
      <c r="N64" s="87">
        <v>1</v>
      </c>
      <c r="O64" s="122" t="s">
        <v>226</v>
      </c>
      <c r="P64" s="87"/>
      <c r="Q64" s="225"/>
      <c r="R64" s="221">
        <v>7.2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5.3999999999999999E-2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7.1459999999999999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31259.748200000002</v>
      </c>
      <c r="G65" s="22"/>
      <c r="L65" s="132"/>
      <c r="M65" s="131"/>
      <c r="N65" s="87">
        <v>2</v>
      </c>
      <c r="O65" s="122"/>
      <c r="P65" s="87"/>
      <c r="Q65" s="225"/>
      <c r="R65" s="225">
        <v>22.2</v>
      </c>
      <c r="S65" s="225"/>
      <c r="T65" s="87"/>
      <c r="U65" s="189">
        <f t="shared" si="27"/>
        <v>0</v>
      </c>
      <c r="V65" s="189">
        <f t="shared" si="28"/>
        <v>0.16649999999999998</v>
      </c>
      <c r="W65" s="189">
        <f t="shared" si="29"/>
        <v>0</v>
      </c>
      <c r="X65" s="189">
        <f t="shared" si="30"/>
        <v>0</v>
      </c>
      <c r="Y65" s="189">
        <f t="shared" si="31"/>
        <v>22.0335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5"/>
      <c r="R66" s="225">
        <v>68.8</v>
      </c>
      <c r="S66" s="225"/>
      <c r="T66" s="87"/>
      <c r="U66" s="189">
        <f t="shared" si="27"/>
        <v>0</v>
      </c>
      <c r="V66" s="189">
        <f t="shared" si="28"/>
        <v>0.51600000000000001</v>
      </c>
      <c r="W66" s="189">
        <f t="shared" si="29"/>
        <v>0</v>
      </c>
      <c r="X66" s="189">
        <f t="shared" si="30"/>
        <v>0</v>
      </c>
      <c r="Y66" s="189">
        <f t="shared" si="31"/>
        <v>68.283999999999992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/>
      <c r="P67" s="87"/>
      <c r="Q67" s="225"/>
      <c r="R67" s="225">
        <v>8.06</v>
      </c>
      <c r="S67" s="225"/>
      <c r="T67" s="87"/>
      <c r="U67" s="189">
        <f t="shared" si="27"/>
        <v>0</v>
      </c>
      <c r="V67" s="189">
        <f t="shared" si="28"/>
        <v>6.0450000000000004E-2</v>
      </c>
      <c r="W67" s="189">
        <f t="shared" si="29"/>
        <v>0</v>
      </c>
      <c r="X67" s="189">
        <f t="shared" si="30"/>
        <v>0</v>
      </c>
      <c r="Y67" s="189">
        <f t="shared" si="31"/>
        <v>7.9995500000000002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30931.919999999998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31289.17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106.25999999999999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0.79694999999999994</v>
      </c>
      <c r="W69" s="192">
        <f t="shared" si="33"/>
        <v>0</v>
      </c>
      <c r="X69" s="192">
        <f t="shared" si="33"/>
        <v>0</v>
      </c>
      <c r="Y69" s="192">
        <f t="shared" si="33"/>
        <v>105.46305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30931.919999999998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 t="s">
        <v>279</v>
      </c>
      <c r="Q70" s="221">
        <v>1001</v>
      </c>
      <c r="R70" s="236">
        <v>1164.1199999999999</v>
      </c>
      <c r="S70" s="225"/>
      <c r="T70" s="236">
        <v>75.55</v>
      </c>
      <c r="U70" s="189">
        <f t="shared" ref="U70:U74" si="34">((T70/U$10)*U$9)</f>
        <v>3.2564655172413794</v>
      </c>
      <c r="V70" s="189">
        <f t="shared" ref="V70:V74" si="35">R70*V$10</f>
        <v>8.7308999999999983</v>
      </c>
      <c r="W70" s="189">
        <f t="shared" ref="W70:W74" si="36">+S70*V$10</f>
        <v>0</v>
      </c>
      <c r="X70" s="189">
        <f t="shared" ref="X70:X74" si="37">+T70*X$10</f>
        <v>1.8887499999999999</v>
      </c>
      <c r="Y70" s="189">
        <f t="shared" ref="Y70:Z74" si="38">R70-V70</f>
        <v>1155.3890999999999</v>
      </c>
      <c r="Z70" s="189">
        <f t="shared" si="38"/>
        <v>0</v>
      </c>
      <c r="AA70" s="189">
        <f t="shared" ref="AA70:AA74" si="39">T70-U70-X70</f>
        <v>70.404784482758615</v>
      </c>
      <c r="AB70" s="87"/>
    </row>
    <row r="71" spans="1:30" ht="28.5" customHeight="1" thickBot="1" x14ac:dyDescent="0.3">
      <c r="A71" s="25" t="s">
        <v>56</v>
      </c>
      <c r="B71" s="70">
        <f>(B65-B69)-B72</f>
        <v>-29.421799999996438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199</v>
      </c>
      <c r="P71" s="225" t="s">
        <v>280</v>
      </c>
      <c r="Q71" s="225">
        <v>1001</v>
      </c>
      <c r="R71" s="236">
        <v>270.64999999999998</v>
      </c>
      <c r="S71" s="225"/>
      <c r="T71" s="240">
        <v>15.73</v>
      </c>
      <c r="U71" s="189">
        <f t="shared" si="34"/>
        <v>0.67801724137931041</v>
      </c>
      <c r="V71" s="189">
        <f t="shared" si="35"/>
        <v>2.0298749999999997</v>
      </c>
      <c r="W71" s="189">
        <f t="shared" si="36"/>
        <v>0</v>
      </c>
      <c r="X71" s="189">
        <f t="shared" si="37"/>
        <v>0.39325000000000004</v>
      </c>
      <c r="Y71" s="189">
        <f t="shared" si="38"/>
        <v>268.62012499999997</v>
      </c>
      <c r="Z71" s="189">
        <f t="shared" si="38"/>
        <v>0</v>
      </c>
      <c r="AA71" s="189">
        <f t="shared" si="39"/>
        <v>14.65873275862069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25">
        <v>174</v>
      </c>
      <c r="Q72" s="225">
        <v>2001</v>
      </c>
      <c r="R72" s="236">
        <v>70.55</v>
      </c>
      <c r="S72" s="225"/>
      <c r="T72" s="225"/>
      <c r="U72" s="189">
        <f t="shared" si="34"/>
        <v>0</v>
      </c>
      <c r="V72" s="189">
        <f t="shared" si="35"/>
        <v>0.52912499999999996</v>
      </c>
      <c r="W72" s="189">
        <f t="shared" si="36"/>
        <v>0</v>
      </c>
      <c r="X72" s="189">
        <f t="shared" si="37"/>
        <v>0</v>
      </c>
      <c r="Y72" s="189">
        <f t="shared" si="38"/>
        <v>70.020875000000004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>
        <v>106</v>
      </c>
      <c r="Q73" s="225">
        <v>1001</v>
      </c>
      <c r="R73" s="236">
        <v>1098.4100000000001</v>
      </c>
      <c r="S73" s="225"/>
      <c r="T73" s="240">
        <v>38.020000000000003</v>
      </c>
      <c r="U73" s="189">
        <f t="shared" si="34"/>
        <v>1.6387931034482763</v>
      </c>
      <c r="V73" s="189">
        <f t="shared" si="35"/>
        <v>8.2380750000000003</v>
      </c>
      <c r="W73" s="189">
        <f t="shared" si="36"/>
        <v>0</v>
      </c>
      <c r="X73" s="189">
        <f t="shared" si="37"/>
        <v>0.95050000000000012</v>
      </c>
      <c r="Y73" s="189">
        <f t="shared" si="38"/>
        <v>1090.1719250000001</v>
      </c>
      <c r="Z73" s="189">
        <f t="shared" si="38"/>
        <v>0</v>
      </c>
      <c r="AA73" s="189">
        <f t="shared" si="39"/>
        <v>35.430706896551726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221">
        <f>155+115+110+40+55+60</f>
        <v>535</v>
      </c>
      <c r="S74" s="87"/>
      <c r="T74" s="87"/>
      <c r="U74" s="189">
        <f t="shared" si="34"/>
        <v>0</v>
      </c>
      <c r="V74" s="189">
        <f t="shared" si="35"/>
        <v>4.0125000000000002</v>
      </c>
      <c r="W74" s="189">
        <f t="shared" si="36"/>
        <v>0</v>
      </c>
      <c r="X74" s="189">
        <f t="shared" si="37"/>
        <v>0</v>
      </c>
      <c r="Y74" s="189">
        <f t="shared" si="38"/>
        <v>530.98749999999995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3138.73</v>
      </c>
      <c r="S75" s="192"/>
      <c r="T75" s="192">
        <f>SUM(T70:T74)</f>
        <v>129.30000000000001</v>
      </c>
      <c r="U75" s="192">
        <f>SUM(U70:U74)</f>
        <v>5.5732758620689662</v>
      </c>
      <c r="V75" s="192">
        <f t="shared" ref="V75:AA75" si="41">SUM(V70:V74)</f>
        <v>23.540474999999997</v>
      </c>
      <c r="W75" s="192">
        <f t="shared" si="41"/>
        <v>0</v>
      </c>
      <c r="X75" s="192">
        <f t="shared" si="41"/>
        <v>3.2324999999999999</v>
      </c>
      <c r="Y75" s="192">
        <f t="shared" si="41"/>
        <v>3115.1895249999998</v>
      </c>
      <c r="Z75" s="192">
        <f t="shared" si="41"/>
        <v>0</v>
      </c>
      <c r="AA75" s="193">
        <f t="shared" si="41"/>
        <v>120.49422413793103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41.82</v>
      </c>
      <c r="Q78" s="137">
        <v>6.6</v>
      </c>
      <c r="R78" s="82">
        <v>7.4999999999999997E-3</v>
      </c>
      <c r="S78" s="194">
        <f>+(P78+Q78)*R78</f>
        <v>0.36314999999999997</v>
      </c>
      <c r="T78" s="219">
        <f>+(P78+Q78)-S78</f>
        <v>48.056850000000004</v>
      </c>
      <c r="U78" s="211"/>
      <c r="V78" s="112"/>
      <c r="W78" s="113">
        <v>1.4999999999999999E-2</v>
      </c>
      <c r="X78" s="196">
        <f>+(U78+V78)*W78</f>
        <v>0</v>
      </c>
      <c r="Y78" s="232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366.6</v>
      </c>
      <c r="Q79" s="137">
        <v>63.78</v>
      </c>
      <c r="R79" s="82">
        <v>7.4999999999999997E-3</v>
      </c>
      <c r="S79" s="194">
        <f t="shared" ref="S79:S97" si="43">+(P79+Q79)*R79</f>
        <v>3.2278499999999997</v>
      </c>
      <c r="T79" s="219">
        <f t="shared" ref="T79:T97" si="44">+(P79+Q79)-S79</f>
        <v>427.15215000000001</v>
      </c>
      <c r="U79" s="211">
        <v>931.01</v>
      </c>
      <c r="V79" s="112"/>
      <c r="W79" s="113">
        <v>1.4999999999999999E-2</v>
      </c>
      <c r="X79" s="196">
        <f t="shared" ref="X79:X97" si="45">+(U79+V79)*W79</f>
        <v>13.96515</v>
      </c>
      <c r="Y79" s="232">
        <f t="shared" ref="Y79:Y97" si="46">+(U79+V79)-X79</f>
        <v>917.04485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9.6999999999999993</v>
      </c>
      <c r="Q80" s="137">
        <v>53.42</v>
      </c>
      <c r="R80" s="82">
        <v>7.4999999999999997E-3</v>
      </c>
      <c r="S80" s="194">
        <f t="shared" si="43"/>
        <v>0.47340000000000004</v>
      </c>
      <c r="T80" s="219">
        <f t="shared" si="44"/>
        <v>62.646600000000007</v>
      </c>
      <c r="U80" s="211">
        <v>16.190000000000001</v>
      </c>
      <c r="V80" s="112"/>
      <c r="W80" s="113">
        <v>1.4999999999999999E-2</v>
      </c>
      <c r="X80" s="196">
        <f t="shared" si="45"/>
        <v>0.24285000000000001</v>
      </c>
      <c r="Y80" s="232">
        <f t="shared" si="46"/>
        <v>15.947150000000001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162.22</v>
      </c>
      <c r="Q81" s="137"/>
      <c r="R81" s="82">
        <v>7.4999999999999997E-3</v>
      </c>
      <c r="S81" s="194">
        <f t="shared" si="43"/>
        <v>1.21665</v>
      </c>
      <c r="T81" s="219">
        <f t="shared" si="44"/>
        <v>161.00335000000001</v>
      </c>
      <c r="U81" s="211">
        <v>65.290000000000006</v>
      </c>
      <c r="V81" s="112"/>
      <c r="W81" s="113">
        <v>1.4999999999999999E-2</v>
      </c>
      <c r="X81" s="196">
        <f t="shared" si="45"/>
        <v>0.97935000000000005</v>
      </c>
      <c r="Y81" s="232">
        <f t="shared" si="46"/>
        <v>64.31065000000001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99.14</v>
      </c>
      <c r="Q82" s="137">
        <v>11.46</v>
      </c>
      <c r="R82" s="82">
        <v>7.4999999999999997E-3</v>
      </c>
      <c r="S82" s="194">
        <f t="shared" si="43"/>
        <v>0.8294999999999999</v>
      </c>
      <c r="T82" s="219">
        <f t="shared" si="44"/>
        <v>109.7705</v>
      </c>
      <c r="U82" s="211">
        <v>11</v>
      </c>
      <c r="V82" s="112"/>
      <c r="W82" s="113">
        <v>1.4999999999999999E-2</v>
      </c>
      <c r="X82" s="196">
        <f t="shared" si="45"/>
        <v>0.16499999999999998</v>
      </c>
      <c r="Y82" s="232">
        <f t="shared" si="46"/>
        <v>10.835000000000001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>
        <v>102.74</v>
      </c>
      <c r="Q83" s="137">
        <v>69.989999999999995</v>
      </c>
      <c r="R83" s="82">
        <v>7.4999999999999997E-3</v>
      </c>
      <c r="S83" s="194">
        <f t="shared" si="43"/>
        <v>1.2954749999999999</v>
      </c>
      <c r="T83" s="219">
        <f t="shared" si="44"/>
        <v>171.43452499999998</v>
      </c>
      <c r="U83" s="211"/>
      <c r="V83" s="112"/>
      <c r="W83" s="113">
        <v>1.4999999999999999E-2</v>
      </c>
      <c r="X83" s="196">
        <f t="shared" si="45"/>
        <v>0</v>
      </c>
      <c r="Y83" s="23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108.57</v>
      </c>
      <c r="Q84" s="87"/>
      <c r="R84" s="82">
        <v>7.4999999999999997E-3</v>
      </c>
      <c r="S84" s="194">
        <f t="shared" si="43"/>
        <v>0.81427499999999997</v>
      </c>
      <c r="T84" s="219">
        <f t="shared" si="44"/>
        <v>107.755725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25.82</v>
      </c>
      <c r="Q85" s="87">
        <v>261.68</v>
      </c>
      <c r="R85" s="82">
        <v>7.4999999999999997E-3</v>
      </c>
      <c r="S85" s="194">
        <f t="shared" si="43"/>
        <v>2.15625</v>
      </c>
      <c r="T85" s="219">
        <f t="shared" si="44"/>
        <v>285.34375</v>
      </c>
      <c r="U85" s="112">
        <v>5.54</v>
      </c>
      <c r="V85" s="112"/>
      <c r="W85" s="113">
        <v>1.4999999999999999E-2</v>
      </c>
      <c r="X85" s="196">
        <f t="shared" si="45"/>
        <v>8.3099999999999993E-2</v>
      </c>
      <c r="Y85" s="217">
        <f t="shared" si="46"/>
        <v>5.4569000000000001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90.09</v>
      </c>
      <c r="Q86" s="87">
        <v>12.49</v>
      </c>
      <c r="R86" s="82">
        <v>7.4999999999999997E-3</v>
      </c>
      <c r="S86" s="194">
        <f t="shared" si="43"/>
        <v>0.76934999999999998</v>
      </c>
      <c r="T86" s="219">
        <f t="shared" si="44"/>
        <v>101.81065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456.94</v>
      </c>
      <c r="Q87" s="87"/>
      <c r="R87" s="82">
        <v>7.4999999999999997E-3</v>
      </c>
      <c r="S87" s="194">
        <f t="shared" si="43"/>
        <v>3.4270499999999999</v>
      </c>
      <c r="T87" s="220">
        <f t="shared" si="44"/>
        <v>453.51294999999999</v>
      </c>
      <c r="U87" s="112">
        <v>25.83</v>
      </c>
      <c r="V87" s="112"/>
      <c r="W87" s="113">
        <v>1.4999999999999999E-2</v>
      </c>
      <c r="X87" s="196">
        <f t="shared" si="45"/>
        <v>0.38744999999999996</v>
      </c>
      <c r="Y87" s="217">
        <f t="shared" si="46"/>
        <v>25.442549999999997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1463.64</v>
      </c>
      <c r="Q98" s="195">
        <f>SUM(Q78:Q97)</f>
        <v>479.42</v>
      </c>
      <c r="R98" s="111"/>
      <c r="S98" s="195">
        <f>SUM(S78:S97)</f>
        <v>14.572949999999999</v>
      </c>
      <c r="T98" s="195">
        <f>SUM(T78:T97)</f>
        <v>1928.48705</v>
      </c>
      <c r="U98" s="114">
        <f>SUM(U78:U97)</f>
        <v>1054.8599999999999</v>
      </c>
      <c r="V98" s="114">
        <f>SUM(V78:V97)</f>
        <v>0</v>
      </c>
      <c r="W98" s="112"/>
      <c r="X98" s="197">
        <f>SUM(X78:X97)</f>
        <v>15.822899999999999</v>
      </c>
      <c r="Y98" s="197">
        <f>SUM(Y78:Y97)</f>
        <v>1039.0371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  <c r="Q101" s="84"/>
      <c r="R101" s="84"/>
    </row>
    <row r="102" spans="14:30" x14ac:dyDescent="0.25">
      <c r="N102" s="85"/>
      <c r="P102" s="84"/>
      <c r="Q102" s="215">
        <f>P78+Q78+U78</f>
        <v>48.42</v>
      </c>
      <c r="R102" s="84"/>
    </row>
    <row r="103" spans="14:30" x14ac:dyDescent="0.25">
      <c r="N103" s="85"/>
      <c r="P103" s="84"/>
      <c r="Q103" s="215">
        <f t="shared" ref="Q103:Q112" si="50">P79+Q79+U79</f>
        <v>1361.3899999999999</v>
      </c>
      <c r="R103" s="84"/>
    </row>
    <row r="104" spans="14:30" x14ac:dyDescent="0.25">
      <c r="N104" s="85"/>
      <c r="P104" s="84"/>
      <c r="Q104" s="215">
        <f t="shared" si="50"/>
        <v>79.31</v>
      </c>
      <c r="R104" s="84"/>
    </row>
    <row r="105" spans="14:30" x14ac:dyDescent="0.25">
      <c r="N105" s="85"/>
      <c r="P105" s="84"/>
      <c r="Q105" s="215">
        <f t="shared" si="50"/>
        <v>227.51</v>
      </c>
      <c r="R105" s="84"/>
    </row>
    <row r="106" spans="14:30" x14ac:dyDescent="0.25">
      <c r="N106" s="85"/>
      <c r="P106" s="84"/>
      <c r="Q106" s="215">
        <f t="shared" si="50"/>
        <v>121.6</v>
      </c>
      <c r="R106" s="84"/>
    </row>
    <row r="107" spans="14:30" x14ac:dyDescent="0.25">
      <c r="N107" s="85"/>
      <c r="P107" s="84"/>
      <c r="Q107" s="218">
        <f t="shared" si="50"/>
        <v>172.73</v>
      </c>
      <c r="R107" s="84"/>
    </row>
    <row r="108" spans="14:30" x14ac:dyDescent="0.25">
      <c r="N108" s="85"/>
      <c r="P108" s="84"/>
      <c r="Q108" s="246">
        <f t="shared" si="50"/>
        <v>108.57</v>
      </c>
      <c r="R108" s="84"/>
    </row>
    <row r="109" spans="14:30" x14ac:dyDescent="0.25">
      <c r="N109" s="85"/>
      <c r="P109" s="84"/>
      <c r="Q109" s="246">
        <f>P85+Q85+U85</f>
        <v>293.04000000000002</v>
      </c>
      <c r="R109" s="84"/>
    </row>
    <row r="110" spans="14:30" x14ac:dyDescent="0.25">
      <c r="N110" s="85"/>
      <c r="P110" s="84"/>
      <c r="Q110" s="246">
        <f t="shared" si="50"/>
        <v>102.58</v>
      </c>
      <c r="R110" s="84"/>
    </row>
    <row r="111" spans="14:30" x14ac:dyDescent="0.25">
      <c r="N111" s="85"/>
      <c r="P111" s="84"/>
      <c r="Q111" s="84">
        <f>P87+Q87+U87</f>
        <v>482.77</v>
      </c>
      <c r="R111" s="84"/>
    </row>
    <row r="112" spans="14:30" x14ac:dyDescent="0.25">
      <c r="N112" s="85"/>
      <c r="Q112" s="85">
        <f t="shared" si="50"/>
        <v>0</v>
      </c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12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52.186206896551724</v>
      </c>
      <c r="D27" s="203">
        <f t="shared" si="0"/>
        <v>52.186206896551724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52.186206896551724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22'!G$47</f>
        <v>0</v>
      </c>
      <c r="C30" s="199">
        <f>'DIA 22'!G$53</f>
        <v>120.78311206896552</v>
      </c>
      <c r="D30" s="203">
        <f t="shared" si="0"/>
        <v>120.78311206896552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120.78311206896552</v>
      </c>
    </row>
    <row r="31" spans="1:8" x14ac:dyDescent="0.25">
      <c r="A31" s="46">
        <f>'DIA 23'!B$6</f>
        <v>44765</v>
      </c>
      <c r="B31" s="199">
        <f>'DIA 23'!G$47</f>
        <v>421.28647500000005</v>
      </c>
      <c r="C31" s="199">
        <f>'DIA 23'!G$53</f>
        <v>0</v>
      </c>
      <c r="D31" s="203">
        <f t="shared" si="0"/>
        <v>421.28647500000005</v>
      </c>
      <c r="E31" s="199">
        <f>'DIA 23'!K$47</f>
        <v>0</v>
      </c>
      <c r="F31" s="199">
        <f>'DIA 23'!K$53</f>
        <v>0</v>
      </c>
      <c r="G31" s="206">
        <f t="shared" si="1"/>
        <v>421.28647500000005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733.59645</v>
      </c>
      <c r="C32" s="199">
        <f>'DIA 24'!G$53</f>
        <v>1.7612844827586205</v>
      </c>
      <c r="D32" s="203">
        <f t="shared" si="0"/>
        <v>735.35773448275859</v>
      </c>
      <c r="E32" s="199">
        <f>'DIA 24'!K$47</f>
        <v>0</v>
      </c>
      <c r="F32" s="199">
        <f>'DIA 24'!K$53</f>
        <v>0</v>
      </c>
      <c r="G32" s="206">
        <f t="shared" si="1"/>
        <v>733.59645</v>
      </c>
      <c r="H32" s="206">
        <f t="shared" si="1"/>
        <v>1.7612844827586205</v>
      </c>
    </row>
    <row r="33" spans="1:8" x14ac:dyDescent="0.25">
      <c r="A33" s="46">
        <f>'DIA 25'!B$6</f>
        <v>44767</v>
      </c>
      <c r="B33" s="199">
        <f>'DIA 25'!G$47</f>
        <v>1717.1242499999998</v>
      </c>
      <c r="C33" s="199">
        <f>'DIA 25'!G$53</f>
        <v>44.731034482758616</v>
      </c>
      <c r="D33" s="203">
        <f t="shared" si="0"/>
        <v>1761.8552844827584</v>
      </c>
      <c r="E33" s="199">
        <f>'DIA 25'!K$47</f>
        <v>0</v>
      </c>
      <c r="F33" s="199">
        <f>'DIA 25'!K$53</f>
        <v>0</v>
      </c>
      <c r="G33" s="206">
        <f t="shared" si="1"/>
        <v>1717.1242499999998</v>
      </c>
      <c r="H33" s="206">
        <f t="shared" si="1"/>
        <v>44.731034482758616</v>
      </c>
    </row>
    <row r="34" spans="1:8" x14ac:dyDescent="0.25">
      <c r="A34" s="46">
        <f>'DIA 26'!B$6</f>
        <v>44738</v>
      </c>
      <c r="B34" s="199">
        <f>'DIA 26'!G$47</f>
        <v>667.52572500000008</v>
      </c>
      <c r="C34" s="199">
        <f>'DIA 26'!G$53</f>
        <v>0</v>
      </c>
      <c r="D34" s="203">
        <f t="shared" si="0"/>
        <v>667.52572500000008</v>
      </c>
      <c r="E34" s="199">
        <f>'DIA 26'!K$47</f>
        <v>0</v>
      </c>
      <c r="F34" s="199">
        <f>'DIA 26'!K$53</f>
        <v>0</v>
      </c>
      <c r="G34" s="206">
        <f t="shared" si="1"/>
        <v>667.52572500000008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1563.6639</v>
      </c>
      <c r="C35" s="199">
        <f>'DIA 27'!G$53</f>
        <v>310.84341379310342</v>
      </c>
      <c r="D35" s="203">
        <f t="shared" si="0"/>
        <v>1874.5073137931035</v>
      </c>
      <c r="E35" s="199">
        <f>'DIA 27'!K$47</f>
        <v>0</v>
      </c>
      <c r="F35" s="199">
        <f>'DIA 27'!K$53</f>
        <v>0</v>
      </c>
      <c r="G35" s="206">
        <f t="shared" si="1"/>
        <v>1563.6639</v>
      </c>
      <c r="H35" s="206">
        <f t="shared" si="1"/>
        <v>310.84341379310342</v>
      </c>
    </row>
    <row r="36" spans="1:8" x14ac:dyDescent="0.25">
      <c r="A36" s="46">
        <f>'DIA 28'!B$6</f>
        <v>44770</v>
      </c>
      <c r="B36" s="199">
        <f>'DIA 28'!G$47</f>
        <v>1405.3502250000001</v>
      </c>
      <c r="C36" s="199">
        <f>'DIA 28'!G$53</f>
        <v>59.948905172413795</v>
      </c>
      <c r="D36" s="203">
        <f t="shared" si="0"/>
        <v>1465.2991301724139</v>
      </c>
      <c r="E36" s="199">
        <f>'DIA 28'!K$47</f>
        <v>0</v>
      </c>
      <c r="F36" s="199">
        <f>'DIA 28'!K$53</f>
        <v>0</v>
      </c>
      <c r="G36" s="206">
        <f t="shared" si="1"/>
        <v>1405.3502250000001</v>
      </c>
      <c r="H36" s="206">
        <f t="shared" si="1"/>
        <v>59.948905172413795</v>
      </c>
    </row>
    <row r="37" spans="1:8" x14ac:dyDescent="0.25">
      <c r="A37" s="46">
        <f>'DIA 29'!B$6</f>
        <v>44771</v>
      </c>
      <c r="B37" s="199">
        <f>'DIA 29'!G$47</f>
        <v>2734.7841249999997</v>
      </c>
      <c r="C37" s="199">
        <f>'DIA 29'!G$53</f>
        <v>46.594827586206897</v>
      </c>
      <c r="D37" s="203">
        <f t="shared" si="0"/>
        <v>2781.3789525862067</v>
      </c>
      <c r="E37" s="199">
        <f>'DIA 29'!K$47</f>
        <v>0</v>
      </c>
      <c r="F37" s="199">
        <f>'DIA 29'!K$53</f>
        <v>0</v>
      </c>
      <c r="G37" s="206">
        <f t="shared" si="1"/>
        <v>2734.7841249999997</v>
      </c>
      <c r="H37" s="206">
        <f t="shared" si="1"/>
        <v>46.594827586206897</v>
      </c>
    </row>
    <row r="38" spans="1:8" x14ac:dyDescent="0.25">
      <c r="A38" s="46">
        <f>'DIA 30'!B$6</f>
        <v>44772</v>
      </c>
      <c r="B38" s="199">
        <f>'DIA 30'!G$47</f>
        <v>2668.9317500000002</v>
      </c>
      <c r="C38" s="199">
        <f>'DIA 30'!G$53</f>
        <v>81.326612068965531</v>
      </c>
      <c r="D38" s="203">
        <f t="shared" si="0"/>
        <v>2750.2583620689657</v>
      </c>
      <c r="E38" s="199">
        <f>'DIA 30'!K$47</f>
        <v>0</v>
      </c>
      <c r="F38" s="199">
        <f>'DIA 30'!K$53</f>
        <v>0</v>
      </c>
      <c r="G38" s="206">
        <f t="shared" si="1"/>
        <v>2668.9317500000002</v>
      </c>
      <c r="H38" s="206">
        <f t="shared" si="1"/>
        <v>81.326612068965531</v>
      </c>
    </row>
    <row r="39" spans="1:8" x14ac:dyDescent="0.25">
      <c r="A39" s="46">
        <f>'DIA 31'!B$6</f>
        <v>44773</v>
      </c>
      <c r="B39" s="199">
        <f>'DIA 31'!G$47</f>
        <v>1624.5637000000002</v>
      </c>
      <c r="C39" s="199">
        <f>'DIA 31'!G$53</f>
        <v>0</v>
      </c>
      <c r="D39" s="203">
        <f t="shared" si="0"/>
        <v>1624.5637000000002</v>
      </c>
      <c r="E39" s="199">
        <f>'DIA 31'!K$47</f>
        <v>0</v>
      </c>
      <c r="F39" s="199">
        <f>'DIA 31'!K$53</f>
        <v>0</v>
      </c>
      <c r="G39" s="206">
        <f t="shared" si="1"/>
        <v>1624.5637000000002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13536.8266</v>
      </c>
      <c r="C40" s="133">
        <f>SUM(C9:C38)</f>
        <v>718.17539655172413</v>
      </c>
      <c r="D40" s="133">
        <f>SUM(D9:D38)</f>
        <v>12630.438296551725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70" zoomScale="90" zoomScaleNormal="90" workbookViewId="0">
      <selection activeCell="U88" sqref="U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44399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>
        <v>5.84</v>
      </c>
    </row>
    <row r="9" spans="1:28" x14ac:dyDescent="0.25">
      <c r="A9" s="7" t="s">
        <v>76</v>
      </c>
      <c r="B9" s="108"/>
      <c r="C9" s="85" t="s">
        <v>93</v>
      </c>
      <c r="D9" s="108">
        <v>5.86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840.5</v>
      </c>
      <c r="C12" s="15"/>
      <c r="D12" s="56"/>
      <c r="E12" s="16"/>
      <c r="F12" s="56"/>
      <c r="G12" s="56"/>
      <c r="H12" s="17"/>
      <c r="I12" s="83">
        <v>840.5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188</v>
      </c>
      <c r="Q12" s="158">
        <v>11</v>
      </c>
      <c r="R12" s="244">
        <v>1536.46</v>
      </c>
      <c r="S12" s="160"/>
      <c r="T12" s="238">
        <v>144.28</v>
      </c>
      <c r="U12" s="189">
        <f>((T12/U$10)*U$9)</f>
        <v>6.2189655172413802</v>
      </c>
      <c r="V12" s="189">
        <f>R12*V$10</f>
        <v>11.52345</v>
      </c>
      <c r="W12" s="189">
        <f>+S12*V$10</f>
        <v>0</v>
      </c>
      <c r="X12" s="189">
        <f>+T12*X$10</f>
        <v>3.6070000000000002</v>
      </c>
      <c r="Y12" s="189">
        <f>R12-V12</f>
        <v>1524.9365500000001</v>
      </c>
      <c r="Z12" s="189">
        <f>S12-W12</f>
        <v>0</v>
      </c>
      <c r="AA12" s="189">
        <f>T12-U12-X12</f>
        <v>134.45403448275863</v>
      </c>
      <c r="AB12" s="156"/>
    </row>
    <row r="13" spans="1:28" ht="15.75" x14ac:dyDescent="0.25">
      <c r="A13" s="86" t="s">
        <v>74</v>
      </c>
      <c r="B13" s="89">
        <v>2612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2612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11</v>
      </c>
      <c r="R13" s="244">
        <v>2521.7199999999998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18.912899999999997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2502.8071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14966.76</v>
      </c>
      <c r="C14" s="15"/>
      <c r="D14" s="56"/>
      <c r="E14" s="16"/>
      <c r="F14" s="56"/>
      <c r="G14" s="56"/>
      <c r="H14" s="17"/>
      <c r="I14" s="83"/>
      <c r="J14" s="81">
        <f t="shared" si="0"/>
        <v>14966.76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571</v>
      </c>
      <c r="Q14" s="158">
        <v>2</v>
      </c>
      <c r="R14" s="244">
        <v>555.20000000000005</v>
      </c>
      <c r="S14" s="160"/>
      <c r="T14" s="247">
        <v>180.71</v>
      </c>
      <c r="U14" s="189">
        <f t="shared" si="2"/>
        <v>7.7892241379310354</v>
      </c>
      <c r="V14" s="189">
        <f t="shared" si="3"/>
        <v>4.1640000000000006</v>
      </c>
      <c r="W14" s="189">
        <f t="shared" si="4"/>
        <v>0</v>
      </c>
      <c r="X14" s="189">
        <f t="shared" si="5"/>
        <v>4.5177500000000004</v>
      </c>
      <c r="Y14" s="189">
        <f t="shared" si="6"/>
        <v>551.03600000000006</v>
      </c>
      <c r="Z14" s="189">
        <f t="shared" si="6"/>
        <v>0</v>
      </c>
      <c r="AA14" s="189">
        <f t="shared" si="7"/>
        <v>168.40302586206897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572</v>
      </c>
      <c r="Q15" s="158">
        <v>2</v>
      </c>
      <c r="R15" s="244">
        <v>1576.39</v>
      </c>
      <c r="S15" s="160"/>
      <c r="T15" s="247">
        <v>30.37</v>
      </c>
      <c r="U15" s="189">
        <f t="shared" si="2"/>
        <v>1.3090517241379311</v>
      </c>
      <c r="V15" s="189">
        <f t="shared" si="3"/>
        <v>11.822925</v>
      </c>
      <c r="W15" s="189">
        <f t="shared" si="4"/>
        <v>0</v>
      </c>
      <c r="X15" s="189">
        <f t="shared" si="5"/>
        <v>0.75925000000000009</v>
      </c>
      <c r="Y15" s="189">
        <f t="shared" si="6"/>
        <v>1564.5670750000002</v>
      </c>
      <c r="Z15" s="189">
        <f t="shared" si="6"/>
        <v>0</v>
      </c>
      <c r="AA15" s="189">
        <f t="shared" si="7"/>
        <v>28.301698275862069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552</v>
      </c>
      <c r="Q16" s="158">
        <v>4</v>
      </c>
      <c r="R16" s="244">
        <v>742.61</v>
      </c>
      <c r="S16" s="160"/>
      <c r="T16" s="161"/>
      <c r="U16" s="189">
        <f t="shared" si="2"/>
        <v>0</v>
      </c>
      <c r="V16" s="189">
        <f t="shared" si="3"/>
        <v>5.5695749999999995</v>
      </c>
      <c r="W16" s="189">
        <f t="shared" si="4"/>
        <v>0</v>
      </c>
      <c r="X16" s="189">
        <f t="shared" si="5"/>
        <v>0</v>
      </c>
      <c r="Y16" s="189">
        <f t="shared" si="6"/>
        <v>737.04042500000003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553</v>
      </c>
      <c r="Q17" s="158">
        <v>4</v>
      </c>
      <c r="R17" s="244">
        <v>1807.75</v>
      </c>
      <c r="S17" s="160"/>
      <c r="T17" s="161"/>
      <c r="U17" s="189">
        <f t="shared" si="2"/>
        <v>0</v>
      </c>
      <c r="V17" s="189">
        <f t="shared" si="3"/>
        <v>13.558124999999999</v>
      </c>
      <c r="W17" s="189">
        <f t="shared" si="4"/>
        <v>0</v>
      </c>
      <c r="X17" s="189">
        <f t="shared" si="5"/>
        <v>0</v>
      </c>
      <c r="Y17" s="189">
        <f t="shared" si="6"/>
        <v>1794.191875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551</v>
      </c>
      <c r="Q18" s="158">
        <v>14</v>
      </c>
      <c r="R18" s="244">
        <v>720.86</v>
      </c>
      <c r="S18" s="160"/>
      <c r="T18" s="161"/>
      <c r="U18" s="189">
        <f t="shared" si="2"/>
        <v>0</v>
      </c>
      <c r="V18" s="189">
        <f t="shared" si="3"/>
        <v>5.4064499999999995</v>
      </c>
      <c r="W18" s="189">
        <f t="shared" si="4"/>
        <v>0</v>
      </c>
      <c r="X18" s="189">
        <f t="shared" si="5"/>
        <v>0</v>
      </c>
      <c r="Y18" s="189">
        <f t="shared" si="6"/>
        <v>715.45355000000006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2612</v>
      </c>
      <c r="C19" s="95"/>
      <c r="D19" s="94"/>
      <c r="E19" s="96"/>
      <c r="F19" s="94"/>
      <c r="G19" s="94"/>
      <c r="H19" s="98"/>
      <c r="I19" s="99"/>
      <c r="J19" s="185">
        <f>B19-I19</f>
        <v>2612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204</v>
      </c>
      <c r="Q19" s="158">
        <v>10</v>
      </c>
      <c r="R19" s="244">
        <v>1245.43</v>
      </c>
      <c r="S19" s="160"/>
      <c r="T19" s="161"/>
      <c r="U19" s="189">
        <f t="shared" si="2"/>
        <v>0</v>
      </c>
      <c r="V19" s="189">
        <f t="shared" si="3"/>
        <v>9.3407250000000008</v>
      </c>
      <c r="W19" s="189">
        <f t="shared" si="4"/>
        <v>0</v>
      </c>
      <c r="X19" s="189">
        <f t="shared" si="5"/>
        <v>0</v>
      </c>
      <c r="Y19" s="189">
        <f t="shared" si="6"/>
        <v>1236.089275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14966.76</v>
      </c>
      <c r="C20" s="95"/>
      <c r="D20" s="94"/>
      <c r="E20" s="96"/>
      <c r="F20" s="94"/>
      <c r="G20" s="94"/>
      <c r="H20" s="98"/>
      <c r="I20" s="99">
        <v>14966.76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637</v>
      </c>
      <c r="Q20" s="158">
        <v>18</v>
      </c>
      <c r="R20" s="244">
        <v>506.93</v>
      </c>
      <c r="S20" s="160"/>
      <c r="T20" s="161"/>
      <c r="U20" s="189">
        <f t="shared" si="2"/>
        <v>0</v>
      </c>
      <c r="V20" s="189">
        <f t="shared" si="3"/>
        <v>3.8019750000000001</v>
      </c>
      <c r="W20" s="189">
        <f t="shared" si="4"/>
        <v>0</v>
      </c>
      <c r="X20" s="189">
        <f t="shared" si="5"/>
        <v>0</v>
      </c>
      <c r="Y20" s="189">
        <f t="shared" si="6"/>
        <v>503.12802499999998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45</v>
      </c>
      <c r="C21" s="100"/>
      <c r="D21" s="66"/>
      <c r="E21" s="67"/>
      <c r="F21" s="66"/>
      <c r="G21" s="66"/>
      <c r="H21" s="102"/>
      <c r="I21" s="79"/>
      <c r="J21" s="81">
        <f t="shared" si="0"/>
        <v>45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638</v>
      </c>
      <c r="Q21" s="158">
        <v>18</v>
      </c>
      <c r="R21" s="244">
        <v>1693.33</v>
      </c>
      <c r="S21" s="160"/>
      <c r="T21" s="247">
        <v>24.59</v>
      </c>
      <c r="U21" s="189">
        <f t="shared" si="2"/>
        <v>1.0599137931034484</v>
      </c>
      <c r="V21" s="189">
        <f t="shared" si="3"/>
        <v>12.699974999999998</v>
      </c>
      <c r="W21" s="189">
        <f t="shared" si="4"/>
        <v>0</v>
      </c>
      <c r="X21" s="189">
        <f t="shared" si="5"/>
        <v>0.61475000000000002</v>
      </c>
      <c r="Y21" s="189">
        <f t="shared" si="6"/>
        <v>1680.6300249999999</v>
      </c>
      <c r="Z21" s="189">
        <f t="shared" si="6"/>
        <v>0</v>
      </c>
      <c r="AA21" s="189">
        <f t="shared" si="7"/>
        <v>22.915336206896551</v>
      </c>
      <c r="AB21" s="156"/>
    </row>
    <row r="22" spans="1:28" ht="15.75" x14ac:dyDescent="0.25">
      <c r="A22" s="86" t="s">
        <v>85</v>
      </c>
      <c r="B22" s="57">
        <f>B21*D8</f>
        <v>262.8</v>
      </c>
      <c r="C22" s="100"/>
      <c r="D22" s="66"/>
      <c r="E22" s="67"/>
      <c r="F22" s="66"/>
      <c r="G22" s="66"/>
      <c r="H22" s="102"/>
      <c r="I22" s="79">
        <v>703.2</v>
      </c>
      <c r="J22" s="81">
        <f t="shared" si="0"/>
        <v>-440.40000000000003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205</v>
      </c>
      <c r="Q22" s="158">
        <v>10</v>
      </c>
      <c r="R22" s="245">
        <v>1308.79</v>
      </c>
      <c r="S22" s="160"/>
      <c r="T22" s="160"/>
      <c r="U22" s="189">
        <f t="shared" si="2"/>
        <v>0</v>
      </c>
      <c r="V22" s="189">
        <f t="shared" si="3"/>
        <v>9.815925</v>
      </c>
      <c r="W22" s="189">
        <f t="shared" si="4"/>
        <v>0</v>
      </c>
      <c r="X22" s="189">
        <f t="shared" si="5"/>
        <v>0</v>
      </c>
      <c r="Y22" s="189">
        <f t="shared" si="6"/>
        <v>1298.9740749999999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75</v>
      </c>
      <c r="C23" s="100"/>
      <c r="D23" s="66"/>
      <c r="E23" s="67"/>
      <c r="F23" s="66"/>
      <c r="G23" s="66"/>
      <c r="H23" s="102"/>
      <c r="I23" s="79"/>
      <c r="J23" s="81">
        <f t="shared" si="0"/>
        <v>75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439.5</v>
      </c>
      <c r="C24" s="100"/>
      <c r="D24" s="66"/>
      <c r="E24" s="67"/>
      <c r="F24" s="66"/>
      <c r="G24" s="66"/>
      <c r="H24" s="102"/>
      <c r="I24" s="79"/>
      <c r="J24" s="81">
        <f t="shared" si="0"/>
        <v>439.5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120</v>
      </c>
      <c r="C27" s="95"/>
      <c r="D27" s="94"/>
      <c r="E27" s="96"/>
      <c r="F27" s="94"/>
      <c r="G27" s="94"/>
      <c r="H27" s="98"/>
      <c r="I27" s="99"/>
      <c r="J27" s="185">
        <f t="shared" si="0"/>
        <v>120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702.3</v>
      </c>
      <c r="C28" s="95"/>
      <c r="D28" s="94"/>
      <c r="E28" s="96"/>
      <c r="F28" s="94"/>
      <c r="G28" s="94"/>
      <c r="H28" s="98"/>
      <c r="I28" s="99">
        <v>703.2</v>
      </c>
      <c r="J28" s="185">
        <f t="shared" si="0"/>
        <v>-0.90000000000009095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82.87</v>
      </c>
      <c r="C29" s="100"/>
      <c r="D29" s="66"/>
      <c r="E29" s="67"/>
      <c r="F29" s="66"/>
      <c r="G29" s="66"/>
      <c r="H29" s="102"/>
      <c r="I29" s="79">
        <v>82.86</v>
      </c>
      <c r="J29" s="81">
        <f t="shared" si="0"/>
        <v>1.0000000000005116E-2</v>
      </c>
      <c r="K29" s="80">
        <v>82.86</v>
      </c>
      <c r="L29" s="186">
        <f>K29-B29</f>
        <v>-1.0000000000005116E-2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474.84510000000006</v>
      </c>
      <c r="C30" s="100"/>
      <c r="D30" s="66"/>
      <c r="E30" s="67"/>
      <c r="F30" s="66"/>
      <c r="G30" s="66"/>
      <c r="H30" s="102"/>
      <c r="I30" s="79">
        <v>474.85</v>
      </c>
      <c r="J30" s="81">
        <f t="shared" si="0"/>
        <v>-4.8999999999637112E-3</v>
      </c>
      <c r="K30" s="80">
        <v>474.85</v>
      </c>
      <c r="L30" s="186">
        <f>K30-B30</f>
        <v>4.8999999999637112E-3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82.87</v>
      </c>
      <c r="C35" s="95"/>
      <c r="D35" s="94"/>
      <c r="E35" s="96"/>
      <c r="F35" s="94"/>
      <c r="G35" s="94"/>
      <c r="H35" s="98"/>
      <c r="I35" s="99">
        <v>82.87</v>
      </c>
      <c r="J35" s="185">
        <f t="shared" si="0"/>
        <v>0</v>
      </c>
      <c r="K35" s="99">
        <v>82.87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474.84510000000006</v>
      </c>
      <c r="C36" s="95"/>
      <c r="D36" s="94"/>
      <c r="E36" s="96"/>
      <c r="F36" s="94"/>
      <c r="G36" s="94"/>
      <c r="H36" s="98"/>
      <c r="I36" s="99">
        <v>474.85</v>
      </c>
      <c r="J36" s="185">
        <f t="shared" si="0"/>
        <v>-4.8999999999637112E-3</v>
      </c>
      <c r="K36" s="99">
        <v>474.85</v>
      </c>
      <c r="L36" s="187">
        <f>K36-B36</f>
        <v>4.8999999999637112E-3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14215.470000000001</v>
      </c>
      <c r="S42" s="190">
        <f t="shared" si="8"/>
        <v>0</v>
      </c>
      <c r="T42" s="190">
        <f t="shared" si="8"/>
        <v>379.95</v>
      </c>
      <c r="U42" s="190">
        <f t="shared" si="8"/>
        <v>16.377155172413794</v>
      </c>
      <c r="V42" s="190">
        <f t="shared" si="8"/>
        <v>106.61602500000001</v>
      </c>
      <c r="W42" s="190">
        <f t="shared" si="8"/>
        <v>0</v>
      </c>
      <c r="X42" s="190">
        <f t="shared" si="8"/>
        <v>9.4987500000000011</v>
      </c>
      <c r="Y42" s="190">
        <f t="shared" si="8"/>
        <v>14108.853975000002</v>
      </c>
      <c r="Z42" s="190">
        <f t="shared" si="8"/>
        <v>0</v>
      </c>
      <c r="AA42" s="190">
        <f t="shared" si="8"/>
        <v>354.07409482758618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>
        <v>83.31</v>
      </c>
      <c r="U43" s="189">
        <f t="shared" ref="U43:U62" si="9">((T43/U$10)*U$9)</f>
        <v>3.5909482758620692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2.0827500000000003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77.636301724137923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>
        <v>46.3</v>
      </c>
      <c r="U44" s="189">
        <f t="shared" si="9"/>
        <v>1.9956896551724139</v>
      </c>
      <c r="V44" s="189">
        <f t="shared" si="10"/>
        <v>0</v>
      </c>
      <c r="W44" s="189">
        <f t="shared" si="11"/>
        <v>0</v>
      </c>
      <c r="X44" s="189">
        <f t="shared" si="12"/>
        <v>1.1575</v>
      </c>
      <c r="Y44" s="189">
        <f t="shared" si="13"/>
        <v>0</v>
      </c>
      <c r="Z44" s="189">
        <f t="shared" si="13"/>
        <v>0</v>
      </c>
      <c r="AA44" s="189">
        <f t="shared" si="14"/>
        <v>43.146810344827585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14215.470000000001</v>
      </c>
      <c r="C46" s="116">
        <v>7.4999999999999997E-3</v>
      </c>
      <c r="D46" s="117">
        <f>B46*C46</f>
        <v>106.61602500000001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14108.853975000002</v>
      </c>
      <c r="H46" s="173">
        <f>B$6+1</f>
        <v>44400</v>
      </c>
      <c r="I46" s="174">
        <v>14215.47</v>
      </c>
      <c r="J46" s="81">
        <f t="shared" si="0"/>
        <v>0</v>
      </c>
      <c r="K46" s="80"/>
      <c r="L46" s="186">
        <f t="shared" ref="L46:L64" si="17">+G46-K46</f>
        <v>14108.853975000002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44400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93.69</v>
      </c>
      <c r="C48" s="116">
        <v>1.4999999999999999E-2</v>
      </c>
      <c r="D48" s="117">
        <f t="shared" si="18"/>
        <v>1.4053499999999999</v>
      </c>
      <c r="E48" s="172">
        <v>0</v>
      </c>
      <c r="F48" s="117">
        <f t="shared" si="15"/>
        <v>0</v>
      </c>
      <c r="G48" s="117">
        <f t="shared" si="16"/>
        <v>92.284649999999999</v>
      </c>
      <c r="H48" s="173">
        <f t="shared" ref="H48:H61" si="19">B$6+1</f>
        <v>44400</v>
      </c>
      <c r="I48" s="176">
        <v>93.69</v>
      </c>
      <c r="J48" s="81">
        <f t="shared" si="0"/>
        <v>0</v>
      </c>
      <c r="K48" s="80"/>
      <c r="L48" s="186">
        <f t="shared" si="17"/>
        <v>92.284649999999999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4420.6000000000004</v>
      </c>
      <c r="C49" s="116">
        <v>7.4999999999999997E-3</v>
      </c>
      <c r="D49" s="117">
        <f t="shared" si="18"/>
        <v>33.154499999999999</v>
      </c>
      <c r="E49" s="172">
        <v>0</v>
      </c>
      <c r="F49" s="117">
        <f t="shared" si="15"/>
        <v>0</v>
      </c>
      <c r="G49" s="117">
        <f t="shared" si="16"/>
        <v>4387.4455000000007</v>
      </c>
      <c r="H49" s="173">
        <f t="shared" si="19"/>
        <v>44400</v>
      </c>
      <c r="I49" s="176">
        <v>4125.6099999999997</v>
      </c>
      <c r="J49" s="81">
        <f t="shared" si="0"/>
        <v>294.99000000000069</v>
      </c>
      <c r="K49" s="80"/>
      <c r="L49" s="186">
        <f t="shared" si="17"/>
        <v>4387.4455000000007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1329.6100000000001</v>
      </c>
      <c r="C50" s="116">
        <v>7.4999999999999997E-3</v>
      </c>
      <c r="D50" s="117">
        <f t="shared" si="18"/>
        <v>9.9720750000000002</v>
      </c>
      <c r="E50" s="172">
        <v>0</v>
      </c>
      <c r="F50" s="117">
        <f t="shared" si="15"/>
        <v>0</v>
      </c>
      <c r="G50" s="117">
        <f t="shared" si="16"/>
        <v>1319.6379250000002</v>
      </c>
      <c r="H50" s="173">
        <f t="shared" si="19"/>
        <v>44400</v>
      </c>
      <c r="I50" s="175"/>
      <c r="J50" s="81">
        <f t="shared" si="0"/>
        <v>1329.6100000000001</v>
      </c>
      <c r="K50" s="80"/>
      <c r="L50" s="186">
        <f t="shared" si="17"/>
        <v>1319.6379250000002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194.63</v>
      </c>
      <c r="C51" s="116">
        <v>1.4999999999999999E-2</v>
      </c>
      <c r="D51" s="117">
        <f>+B51*C51</f>
        <v>2.9194499999999999</v>
      </c>
      <c r="E51" s="172">
        <v>0</v>
      </c>
      <c r="F51" s="117">
        <f>D51*E51</f>
        <v>0</v>
      </c>
      <c r="G51" s="117">
        <f t="shared" si="16"/>
        <v>191.71054999999998</v>
      </c>
      <c r="H51" s="173">
        <f t="shared" si="19"/>
        <v>44400</v>
      </c>
      <c r="I51" s="175">
        <v>1524.89</v>
      </c>
      <c r="J51" s="81">
        <f t="shared" si="0"/>
        <v>-1330.2600000000002</v>
      </c>
      <c r="K51" s="80"/>
      <c r="L51" s="186">
        <f t="shared" si="17"/>
        <v>191.71054999999998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379.95</v>
      </c>
      <c r="C52" s="116">
        <v>2.5000000000000001E-2</v>
      </c>
      <c r="D52" s="117">
        <f>B52*C52</f>
        <v>9.4987499999999994</v>
      </c>
      <c r="E52" s="172">
        <v>0.05</v>
      </c>
      <c r="F52" s="117">
        <f>(B52/E$10)*E52</f>
        <v>16.377155172413794</v>
      </c>
      <c r="G52" s="117">
        <f>B52-D52-F52</f>
        <v>354.07409482758624</v>
      </c>
      <c r="H52" s="188">
        <f t="shared" si="19"/>
        <v>44400</v>
      </c>
      <c r="I52" s="176">
        <v>379.95</v>
      </c>
      <c r="J52" s="81">
        <f t="shared" si="0"/>
        <v>0</v>
      </c>
      <c r="K52" s="80"/>
      <c r="L52" s="186">
        <f t="shared" si="17"/>
        <v>354.07409482758624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129.61000000000001</v>
      </c>
      <c r="C53" s="116">
        <v>2.5000000000000001E-2</v>
      </c>
      <c r="D53" s="117">
        <f t="shared" ref="D53:D56" si="20">B53*C53</f>
        <v>3.2402500000000005</v>
      </c>
      <c r="E53" s="172">
        <v>0.05</v>
      </c>
      <c r="F53" s="117">
        <f t="shared" ref="F53:F56" si="21">(B53/E$10)*E53</f>
        <v>5.5866379310344847</v>
      </c>
      <c r="G53" s="117">
        <f t="shared" ref="G53:G58" si="22">B53-D53-F53</f>
        <v>120.78311206896552</v>
      </c>
      <c r="H53" s="188">
        <f t="shared" si="19"/>
        <v>44400</v>
      </c>
      <c r="I53" s="176">
        <v>46.3</v>
      </c>
      <c r="J53" s="81">
        <f t="shared" si="0"/>
        <v>83.310000000000016</v>
      </c>
      <c r="K53" s="80"/>
      <c r="L53" s="186">
        <f t="shared" si="17"/>
        <v>120.78311206896552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44400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44400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209</v>
      </c>
      <c r="B56" s="117">
        <f>T75</f>
        <v>18.05</v>
      </c>
      <c r="C56" s="116">
        <v>2.5000000000000001E-2</v>
      </c>
      <c r="D56" s="117">
        <f t="shared" si="20"/>
        <v>0.45125000000000004</v>
      </c>
      <c r="E56" s="172">
        <v>0.05</v>
      </c>
      <c r="F56" s="117">
        <f t="shared" si="21"/>
        <v>0.7780172413793105</v>
      </c>
      <c r="G56" s="117">
        <f t="shared" si="22"/>
        <v>16.820732758620689</v>
      </c>
      <c r="H56" s="173">
        <f t="shared" si="19"/>
        <v>44400</v>
      </c>
      <c r="I56" s="176">
        <f>18.05+83.31</f>
        <v>101.36</v>
      </c>
      <c r="J56" s="81">
        <f t="shared" si="0"/>
        <v>-83.31</v>
      </c>
      <c r="K56" s="80"/>
      <c r="L56" s="186">
        <f t="shared" si="17"/>
        <v>16.820732758620689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44402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44404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44429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167.25765000000001</v>
      </c>
      <c r="E61" s="177"/>
      <c r="F61" s="57">
        <f>SUM(F46:F58)</f>
        <v>22.741810344827588</v>
      </c>
      <c r="G61" s="57">
        <f>SUM(G46:G58)</f>
        <v>20591.610539655172</v>
      </c>
      <c r="H61" s="173">
        <f t="shared" si="19"/>
        <v>44400</v>
      </c>
      <c r="I61" s="175"/>
      <c r="J61" s="81">
        <f t="shared" si="0"/>
        <v>0</v>
      </c>
      <c r="K61" s="80"/>
      <c r="L61" s="186">
        <f t="shared" si="17"/>
        <v>20591.610539655172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295</v>
      </c>
      <c r="C62" s="18"/>
      <c r="D62" s="101"/>
      <c r="E62" s="178"/>
      <c r="F62" s="101"/>
      <c r="G62" s="57"/>
      <c r="H62" s="173">
        <f>B$6+1</f>
        <v>44400</v>
      </c>
      <c r="I62" s="176"/>
      <c r="J62" s="81">
        <f t="shared" si="0"/>
        <v>295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129.61000000000001</v>
      </c>
      <c r="U63" s="191">
        <f t="shared" ref="U63:X63" si="25">SUM(U43:U62)</f>
        <v>5.5866379310344829</v>
      </c>
      <c r="V63" s="191">
        <f t="shared" si="25"/>
        <v>0</v>
      </c>
      <c r="W63" s="191">
        <f t="shared" si="25"/>
        <v>0</v>
      </c>
      <c r="X63" s="191">
        <f t="shared" si="25"/>
        <v>3.2402500000000005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120.78311206896551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41183.221079310344</v>
      </c>
      <c r="H64" s="184"/>
      <c r="I64" s="175"/>
      <c r="J64" s="81">
        <f t="shared" si="0"/>
        <v>0</v>
      </c>
      <c r="K64" s="80"/>
      <c r="L64" s="186">
        <f t="shared" si="17"/>
        <v>41183.221079310344</v>
      </c>
      <c r="M64" s="130"/>
      <c r="N64" s="87">
        <v>1</v>
      </c>
      <c r="O64" s="122" t="s">
        <v>228</v>
      </c>
      <c r="P64" s="225"/>
      <c r="Q64" s="225"/>
      <c r="R64" s="225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37471.015099999997</v>
      </c>
      <c r="G65" s="22"/>
      <c r="L65" s="132"/>
      <c r="M65" s="131"/>
      <c r="N65" s="87">
        <v>2</v>
      </c>
      <c r="O65" s="122" t="s">
        <v>228</v>
      </c>
      <c r="P65" s="225"/>
      <c r="Q65" s="225"/>
      <c r="R65" s="236">
        <v>8.6</v>
      </c>
      <c r="S65" s="225"/>
      <c r="T65" s="87"/>
      <c r="U65" s="189">
        <f t="shared" si="27"/>
        <v>0</v>
      </c>
      <c r="V65" s="189">
        <f t="shared" si="28"/>
        <v>6.4500000000000002E-2</v>
      </c>
      <c r="W65" s="189">
        <f t="shared" si="29"/>
        <v>0</v>
      </c>
      <c r="X65" s="189">
        <f t="shared" si="30"/>
        <v>0</v>
      </c>
      <c r="Y65" s="189">
        <f t="shared" si="31"/>
        <v>8.535499999999999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225"/>
      <c r="Q66" s="225"/>
      <c r="R66" s="240">
        <v>6.26</v>
      </c>
      <c r="S66" s="225"/>
      <c r="T66" s="87"/>
      <c r="U66" s="189">
        <f t="shared" si="27"/>
        <v>0</v>
      </c>
      <c r="V66" s="189">
        <f t="shared" si="28"/>
        <v>4.6949999999999999E-2</v>
      </c>
      <c r="W66" s="189">
        <f t="shared" si="29"/>
        <v>0</v>
      </c>
      <c r="X66" s="189">
        <f t="shared" si="30"/>
        <v>0</v>
      </c>
      <c r="Y66" s="189">
        <f t="shared" si="31"/>
        <v>6.21305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40">
        <v>71.13</v>
      </c>
      <c r="S67" s="225"/>
      <c r="T67" s="87"/>
      <c r="U67" s="189">
        <f t="shared" si="27"/>
        <v>0</v>
      </c>
      <c r="V67" s="189">
        <f t="shared" si="28"/>
        <v>0.53347499999999992</v>
      </c>
      <c r="W67" s="189">
        <f t="shared" si="29"/>
        <v>0</v>
      </c>
      <c r="X67" s="189">
        <f t="shared" si="30"/>
        <v>0</v>
      </c>
      <c r="Y67" s="189">
        <f t="shared" si="31"/>
        <v>70.596525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67088.73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36">
        <v>7.7</v>
      </c>
      <c r="S68" s="225"/>
      <c r="T68" s="87"/>
      <c r="U68" s="189">
        <f t="shared" si="27"/>
        <v>0</v>
      </c>
      <c r="V68" s="189">
        <f t="shared" si="28"/>
        <v>5.7749999999999996E-2</v>
      </c>
      <c r="W68" s="189">
        <f t="shared" si="29"/>
        <v>0</v>
      </c>
      <c r="X68" s="189">
        <f t="shared" si="30"/>
        <v>0</v>
      </c>
      <c r="Y68" s="189">
        <f t="shared" si="31"/>
        <v>7.6422499999999998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37384.06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93.69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0.70267499999999994</v>
      </c>
      <c r="W69" s="192">
        <f t="shared" si="33"/>
        <v>0</v>
      </c>
      <c r="X69" s="192">
        <f t="shared" si="33"/>
        <v>0</v>
      </c>
      <c r="Y69" s="192">
        <f t="shared" si="33"/>
        <v>92.987324999999998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29704.67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227</v>
      </c>
      <c r="P70" s="225" t="s">
        <v>281</v>
      </c>
      <c r="Q70" s="225">
        <v>2001</v>
      </c>
      <c r="R70" s="221">
        <f>41.29+68.96</f>
        <v>110.25</v>
      </c>
      <c r="S70" s="225"/>
      <c r="T70" s="221"/>
      <c r="U70" s="189">
        <f t="shared" ref="U70:U74" si="34">((T70/U$10)*U$9)</f>
        <v>0</v>
      </c>
      <c r="V70" s="189">
        <f t="shared" ref="V70:V74" si="35">R70*V$10</f>
        <v>0.82687499999999992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109.423125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86.95509999999922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227</v>
      </c>
      <c r="P71" s="225" t="s">
        <v>282</v>
      </c>
      <c r="Q71" s="225">
        <v>2001</v>
      </c>
      <c r="R71" s="221">
        <f>53.72+2315.07</f>
        <v>2368.79</v>
      </c>
      <c r="S71" s="225"/>
      <c r="T71" s="225">
        <v>18.05</v>
      </c>
      <c r="U71" s="189">
        <f t="shared" si="34"/>
        <v>0.7780172413793105</v>
      </c>
      <c r="V71" s="189">
        <f t="shared" si="35"/>
        <v>17.765924999999999</v>
      </c>
      <c r="W71" s="189">
        <f t="shared" si="36"/>
        <v>0</v>
      </c>
      <c r="X71" s="189">
        <f t="shared" si="37"/>
        <v>0.45125000000000004</v>
      </c>
      <c r="Y71" s="189">
        <f t="shared" si="38"/>
        <v>2351.0240749999998</v>
      </c>
      <c r="Z71" s="189">
        <f t="shared" si="38"/>
        <v>0</v>
      </c>
      <c r="AA71" s="189">
        <f t="shared" si="39"/>
        <v>16.820732758620689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227</v>
      </c>
      <c r="P72" s="225">
        <v>19</v>
      </c>
      <c r="Q72" s="225">
        <v>2001</v>
      </c>
      <c r="R72" s="221">
        <v>851.33</v>
      </c>
      <c r="S72" s="225"/>
      <c r="T72" s="221"/>
      <c r="U72" s="189">
        <f t="shared" si="34"/>
        <v>0</v>
      </c>
      <c r="V72" s="189">
        <f t="shared" si="35"/>
        <v>6.3849749999999998</v>
      </c>
      <c r="W72" s="189">
        <f t="shared" si="36"/>
        <v>0</v>
      </c>
      <c r="X72" s="189">
        <f t="shared" si="37"/>
        <v>0</v>
      </c>
      <c r="Y72" s="189">
        <f t="shared" si="38"/>
        <v>844.94502499999999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227</v>
      </c>
      <c r="P73" s="225">
        <v>20</v>
      </c>
      <c r="Q73" s="225">
        <v>2001</v>
      </c>
      <c r="R73" s="221">
        <v>795.23</v>
      </c>
      <c r="S73" s="225"/>
      <c r="T73" s="225"/>
      <c r="U73" s="189">
        <f t="shared" si="34"/>
        <v>0</v>
      </c>
      <c r="V73" s="189">
        <f t="shared" si="35"/>
        <v>5.9642249999999999</v>
      </c>
      <c r="W73" s="189">
        <f t="shared" si="36"/>
        <v>0</v>
      </c>
      <c r="X73" s="189">
        <f t="shared" si="37"/>
        <v>0</v>
      </c>
      <c r="Y73" s="189">
        <f t="shared" si="38"/>
        <v>789.26577499999996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>
        <f>50+45+80+100+10+10</f>
        <v>295</v>
      </c>
      <c r="S74" s="87"/>
      <c r="T74" s="87"/>
      <c r="U74" s="189">
        <f t="shared" si="34"/>
        <v>0</v>
      </c>
      <c r="V74" s="189">
        <f t="shared" si="35"/>
        <v>2.2124999999999999</v>
      </c>
      <c r="W74" s="189">
        <f t="shared" si="36"/>
        <v>0</v>
      </c>
      <c r="X74" s="189">
        <f t="shared" si="37"/>
        <v>0</v>
      </c>
      <c r="Y74" s="189">
        <f t="shared" si="38"/>
        <v>292.78750000000002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4420.6000000000004</v>
      </c>
      <c r="S75" s="192"/>
      <c r="T75" s="192">
        <f>SUM(T70:T74)</f>
        <v>18.05</v>
      </c>
      <c r="U75" s="192">
        <f>SUM(U70:U74)</f>
        <v>0.7780172413793105</v>
      </c>
      <c r="V75" s="192">
        <f t="shared" ref="V75:AA75" si="41">SUM(V70:V74)</f>
        <v>33.154499999999999</v>
      </c>
      <c r="W75" s="192">
        <f t="shared" si="41"/>
        <v>0</v>
      </c>
      <c r="X75" s="192">
        <f t="shared" si="41"/>
        <v>0.45125000000000004</v>
      </c>
      <c r="Y75" s="192">
        <f t="shared" si="41"/>
        <v>4387.4454999999998</v>
      </c>
      <c r="Z75" s="192">
        <f t="shared" si="41"/>
        <v>0</v>
      </c>
      <c r="AA75" s="193">
        <f t="shared" si="41"/>
        <v>16.820732758620689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181</v>
      </c>
      <c r="P78" s="137">
        <v>7.7</v>
      </c>
      <c r="Q78" s="137">
        <v>11.24</v>
      </c>
      <c r="R78" s="82">
        <v>7.4999999999999997E-3</v>
      </c>
      <c r="S78" s="194">
        <f>+(P78+Q78)*R78</f>
        <v>0.14205000000000001</v>
      </c>
      <c r="T78" s="254">
        <f>+(P78+Q78)-S78</f>
        <v>18.79795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181</v>
      </c>
      <c r="P79" s="137">
        <v>99.35</v>
      </c>
      <c r="Q79" s="137">
        <v>44.59</v>
      </c>
      <c r="R79" s="82">
        <v>7.4999999999999997E-3</v>
      </c>
      <c r="S79" s="194">
        <f t="shared" ref="S79:S97" si="43">+(P79+Q79)*R79</f>
        <v>1.07955</v>
      </c>
      <c r="T79" s="254">
        <f t="shared" ref="T79:T97" si="44">+(P79+Q79)-S79</f>
        <v>142.86044999999999</v>
      </c>
      <c r="U79" s="211">
        <v>24</v>
      </c>
      <c r="V79" s="112"/>
      <c r="W79" s="113">
        <v>1.4999999999999999E-2</v>
      </c>
      <c r="X79" s="196">
        <f t="shared" ref="X79:X97" si="45">+(U79+V79)*W79</f>
        <v>0.36</v>
      </c>
      <c r="Y79" s="217">
        <f t="shared" ref="Y79:Y97" si="46">+(U79+V79)-X79</f>
        <v>23.64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181</v>
      </c>
      <c r="P80" s="137">
        <v>166.35</v>
      </c>
      <c r="Q80" s="137">
        <v>7.14</v>
      </c>
      <c r="R80" s="82">
        <v>7.4999999999999997E-3</v>
      </c>
      <c r="S80" s="194">
        <f t="shared" si="43"/>
        <v>1.3011749999999997</v>
      </c>
      <c r="T80" s="254">
        <f t="shared" si="44"/>
        <v>172.18882499999998</v>
      </c>
      <c r="U80" s="211">
        <v>34</v>
      </c>
      <c r="V80" s="112"/>
      <c r="W80" s="113">
        <v>1.4999999999999999E-2</v>
      </c>
      <c r="X80" s="196">
        <f t="shared" si="45"/>
        <v>0.51</v>
      </c>
      <c r="Y80" s="217">
        <f t="shared" si="46"/>
        <v>33.49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181</v>
      </c>
      <c r="P81" s="137">
        <v>11</v>
      </c>
      <c r="Q81" s="137"/>
      <c r="R81" s="82">
        <v>7.4999999999999997E-3</v>
      </c>
      <c r="S81" s="194">
        <f t="shared" si="43"/>
        <v>8.249999999999999E-2</v>
      </c>
      <c r="T81" s="254">
        <f t="shared" si="44"/>
        <v>10.9175</v>
      </c>
      <c r="U81" s="211">
        <v>38.909999999999997</v>
      </c>
      <c r="V81" s="112"/>
      <c r="W81" s="113">
        <v>1.4999999999999999E-2</v>
      </c>
      <c r="X81" s="196">
        <f t="shared" si="45"/>
        <v>0.58364999999999989</v>
      </c>
      <c r="Y81" s="217">
        <f t="shared" si="46"/>
        <v>38.326349999999998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181</v>
      </c>
      <c r="P82" s="137">
        <v>162.29</v>
      </c>
      <c r="Q82" s="137"/>
      <c r="R82" s="82">
        <v>7.4999999999999997E-3</v>
      </c>
      <c r="S82" s="194">
        <f t="shared" si="43"/>
        <v>1.2171749999999999</v>
      </c>
      <c r="T82" s="234">
        <f t="shared" si="44"/>
        <v>161.07282499999999</v>
      </c>
      <c r="U82" s="211">
        <v>12</v>
      </c>
      <c r="V82" s="112"/>
      <c r="W82" s="113">
        <v>1.4999999999999999E-2</v>
      </c>
      <c r="X82" s="196">
        <f t="shared" si="45"/>
        <v>0.18</v>
      </c>
      <c r="Y82" s="254">
        <f t="shared" si="46"/>
        <v>11.82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181</v>
      </c>
      <c r="P83" s="137">
        <v>184.82</v>
      </c>
      <c r="Q83" s="137">
        <v>42.2</v>
      </c>
      <c r="R83" s="82">
        <v>7.4999999999999997E-3</v>
      </c>
      <c r="S83" s="194">
        <f t="shared" si="43"/>
        <v>1.7026499999999998</v>
      </c>
      <c r="T83" s="219">
        <f t="shared" si="44"/>
        <v>225.31734999999998</v>
      </c>
      <c r="U83" s="211">
        <v>23.59</v>
      </c>
      <c r="V83" s="112"/>
      <c r="W83" s="113">
        <v>1.4999999999999999E-2</v>
      </c>
      <c r="X83" s="196">
        <f t="shared" si="45"/>
        <v>0.35385</v>
      </c>
      <c r="Y83" s="254">
        <f t="shared" si="46"/>
        <v>23.236149999999999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181</v>
      </c>
      <c r="P84" s="87">
        <v>188.38</v>
      </c>
      <c r="Q84" s="87">
        <v>51.14</v>
      </c>
      <c r="R84" s="82">
        <v>7.4999999999999997E-3</v>
      </c>
      <c r="S84" s="194">
        <f t="shared" si="43"/>
        <v>1.7963999999999998</v>
      </c>
      <c r="T84" s="234">
        <f t="shared" si="44"/>
        <v>237.72359999999998</v>
      </c>
      <c r="U84" s="112">
        <v>5</v>
      </c>
      <c r="V84" s="112"/>
      <c r="W84" s="113">
        <v>1.4999999999999999E-2</v>
      </c>
      <c r="X84" s="196">
        <f t="shared" si="45"/>
        <v>7.4999999999999997E-2</v>
      </c>
      <c r="Y84" s="217">
        <f t="shared" si="46"/>
        <v>4.9249999999999998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181</v>
      </c>
      <c r="P85" s="137"/>
      <c r="Q85" s="87">
        <v>58.84</v>
      </c>
      <c r="R85" s="82">
        <v>7.4999999999999997E-3</v>
      </c>
      <c r="S85" s="194">
        <f t="shared" si="43"/>
        <v>0.44130000000000003</v>
      </c>
      <c r="T85" s="219">
        <f t="shared" si="44"/>
        <v>58.398700000000005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181</v>
      </c>
      <c r="P86" s="137">
        <v>286.27999999999997</v>
      </c>
      <c r="Q86" s="137">
        <v>8.2899999999999991</v>
      </c>
      <c r="R86" s="82">
        <v>7.4999999999999997E-3</v>
      </c>
      <c r="S86" s="194">
        <f t="shared" si="43"/>
        <v>2.2092749999999999</v>
      </c>
      <c r="T86" s="219">
        <f t="shared" si="44"/>
        <v>292.360725</v>
      </c>
      <c r="U86" s="112">
        <v>57.13</v>
      </c>
      <c r="V86" s="112"/>
      <c r="W86" s="113">
        <v>1.4999999999999999E-2</v>
      </c>
      <c r="X86" s="196">
        <f t="shared" si="45"/>
        <v>0.85694999999999999</v>
      </c>
      <c r="Y86" s="254">
        <f t="shared" si="46"/>
        <v>56.273050000000005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181</v>
      </c>
      <c r="P87" s="13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181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181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181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181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181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181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181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181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181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181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1106.17</v>
      </c>
      <c r="Q98" s="195">
        <f>SUM(Q78:Q97)</f>
        <v>223.44</v>
      </c>
      <c r="R98" s="111"/>
      <c r="S98" s="195">
        <f>SUM(S78:S97)</f>
        <v>9.9720750000000002</v>
      </c>
      <c r="T98" s="195">
        <f>SUM(T78:T97)</f>
        <v>1319.637925</v>
      </c>
      <c r="U98" s="114">
        <f>SUM(U78:U97)</f>
        <v>194.63</v>
      </c>
      <c r="V98" s="114">
        <f>SUM(V78:V97)</f>
        <v>0</v>
      </c>
      <c r="W98" s="112"/>
      <c r="X98" s="197">
        <f>SUM(X78:X97)</f>
        <v>2.9194499999999999</v>
      </c>
      <c r="Y98" s="197">
        <f>SUM(Y78:Y97)</f>
        <v>191.71055000000004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P99" s="84"/>
    </row>
    <row r="100" spans="14:30" x14ac:dyDescent="0.25">
      <c r="N100" s="85"/>
      <c r="P100" s="215">
        <f>P78+U78+Q78</f>
        <v>18.940000000000001</v>
      </c>
    </row>
    <row r="101" spans="14:30" x14ac:dyDescent="0.25">
      <c r="N101" s="85"/>
      <c r="P101" s="215">
        <f>P79+Q79+U79</f>
        <v>167.94</v>
      </c>
    </row>
    <row r="102" spans="14:30" x14ac:dyDescent="0.25">
      <c r="N102" s="85"/>
      <c r="P102" s="215">
        <f>P80+Q80+U80</f>
        <v>207.48999999999998</v>
      </c>
    </row>
    <row r="103" spans="14:30" x14ac:dyDescent="0.25">
      <c r="N103" s="85"/>
      <c r="P103" s="215">
        <f>Q81+U81+P81</f>
        <v>49.91</v>
      </c>
    </row>
    <row r="104" spans="14:30" x14ac:dyDescent="0.25">
      <c r="N104" s="85"/>
      <c r="P104" s="215">
        <f>P82+Q82+U82</f>
        <v>174.29</v>
      </c>
      <c r="R104" s="85">
        <v>33</v>
      </c>
      <c r="S104" s="85">
        <v>2.41</v>
      </c>
      <c r="T104" s="85">
        <v>26.22</v>
      </c>
    </row>
    <row r="105" spans="14:30" x14ac:dyDescent="0.25">
      <c r="N105" s="85"/>
      <c r="P105" s="215">
        <f t="shared" ref="P105:P109" si="50">P83+Q83+U83</f>
        <v>250.60999999999999</v>
      </c>
    </row>
    <row r="106" spans="14:30" x14ac:dyDescent="0.25">
      <c r="N106" s="85"/>
      <c r="P106" s="246">
        <f t="shared" si="50"/>
        <v>244.51999999999998</v>
      </c>
    </row>
    <row r="107" spans="14:30" x14ac:dyDescent="0.25">
      <c r="N107" s="85"/>
      <c r="P107" s="233">
        <f>P85+Q85+U85</f>
        <v>58.84</v>
      </c>
    </row>
    <row r="108" spans="14:30" x14ac:dyDescent="0.25">
      <c r="N108" s="85"/>
      <c r="P108" s="233">
        <f>P86+Q86+U86</f>
        <v>351.7</v>
      </c>
    </row>
    <row r="109" spans="14:30" x14ac:dyDescent="0.25">
      <c r="N109" s="85"/>
      <c r="P109" s="233">
        <f t="shared" si="50"/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S70" zoomScale="90" zoomScaleNormal="90" workbookViewId="0">
      <selection activeCell="T78" sqref="T78:T7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44765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243">
        <v>5.73</v>
      </c>
      <c r="C8" s="85" t="s">
        <v>92</v>
      </c>
      <c r="D8" s="108">
        <v>5.86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1565.5</v>
      </c>
      <c r="C12" s="15"/>
      <c r="D12" s="56"/>
      <c r="E12" s="16"/>
      <c r="F12" s="56"/>
      <c r="G12" s="56"/>
      <c r="H12" s="17"/>
      <c r="I12" s="83">
        <v>1565.5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190</v>
      </c>
      <c r="Q12" s="158">
        <v>11</v>
      </c>
      <c r="R12" s="244">
        <v>1585.4</v>
      </c>
      <c r="S12" s="160"/>
      <c r="T12" s="160"/>
      <c r="U12" s="189">
        <f>((T12/U$10)*U$9)</f>
        <v>0</v>
      </c>
      <c r="V12" s="189">
        <f>R12*V$10</f>
        <v>11.890499999999999</v>
      </c>
      <c r="W12" s="189">
        <f>+S12*V$10</f>
        <v>0</v>
      </c>
      <c r="X12" s="189">
        <f>+T12*X$10</f>
        <v>0</v>
      </c>
      <c r="Y12" s="189">
        <f>R12-V12</f>
        <v>1573.5095000000001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239">
        <v>2601</v>
      </c>
      <c r="C13" s="15"/>
      <c r="D13" s="56"/>
      <c r="E13" s="16"/>
      <c r="F13" s="56"/>
      <c r="G13" s="56"/>
      <c r="H13" s="17"/>
      <c r="I13" s="83">
        <v>2601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191</v>
      </c>
      <c r="Q13" s="158">
        <v>11</v>
      </c>
      <c r="R13" s="244">
        <v>197.32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1.4799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195.84010000000001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14903.730000000001</v>
      </c>
      <c r="C14" s="15"/>
      <c r="D14" s="56"/>
      <c r="E14" s="16"/>
      <c r="F14" s="56"/>
      <c r="G14" s="56"/>
      <c r="H14" s="17"/>
      <c r="I14" s="83">
        <v>14903.73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573</v>
      </c>
      <c r="Q14" s="158">
        <v>2</v>
      </c>
      <c r="R14" s="244">
        <v>1302.6199999999999</v>
      </c>
      <c r="S14" s="160"/>
      <c r="T14" s="161">
        <v>26.32</v>
      </c>
      <c r="U14" s="189">
        <f t="shared" si="2"/>
        <v>1.1344827586206898</v>
      </c>
      <c r="V14" s="189">
        <f t="shared" si="3"/>
        <v>9.7696499999999986</v>
      </c>
      <c r="W14" s="189">
        <f t="shared" si="4"/>
        <v>0</v>
      </c>
      <c r="X14" s="189">
        <f t="shared" si="5"/>
        <v>0.65800000000000003</v>
      </c>
      <c r="Y14" s="189">
        <f t="shared" si="6"/>
        <v>1292.8503499999999</v>
      </c>
      <c r="Z14" s="189">
        <f t="shared" si="6"/>
        <v>0</v>
      </c>
      <c r="AA14" s="189">
        <f t="shared" si="7"/>
        <v>24.527517241379311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574</v>
      </c>
      <c r="Q15" s="158">
        <v>2</v>
      </c>
      <c r="R15" s="244">
        <v>1690.06</v>
      </c>
      <c r="S15" s="160"/>
      <c r="T15" s="161"/>
      <c r="U15" s="189">
        <f t="shared" si="2"/>
        <v>0</v>
      </c>
      <c r="V15" s="189">
        <f t="shared" si="3"/>
        <v>12.67545</v>
      </c>
      <c r="W15" s="189">
        <f t="shared" si="4"/>
        <v>0</v>
      </c>
      <c r="X15" s="189">
        <f t="shared" si="5"/>
        <v>0</v>
      </c>
      <c r="Y15" s="189">
        <f t="shared" si="6"/>
        <v>1677.38455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554</v>
      </c>
      <c r="Q16" s="158">
        <v>4</v>
      </c>
      <c r="R16" s="244">
        <v>2123.31</v>
      </c>
      <c r="S16" s="160"/>
      <c r="T16" s="161">
        <v>48.05</v>
      </c>
      <c r="U16" s="189">
        <f t="shared" si="2"/>
        <v>2.0711206896551726</v>
      </c>
      <c r="V16" s="189">
        <f t="shared" si="3"/>
        <v>15.924824999999998</v>
      </c>
      <c r="W16" s="189">
        <f t="shared" si="4"/>
        <v>0</v>
      </c>
      <c r="X16" s="189">
        <f t="shared" si="5"/>
        <v>1.2012499999999999</v>
      </c>
      <c r="Y16" s="189">
        <f t="shared" si="6"/>
        <v>2107.3851749999999</v>
      </c>
      <c r="Z16" s="189">
        <f t="shared" si="6"/>
        <v>0</v>
      </c>
      <c r="AA16" s="189">
        <f t="shared" si="7"/>
        <v>44.777629310344821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555</v>
      </c>
      <c r="Q17" s="158">
        <v>4</v>
      </c>
      <c r="R17" s="244">
        <v>1702.1</v>
      </c>
      <c r="S17" s="160"/>
      <c r="T17" s="161">
        <v>122.77</v>
      </c>
      <c r="U17" s="189">
        <f t="shared" si="2"/>
        <v>5.2918103448275868</v>
      </c>
      <c r="V17" s="189">
        <f t="shared" si="3"/>
        <v>12.765749999999999</v>
      </c>
      <c r="W17" s="189">
        <f t="shared" si="4"/>
        <v>0</v>
      </c>
      <c r="X17" s="189">
        <f t="shared" si="5"/>
        <v>3.0692500000000003</v>
      </c>
      <c r="Y17" s="189">
        <f t="shared" si="6"/>
        <v>1689.3342499999999</v>
      </c>
      <c r="Z17" s="189">
        <f t="shared" si="6"/>
        <v>0</v>
      </c>
      <c r="AA17" s="189">
        <f t="shared" si="7"/>
        <v>114.40893965517242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552</v>
      </c>
      <c r="Q18" s="158">
        <v>14</v>
      </c>
      <c r="R18" s="244">
        <v>680.82</v>
      </c>
      <c r="S18" s="160"/>
      <c r="T18" s="161">
        <v>23.64</v>
      </c>
      <c r="U18" s="189">
        <f t="shared" si="2"/>
        <v>1.0189655172413794</v>
      </c>
      <c r="V18" s="189">
        <f t="shared" si="3"/>
        <v>5.1061500000000004</v>
      </c>
      <c r="W18" s="189">
        <f t="shared" si="4"/>
        <v>0</v>
      </c>
      <c r="X18" s="189">
        <f t="shared" si="5"/>
        <v>0.59100000000000008</v>
      </c>
      <c r="Y18" s="189">
        <f t="shared" si="6"/>
        <v>675.71385000000009</v>
      </c>
      <c r="Z18" s="189">
        <f t="shared" si="6"/>
        <v>0</v>
      </c>
      <c r="AA18" s="189">
        <f t="shared" si="7"/>
        <v>22.030034482758619</v>
      </c>
      <c r="AB18" s="156"/>
    </row>
    <row r="19" spans="1:28" ht="15.75" x14ac:dyDescent="0.25">
      <c r="A19" s="93" t="s">
        <v>79</v>
      </c>
      <c r="B19" s="97">
        <f>+B13+B15+B17</f>
        <v>2601</v>
      </c>
      <c r="C19" s="95"/>
      <c r="D19" s="94"/>
      <c r="E19" s="96"/>
      <c r="F19" s="94"/>
      <c r="G19" s="94"/>
      <c r="H19" s="98"/>
      <c r="I19" s="99">
        <v>2601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206</v>
      </c>
      <c r="Q19" s="158">
        <v>10</v>
      </c>
      <c r="R19" s="244">
        <v>670.41</v>
      </c>
      <c r="S19" s="160"/>
      <c r="T19" s="161">
        <v>10.64</v>
      </c>
      <c r="U19" s="189">
        <f t="shared" si="2"/>
        <v>0.45862068965517255</v>
      </c>
      <c r="V19" s="189">
        <f t="shared" si="3"/>
        <v>5.0280749999999994</v>
      </c>
      <c r="W19" s="189">
        <f t="shared" si="4"/>
        <v>0</v>
      </c>
      <c r="X19" s="189">
        <f t="shared" si="5"/>
        <v>0.26600000000000001</v>
      </c>
      <c r="Y19" s="189">
        <f t="shared" si="6"/>
        <v>665.38192500000002</v>
      </c>
      <c r="Z19" s="189">
        <f t="shared" si="6"/>
        <v>0</v>
      </c>
      <c r="AA19" s="189">
        <f t="shared" si="7"/>
        <v>9.9153793103448287</v>
      </c>
      <c r="AB19" s="156"/>
    </row>
    <row r="20" spans="1:28" ht="15.75" x14ac:dyDescent="0.25">
      <c r="A20" s="93" t="s">
        <v>80</v>
      </c>
      <c r="B20" s="97">
        <f>+B14+B16+B18</f>
        <v>14903.730000000001</v>
      </c>
      <c r="C20" s="95"/>
      <c r="D20" s="94"/>
      <c r="E20" s="96"/>
      <c r="F20" s="94"/>
      <c r="G20" s="94"/>
      <c r="H20" s="98"/>
      <c r="I20" s="99">
        <v>14903.73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207</v>
      </c>
      <c r="Q20" s="158">
        <v>10</v>
      </c>
      <c r="R20" s="244">
        <v>1447.25</v>
      </c>
      <c r="S20" s="160"/>
      <c r="T20" s="161"/>
      <c r="U20" s="189">
        <f t="shared" si="2"/>
        <v>0</v>
      </c>
      <c r="V20" s="189">
        <f t="shared" si="3"/>
        <v>10.854374999999999</v>
      </c>
      <c r="W20" s="189">
        <f t="shared" si="4"/>
        <v>0</v>
      </c>
      <c r="X20" s="189">
        <f t="shared" si="5"/>
        <v>0</v>
      </c>
      <c r="Y20" s="189">
        <f t="shared" si="6"/>
        <v>1436.3956250000001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55</v>
      </c>
      <c r="C21" s="100"/>
      <c r="D21" s="66"/>
      <c r="E21" s="67"/>
      <c r="F21" s="66"/>
      <c r="G21" s="66"/>
      <c r="H21" s="102"/>
      <c r="I21" s="79">
        <v>55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639</v>
      </c>
      <c r="Q21" s="158">
        <v>18</v>
      </c>
      <c r="R21" s="244">
        <v>1167.6300000000001</v>
      </c>
      <c r="S21" s="160"/>
      <c r="T21" s="161">
        <v>19.59</v>
      </c>
      <c r="U21" s="189">
        <f t="shared" si="2"/>
        <v>0.84439655172413797</v>
      </c>
      <c r="V21" s="189">
        <f t="shared" si="3"/>
        <v>8.757225</v>
      </c>
      <c r="W21" s="189">
        <f t="shared" si="4"/>
        <v>0</v>
      </c>
      <c r="X21" s="189">
        <f t="shared" si="5"/>
        <v>0.48975000000000002</v>
      </c>
      <c r="Y21" s="189">
        <f t="shared" si="6"/>
        <v>1158.872775</v>
      </c>
      <c r="Z21" s="189">
        <f t="shared" si="6"/>
        <v>0</v>
      </c>
      <c r="AA21" s="189">
        <f t="shared" si="7"/>
        <v>18.255853448275861</v>
      </c>
      <c r="AB21" s="156"/>
    </row>
    <row r="22" spans="1:28" ht="15.75" x14ac:dyDescent="0.25">
      <c r="A22" s="86" t="s">
        <v>85</v>
      </c>
      <c r="B22" s="57">
        <f>B21*D8</f>
        <v>322.3</v>
      </c>
      <c r="C22" s="100"/>
      <c r="D22" s="66"/>
      <c r="E22" s="67"/>
      <c r="F22" s="66"/>
      <c r="G22" s="66"/>
      <c r="H22" s="102"/>
      <c r="I22" s="79">
        <v>322.3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640</v>
      </c>
      <c r="Q22" s="158">
        <v>18</v>
      </c>
      <c r="R22" s="245">
        <v>973.29</v>
      </c>
      <c r="S22" s="160"/>
      <c r="T22" s="160"/>
      <c r="U22" s="189">
        <f t="shared" si="2"/>
        <v>0</v>
      </c>
      <c r="V22" s="189">
        <f t="shared" si="3"/>
        <v>7.2996749999999997</v>
      </c>
      <c r="W22" s="189">
        <f t="shared" si="4"/>
        <v>0</v>
      </c>
      <c r="X22" s="189">
        <f t="shared" si="5"/>
        <v>0</v>
      </c>
      <c r="Y22" s="189">
        <f t="shared" si="6"/>
        <v>965.99032499999998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55</v>
      </c>
      <c r="C27" s="95"/>
      <c r="D27" s="94"/>
      <c r="E27" s="96"/>
      <c r="F27" s="94"/>
      <c r="G27" s="94"/>
      <c r="H27" s="98"/>
      <c r="I27" s="99">
        <v>55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322.3</v>
      </c>
      <c r="C28" s="95"/>
      <c r="D28" s="94"/>
      <c r="E28" s="96"/>
      <c r="F28" s="94"/>
      <c r="G28" s="94"/>
      <c r="H28" s="98"/>
      <c r="I28" s="99">
        <v>322.3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65.05</v>
      </c>
      <c r="C29" s="100"/>
      <c r="D29" s="66"/>
      <c r="E29" s="67"/>
      <c r="F29" s="66"/>
      <c r="G29" s="66"/>
      <c r="H29" s="102"/>
      <c r="I29" s="79">
        <v>65.05</v>
      </c>
      <c r="J29" s="81">
        <f t="shared" si="0"/>
        <v>0</v>
      </c>
      <c r="K29" s="80">
        <v>65.05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372.73650000000004</v>
      </c>
      <c r="C30" s="100"/>
      <c r="D30" s="66"/>
      <c r="E30" s="67"/>
      <c r="F30" s="66"/>
      <c r="G30" s="66"/>
      <c r="H30" s="102"/>
      <c r="I30" s="79">
        <v>372.74</v>
      </c>
      <c r="J30" s="81">
        <f t="shared" si="0"/>
        <v>-3.4999999999740794E-3</v>
      </c>
      <c r="K30" s="80">
        <v>372.74</v>
      </c>
      <c r="L30" s="186">
        <f>K30-B30</f>
        <v>3.4999999999740794E-3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61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65.05</v>
      </c>
      <c r="C35" s="95"/>
      <c r="D35" s="94"/>
      <c r="E35" s="96"/>
      <c r="F35" s="94"/>
      <c r="G35" s="94"/>
      <c r="H35" s="98"/>
      <c r="I35" s="99"/>
      <c r="J35" s="185">
        <f t="shared" si="0"/>
        <v>65.05</v>
      </c>
      <c r="K35" s="99">
        <v>65.05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372.73650000000004</v>
      </c>
      <c r="C36" s="95"/>
      <c r="D36" s="94"/>
      <c r="E36" s="96"/>
      <c r="F36" s="94"/>
      <c r="G36" s="94"/>
      <c r="H36" s="98"/>
      <c r="I36" s="99"/>
      <c r="J36" s="185">
        <f t="shared" si="0"/>
        <v>372.73650000000004</v>
      </c>
      <c r="K36" s="99">
        <v>372.74</v>
      </c>
      <c r="L36" s="187">
        <f>K36-B36</f>
        <v>3.4999999999740794E-3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37.340000000000003</v>
      </c>
      <c r="C37" s="100"/>
      <c r="D37" s="66"/>
      <c r="E37" s="67"/>
      <c r="F37" s="66"/>
      <c r="G37" s="66"/>
      <c r="H37" s="102"/>
      <c r="I37" s="79">
        <v>37.340000000000003</v>
      </c>
      <c r="J37" s="81">
        <f t="shared" si="0"/>
        <v>0</v>
      </c>
      <c r="K37" s="80">
        <v>37.340000000000003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213.95820000000003</v>
      </c>
      <c r="C38" s="100"/>
      <c r="D38" s="66"/>
      <c r="E38" s="67"/>
      <c r="F38" s="66"/>
      <c r="G38" s="66"/>
      <c r="H38" s="102"/>
      <c r="I38" s="79"/>
      <c r="J38" s="81">
        <f t="shared" si="0"/>
        <v>213.95820000000003</v>
      </c>
      <c r="K38" s="80">
        <v>213.96</v>
      </c>
      <c r="L38" s="186">
        <f>K38-B38</f>
        <v>1.7999999999744887E-3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13540.21</v>
      </c>
      <c r="S42" s="190">
        <f t="shared" si="8"/>
        <v>0</v>
      </c>
      <c r="T42" s="190">
        <f t="shared" si="8"/>
        <v>251.00999999999996</v>
      </c>
      <c r="U42" s="190">
        <f t="shared" si="8"/>
        <v>10.819396551724139</v>
      </c>
      <c r="V42" s="190">
        <f t="shared" si="8"/>
        <v>101.551575</v>
      </c>
      <c r="W42" s="190">
        <f t="shared" si="8"/>
        <v>0</v>
      </c>
      <c r="X42" s="190">
        <f t="shared" si="8"/>
        <v>6.2752499999999998</v>
      </c>
      <c r="Y42" s="190">
        <f t="shared" si="8"/>
        <v>13438.658425</v>
      </c>
      <c r="Z42" s="190">
        <f t="shared" si="8"/>
        <v>0</v>
      </c>
      <c r="AA42" s="190">
        <f t="shared" si="8"/>
        <v>233.91535344827588</v>
      </c>
      <c r="AB42" s="166"/>
    </row>
    <row r="43" spans="1:28" ht="15.75" x14ac:dyDescent="0.25">
      <c r="A43" s="93" t="s">
        <v>101</v>
      </c>
      <c r="B43" s="97">
        <f>+B37+B39+B41</f>
        <v>37.340000000000003</v>
      </c>
      <c r="C43" s="95"/>
      <c r="D43" s="94"/>
      <c r="E43" s="96"/>
      <c r="F43" s="94"/>
      <c r="G43" s="94"/>
      <c r="H43" s="98"/>
      <c r="I43" s="99"/>
      <c r="J43" s="185">
        <f t="shared" si="0"/>
        <v>37.340000000000003</v>
      </c>
      <c r="K43" s="99">
        <v>37.340000000000003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406.97</v>
      </c>
      <c r="S43" s="160"/>
      <c r="T43" s="160"/>
      <c r="U43" s="189">
        <f t="shared" ref="U43:U62" si="9">((T43/U$10)*U$9)</f>
        <v>0</v>
      </c>
      <c r="V43" s="189">
        <f t="shared" ref="V43:V62" si="10">R43*V$10</f>
        <v>3.0522750000000003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403.91772500000002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213.95820000000003</v>
      </c>
      <c r="C44" s="95"/>
      <c r="D44" s="94"/>
      <c r="E44" s="96"/>
      <c r="F44" s="94"/>
      <c r="G44" s="94"/>
      <c r="H44" s="98"/>
      <c r="I44" s="99"/>
      <c r="J44" s="185">
        <f t="shared" si="0"/>
        <v>213.95820000000003</v>
      </c>
      <c r="K44" s="99">
        <v>213.96</v>
      </c>
      <c r="L44" s="187">
        <f>K44-B44</f>
        <v>1.7999999999744887E-3</v>
      </c>
      <c r="M44" s="107"/>
      <c r="N44" s="104">
        <v>2</v>
      </c>
      <c r="O44" s="167" t="s">
        <v>69</v>
      </c>
      <c r="P44" s="158"/>
      <c r="Q44" s="158"/>
      <c r="R44" s="160">
        <v>17.5</v>
      </c>
      <c r="S44" s="160"/>
      <c r="T44" s="160"/>
      <c r="U44" s="189">
        <f t="shared" si="9"/>
        <v>0</v>
      </c>
      <c r="V44" s="189">
        <f t="shared" si="10"/>
        <v>0.13125000000000001</v>
      </c>
      <c r="W44" s="189">
        <f t="shared" si="11"/>
        <v>0</v>
      </c>
      <c r="X44" s="189">
        <f t="shared" si="12"/>
        <v>0</v>
      </c>
      <c r="Y44" s="189">
        <f t="shared" si="13"/>
        <v>17.368749999999999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13540.21</v>
      </c>
      <c r="C46" s="116">
        <v>7.4999999999999997E-3</v>
      </c>
      <c r="D46" s="117">
        <f>B46*C46</f>
        <v>101.55157499999999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13438.658425</v>
      </c>
      <c r="H46" s="173">
        <f>B$6+1</f>
        <v>44766</v>
      </c>
      <c r="I46" s="174">
        <v>14362.24</v>
      </c>
      <c r="J46" s="81">
        <f t="shared" si="0"/>
        <v>-822.03000000000065</v>
      </c>
      <c r="K46" s="80"/>
      <c r="L46" s="186">
        <f t="shared" ref="L46:L64" si="17">+G46-K46</f>
        <v>13438.658425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424.47</v>
      </c>
      <c r="C47" s="116">
        <v>7.4999999999999997E-3</v>
      </c>
      <c r="D47" s="117">
        <f t="shared" ref="D47:D50" si="18">B47*C47</f>
        <v>3.1835249999999999</v>
      </c>
      <c r="E47" s="172">
        <v>0</v>
      </c>
      <c r="F47" s="117">
        <f t="shared" si="15"/>
        <v>0</v>
      </c>
      <c r="G47" s="117">
        <f t="shared" si="16"/>
        <v>421.28647500000005</v>
      </c>
      <c r="H47" s="173">
        <f>B$6+1</f>
        <v>44766</v>
      </c>
      <c r="I47" s="175">
        <v>424.47</v>
      </c>
      <c r="J47" s="81">
        <f t="shared" si="0"/>
        <v>0</v>
      </c>
      <c r="K47" s="80"/>
      <c r="L47" s="186">
        <f t="shared" si="17"/>
        <v>421.28647500000005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178.41000000000003</v>
      </c>
      <c r="C48" s="116">
        <v>7.4999999999999997E-3</v>
      </c>
      <c r="D48" s="117">
        <f t="shared" si="18"/>
        <v>1.3380750000000001</v>
      </c>
      <c r="E48" s="172">
        <v>0</v>
      </c>
      <c r="F48" s="117">
        <f t="shared" si="15"/>
        <v>0</v>
      </c>
      <c r="G48" s="117">
        <f t="shared" si="16"/>
        <v>177.07192500000002</v>
      </c>
      <c r="H48" s="173">
        <f t="shared" ref="H48:H61" si="19">B$6+1</f>
        <v>44766</v>
      </c>
      <c r="I48" s="176"/>
      <c r="J48" s="81">
        <f t="shared" si="0"/>
        <v>178.41000000000003</v>
      </c>
      <c r="K48" s="80"/>
      <c r="L48" s="186">
        <f t="shared" si="17"/>
        <v>177.07192500000002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4260.03</v>
      </c>
      <c r="C49" s="116">
        <v>7.4999999999999997E-3</v>
      </c>
      <c r="D49" s="117">
        <f t="shared" si="18"/>
        <v>31.950224999999996</v>
      </c>
      <c r="E49" s="172">
        <v>0</v>
      </c>
      <c r="F49" s="117">
        <f t="shared" si="15"/>
        <v>0</v>
      </c>
      <c r="G49" s="117">
        <f t="shared" si="16"/>
        <v>4228.0797750000002</v>
      </c>
      <c r="H49" s="173">
        <f t="shared" si="19"/>
        <v>44766</v>
      </c>
      <c r="I49" s="176">
        <v>3118</v>
      </c>
      <c r="J49" s="81">
        <f t="shared" si="0"/>
        <v>1142.0299999999997</v>
      </c>
      <c r="K49" s="80"/>
      <c r="L49" s="186">
        <f t="shared" si="17"/>
        <v>4228.0797750000002</v>
      </c>
      <c r="M49" s="107"/>
      <c r="N49" s="104">
        <v>7</v>
      </c>
      <c r="O49" s="167" t="s">
        <v>69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2366.3599999999997</v>
      </c>
      <c r="C50" s="116">
        <v>7.4999999999999997E-3</v>
      </c>
      <c r="D50" s="117">
        <f t="shared" si="18"/>
        <v>17.747699999999998</v>
      </c>
      <c r="E50" s="172">
        <v>0</v>
      </c>
      <c r="F50" s="117">
        <f t="shared" si="15"/>
        <v>0</v>
      </c>
      <c r="G50" s="117">
        <f t="shared" si="16"/>
        <v>2348.6122999999998</v>
      </c>
      <c r="H50" s="173">
        <f t="shared" si="19"/>
        <v>44766</v>
      </c>
      <c r="I50" s="175"/>
      <c r="J50" s="81">
        <f t="shared" si="0"/>
        <v>2366.3599999999997</v>
      </c>
      <c r="K50" s="222"/>
      <c r="L50" s="186">
        <f t="shared" si="17"/>
        <v>2348.6122999999998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260.88</v>
      </c>
      <c r="C51" s="116">
        <v>1.4999999999999999E-2</v>
      </c>
      <c r="D51" s="117">
        <f>+B51*C51</f>
        <v>3.9131999999999998</v>
      </c>
      <c r="E51" s="172">
        <v>0</v>
      </c>
      <c r="F51" s="117">
        <f>D51*E51</f>
        <v>0</v>
      </c>
      <c r="G51" s="117">
        <f t="shared" si="16"/>
        <v>256.96679999999998</v>
      </c>
      <c r="H51" s="173">
        <f t="shared" si="19"/>
        <v>44766</v>
      </c>
      <c r="I51" s="175">
        <v>2603.2399999999998</v>
      </c>
      <c r="J51" s="81">
        <f t="shared" si="0"/>
        <v>-2342.3599999999997</v>
      </c>
      <c r="K51" s="80"/>
      <c r="L51" s="186">
        <f>K51-G51</f>
        <v>-256.96679999999998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251.00999999999996</v>
      </c>
      <c r="C52" s="116">
        <v>2.5000000000000001E-2</v>
      </c>
      <c r="D52" s="117">
        <f>B52*C52</f>
        <v>6.2752499999999998</v>
      </c>
      <c r="E52" s="172">
        <v>0.05</v>
      </c>
      <c r="F52" s="117">
        <f>(B52/E$10)*E52</f>
        <v>10.819396551724138</v>
      </c>
      <c r="G52" s="117">
        <f>B52-D52-F52</f>
        <v>233.91535344827582</v>
      </c>
      <c r="H52" s="188">
        <f t="shared" si="19"/>
        <v>44766</v>
      </c>
      <c r="I52" s="176">
        <v>251.01</v>
      </c>
      <c r="J52" s="81">
        <f t="shared" si="0"/>
        <v>0</v>
      </c>
      <c r="K52" s="80"/>
      <c r="L52" s="186">
        <f t="shared" si="17"/>
        <v>233.91535344827582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169</v>
      </c>
      <c r="B56" s="117">
        <f>T75</f>
        <v>51.14</v>
      </c>
      <c r="C56" s="116">
        <v>2.5000000000000001E-2</v>
      </c>
      <c r="D56" s="117">
        <f t="shared" si="20"/>
        <v>1.2785000000000002</v>
      </c>
      <c r="E56" s="172">
        <v>0.05</v>
      </c>
      <c r="F56" s="117">
        <f t="shared" si="21"/>
        <v>2.2043103448275865</v>
      </c>
      <c r="G56" s="117">
        <f t="shared" si="22"/>
        <v>47.657189655172417</v>
      </c>
      <c r="H56" s="173">
        <f t="shared" si="19"/>
        <v>44766</v>
      </c>
      <c r="I56" s="176">
        <v>51.14</v>
      </c>
      <c r="J56" s="81">
        <f t="shared" si="0"/>
        <v>0</v>
      </c>
      <c r="K56" s="80"/>
      <c r="L56" s="186">
        <f t="shared" si="17"/>
        <v>47.657189655172417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167.23804999999999</v>
      </c>
      <c r="E61" s="177"/>
      <c r="F61" s="57">
        <f>SUM(F46:F58)</f>
        <v>13.023706896551724</v>
      </c>
      <c r="G61" s="57">
        <f>SUM(G46:G58)</f>
        <v>21152.248243103448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21152.248243103448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f>24+320</f>
        <v>344</v>
      </c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344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257</v>
      </c>
      <c r="B63" s="144">
        <v>5</v>
      </c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424.47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3.1835250000000004</v>
      </c>
      <c r="W63" s="191">
        <f t="shared" si="25"/>
        <v>0</v>
      </c>
      <c r="X63" s="191">
        <f t="shared" si="25"/>
        <v>0</v>
      </c>
      <c r="Y63" s="191">
        <f>SUM(Y43:Y62)</f>
        <v>421.286475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42304.496486206895</v>
      </c>
      <c r="H64" s="184"/>
      <c r="I64" s="175"/>
      <c r="J64" s="81">
        <f t="shared" si="0"/>
        <v>0</v>
      </c>
      <c r="K64" s="80"/>
      <c r="L64" s="186">
        <f t="shared" si="17"/>
        <v>42304.496486206895</v>
      </c>
      <c r="M64" s="130"/>
      <c r="N64" s="87">
        <v>1</v>
      </c>
      <c r="O64" s="122" t="s">
        <v>228</v>
      </c>
      <c r="P64" s="87"/>
      <c r="Q64" s="225"/>
      <c r="R64" s="236">
        <f>13.4+10.83</f>
        <v>24.23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0.181725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24.048275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38361.734700000001</v>
      </c>
      <c r="G65" s="22"/>
      <c r="L65" s="132"/>
      <c r="M65" s="131"/>
      <c r="N65" s="87">
        <v>2</v>
      </c>
      <c r="O65" s="122" t="s">
        <v>228</v>
      </c>
      <c r="P65" s="87"/>
      <c r="Q65" s="225"/>
      <c r="R65" s="236">
        <f>45.8+7.45</f>
        <v>53.25</v>
      </c>
      <c r="S65" s="225"/>
      <c r="T65" s="87"/>
      <c r="U65" s="189">
        <f t="shared" si="27"/>
        <v>0</v>
      </c>
      <c r="V65" s="189">
        <f t="shared" si="28"/>
        <v>0.39937499999999998</v>
      </c>
      <c r="W65" s="189">
        <f t="shared" si="29"/>
        <v>0</v>
      </c>
      <c r="X65" s="189">
        <f t="shared" si="30"/>
        <v>0</v>
      </c>
      <c r="Y65" s="189">
        <f t="shared" si="31"/>
        <v>52.850625000000001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87"/>
      <c r="Q66" s="225"/>
      <c r="R66" s="236">
        <v>35</v>
      </c>
      <c r="S66" s="225"/>
      <c r="T66" s="87"/>
      <c r="U66" s="189">
        <f t="shared" si="27"/>
        <v>0</v>
      </c>
      <c r="V66" s="189">
        <f t="shared" si="28"/>
        <v>0.26250000000000001</v>
      </c>
      <c r="W66" s="189">
        <f t="shared" si="29"/>
        <v>0</v>
      </c>
      <c r="X66" s="189">
        <f t="shared" si="30"/>
        <v>0</v>
      </c>
      <c r="Y66" s="189">
        <f t="shared" si="31"/>
        <v>34.737499999999997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87"/>
      <c r="Q67" s="225"/>
      <c r="R67" s="236">
        <v>35.82</v>
      </c>
      <c r="S67" s="225"/>
      <c r="T67" s="87"/>
      <c r="U67" s="189">
        <f t="shared" si="27"/>
        <v>0</v>
      </c>
      <c r="V67" s="189">
        <f t="shared" si="28"/>
        <v>0.26865</v>
      </c>
      <c r="W67" s="189">
        <f t="shared" si="29"/>
        <v>0</v>
      </c>
      <c r="X67" s="189">
        <f t="shared" si="30"/>
        <v>0</v>
      </c>
      <c r="Y67" s="189">
        <f t="shared" si="31"/>
        <v>35.551349999999999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37876.82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40">
        <v>30.11</v>
      </c>
      <c r="S68" s="87"/>
      <c r="T68" s="87"/>
      <c r="U68" s="189">
        <f t="shared" si="27"/>
        <v>0</v>
      </c>
      <c r="V68" s="189">
        <f t="shared" si="28"/>
        <v>0.225825</v>
      </c>
      <c r="W68" s="189">
        <f t="shared" si="29"/>
        <v>0</v>
      </c>
      <c r="X68" s="189">
        <f t="shared" si="30"/>
        <v>0</v>
      </c>
      <c r="Y68" s="189">
        <f t="shared" si="31"/>
        <v>29.884174999999999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38302.33</v>
      </c>
      <c r="C69" s="59"/>
      <c r="F69" s="87" t="s">
        <v>127</v>
      </c>
      <c r="G69" s="22"/>
      <c r="H69" s="89"/>
      <c r="I69" s="136"/>
      <c r="J69" s="136"/>
      <c r="N69" s="301" t="s">
        <v>108</v>
      </c>
      <c r="O69" s="301"/>
      <c r="P69" s="302"/>
      <c r="Q69" s="302"/>
      <c r="R69" s="192">
        <f>SUM(R64:R68)</f>
        <v>178.41000000000003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1.3380749999999999</v>
      </c>
      <c r="W69" s="192">
        <f t="shared" si="33"/>
        <v>0</v>
      </c>
      <c r="X69" s="192">
        <f t="shared" si="33"/>
        <v>0</v>
      </c>
      <c r="Y69" s="192">
        <f t="shared" si="33"/>
        <v>177.07192499999999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-425.51000000000204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229</v>
      </c>
      <c r="P70" s="225" t="s">
        <v>283</v>
      </c>
      <c r="Q70" s="225">
        <v>2001</v>
      </c>
      <c r="R70" s="221">
        <f>1090.98+1474.3</f>
        <v>2565.2799999999997</v>
      </c>
      <c r="S70" s="225"/>
      <c r="T70" s="225">
        <v>32.14</v>
      </c>
      <c r="U70" s="189">
        <f t="shared" ref="U70:U74" si="34">((T70/U$10)*U$9)</f>
        <v>1.385344827586207</v>
      </c>
      <c r="V70" s="189">
        <f t="shared" ref="V70:V74" si="35">R70*V$10</f>
        <v>19.239599999999996</v>
      </c>
      <c r="W70" s="189">
        <f t="shared" ref="W70:W74" si="36">+S70*V$10</f>
        <v>0</v>
      </c>
      <c r="X70" s="189">
        <f t="shared" ref="X70:X74" si="37">+T70*X$10</f>
        <v>0.8035000000000001</v>
      </c>
      <c r="Y70" s="189">
        <f t="shared" ref="Y70:Z74" si="38">R70-V70</f>
        <v>2546.0403999999999</v>
      </c>
      <c r="Z70" s="189">
        <f t="shared" si="38"/>
        <v>0</v>
      </c>
      <c r="AA70" s="189">
        <f t="shared" ref="AA70:AA74" si="39">T70-U70-X70</f>
        <v>29.951155172413795</v>
      </c>
      <c r="AB70" s="87"/>
    </row>
    <row r="71" spans="1:30" ht="28.5" customHeight="1" thickBot="1" x14ac:dyDescent="0.3">
      <c r="A71" s="25" t="s">
        <v>56</v>
      </c>
      <c r="B71" s="70">
        <f>(B65-B69)-B72</f>
        <v>59.404699999999139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229</v>
      </c>
      <c r="P71" s="225">
        <v>21</v>
      </c>
      <c r="Q71" s="225">
        <v>2001</v>
      </c>
      <c r="R71" s="221">
        <v>113.77</v>
      </c>
      <c r="S71" s="225"/>
      <c r="T71" s="221"/>
      <c r="U71" s="189">
        <f t="shared" si="34"/>
        <v>0</v>
      </c>
      <c r="V71" s="189">
        <f t="shared" si="35"/>
        <v>0.85327499999999989</v>
      </c>
      <c r="W71" s="189">
        <f t="shared" si="36"/>
        <v>0</v>
      </c>
      <c r="X71" s="189">
        <f t="shared" si="37"/>
        <v>0</v>
      </c>
      <c r="Y71" s="189">
        <f t="shared" si="38"/>
        <v>112.916725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229</v>
      </c>
      <c r="P72" s="225">
        <v>5</v>
      </c>
      <c r="Q72" s="225">
        <v>1001</v>
      </c>
      <c r="R72" s="221">
        <v>438.95</v>
      </c>
      <c r="S72" s="225"/>
      <c r="T72" s="225">
        <v>19</v>
      </c>
      <c r="U72" s="189">
        <f t="shared" si="34"/>
        <v>0.81896551724137945</v>
      </c>
      <c r="V72" s="189">
        <f t="shared" si="35"/>
        <v>3.292125</v>
      </c>
      <c r="W72" s="189">
        <f t="shared" si="36"/>
        <v>0</v>
      </c>
      <c r="X72" s="189">
        <f t="shared" si="37"/>
        <v>0.47500000000000003</v>
      </c>
      <c r="Y72" s="189">
        <f t="shared" si="38"/>
        <v>435.65787499999999</v>
      </c>
      <c r="Z72" s="189">
        <f t="shared" si="38"/>
        <v>0</v>
      </c>
      <c r="AA72" s="189">
        <f t="shared" si="39"/>
        <v>17.706034482758618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229</v>
      </c>
      <c r="P73" s="225">
        <v>178</v>
      </c>
      <c r="Q73" s="225">
        <v>2001</v>
      </c>
      <c r="R73" s="221">
        <v>822.03</v>
      </c>
      <c r="S73" s="225"/>
      <c r="T73" s="225"/>
      <c r="U73" s="189">
        <f t="shared" si="34"/>
        <v>0</v>
      </c>
      <c r="V73" s="189">
        <f t="shared" si="35"/>
        <v>6.1652249999999995</v>
      </c>
      <c r="W73" s="189">
        <f t="shared" si="36"/>
        <v>0</v>
      </c>
      <c r="X73" s="189">
        <f t="shared" si="37"/>
        <v>0</v>
      </c>
      <c r="Y73" s="189">
        <f t="shared" si="38"/>
        <v>815.86477500000001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60" t="s">
        <v>263</v>
      </c>
      <c r="P74" s="225"/>
      <c r="Q74" s="225"/>
      <c r="R74" s="221">
        <f>90+110+60+10+40+10</f>
        <v>320</v>
      </c>
      <c r="S74" s="225"/>
      <c r="T74" s="225"/>
      <c r="U74" s="189">
        <f t="shared" si="34"/>
        <v>0</v>
      </c>
      <c r="V74" s="189">
        <f t="shared" si="35"/>
        <v>2.4</v>
      </c>
      <c r="W74" s="189">
        <f t="shared" si="36"/>
        <v>0</v>
      </c>
      <c r="X74" s="189">
        <f t="shared" si="37"/>
        <v>0</v>
      </c>
      <c r="Y74" s="189">
        <f t="shared" si="38"/>
        <v>317.60000000000002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4260.03</v>
      </c>
      <c r="S75" s="192"/>
      <c r="T75" s="192">
        <f>SUM(T70:T74)</f>
        <v>51.14</v>
      </c>
      <c r="U75" s="192">
        <f>SUM(U70:U74)</f>
        <v>2.2043103448275865</v>
      </c>
      <c r="V75" s="192">
        <f t="shared" ref="V75:AA75" si="41">SUM(V70:V74)</f>
        <v>31.950224999999993</v>
      </c>
      <c r="W75" s="192">
        <f t="shared" si="41"/>
        <v>0</v>
      </c>
      <c r="X75" s="192">
        <f t="shared" si="41"/>
        <v>1.2785000000000002</v>
      </c>
      <c r="Y75" s="192">
        <f t="shared" si="41"/>
        <v>4228.0797750000002</v>
      </c>
      <c r="Z75" s="192">
        <f t="shared" si="41"/>
        <v>0</v>
      </c>
      <c r="AA75" s="193">
        <f t="shared" si="41"/>
        <v>47.657189655172417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15.12</v>
      </c>
      <c r="Q78" s="87">
        <v>73.77</v>
      </c>
      <c r="R78" s="82">
        <v>7.4999999999999997E-3</v>
      </c>
      <c r="S78" s="194">
        <f>+(P78+Q78)*R78</f>
        <v>0.66667500000000002</v>
      </c>
      <c r="T78" s="219">
        <f>+(P78+Q78)-S78</f>
        <v>88.223325000000003</v>
      </c>
      <c r="U78" s="211">
        <v>145.27000000000001</v>
      </c>
      <c r="V78" s="112"/>
      <c r="W78" s="113">
        <v>1.4999999999999999E-2</v>
      </c>
      <c r="X78" s="196">
        <f>+(U78+V78)*W78</f>
        <v>2.1790500000000002</v>
      </c>
      <c r="Y78" s="217">
        <f>+(U78+V78)-X78</f>
        <v>143.09095000000002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>
        <v>261.66000000000003</v>
      </c>
      <c r="Q79" s="137">
        <v>88.52</v>
      </c>
      <c r="R79" s="82">
        <v>7.4999999999999997E-3</v>
      </c>
      <c r="S79" s="194">
        <f t="shared" ref="S79:S97" si="43">+(P79+Q79)*R79</f>
        <v>2.62635</v>
      </c>
      <c r="T79" s="219">
        <f t="shared" ref="T79:T97" si="44">+(P79+Q79)-S79</f>
        <v>347.55365</v>
      </c>
      <c r="U79" s="211">
        <v>2.35</v>
      </c>
      <c r="V79" s="112"/>
      <c r="W79" s="113">
        <v>1.4999999999999999E-2</v>
      </c>
      <c r="X79" s="196">
        <f t="shared" ref="X79:X97" si="45">+(U79+V79)*W79</f>
        <v>3.5249999999999997E-2</v>
      </c>
      <c r="Y79" s="217">
        <f t="shared" ref="Y79:Y97" si="46">+(U79+V79)-X79</f>
        <v>2.3147500000000001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372.77</v>
      </c>
      <c r="Q80" s="137"/>
      <c r="R80" s="82">
        <v>7.4999999999999997E-3</v>
      </c>
      <c r="S80" s="194">
        <f t="shared" si="43"/>
        <v>2.7957749999999999</v>
      </c>
      <c r="T80" s="219">
        <f t="shared" si="44"/>
        <v>369.97422499999999</v>
      </c>
      <c r="U80" s="211">
        <v>21</v>
      </c>
      <c r="V80" s="112"/>
      <c r="W80" s="113">
        <v>1.4999999999999999E-2</v>
      </c>
      <c r="X80" s="196">
        <f t="shared" si="45"/>
        <v>0.315</v>
      </c>
      <c r="Y80" s="217">
        <f t="shared" si="46"/>
        <v>20.684999999999999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114.37</v>
      </c>
      <c r="Q81" s="87"/>
      <c r="R81" s="82">
        <v>7.4999999999999997E-3</v>
      </c>
      <c r="S81" s="194">
        <f t="shared" si="43"/>
        <v>0.85777499999999995</v>
      </c>
      <c r="T81" s="219">
        <f t="shared" si="44"/>
        <v>113.512225</v>
      </c>
      <c r="U81" s="211">
        <v>23.7</v>
      </c>
      <c r="V81" s="112"/>
      <c r="W81" s="113">
        <v>1.4999999999999999E-2</v>
      </c>
      <c r="X81" s="196">
        <f t="shared" si="45"/>
        <v>0.35549999999999998</v>
      </c>
      <c r="Y81" s="217">
        <f t="shared" si="46"/>
        <v>23.3445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242.65</v>
      </c>
      <c r="Q82" s="87"/>
      <c r="R82" s="82">
        <v>7.4999999999999997E-3</v>
      </c>
      <c r="S82" s="194">
        <f t="shared" si="43"/>
        <v>1.8198749999999999</v>
      </c>
      <c r="T82" s="219">
        <f t="shared" si="44"/>
        <v>240.83012500000001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97.21</v>
      </c>
      <c r="Q83" s="87">
        <v>39.520000000000003</v>
      </c>
      <c r="R83" s="82">
        <v>7.4999999999999997E-3</v>
      </c>
      <c r="S83" s="194">
        <f t="shared" si="43"/>
        <v>1.0254749999999999</v>
      </c>
      <c r="T83" s="219">
        <f t="shared" si="44"/>
        <v>135.70452499999999</v>
      </c>
      <c r="U83" s="112">
        <v>60.62</v>
      </c>
      <c r="V83" s="112"/>
      <c r="W83" s="113">
        <v>1.4999999999999999E-2</v>
      </c>
      <c r="X83" s="196">
        <f t="shared" si="45"/>
        <v>0.90929999999999989</v>
      </c>
      <c r="Y83" s="254">
        <f t="shared" si="46"/>
        <v>59.710699999999996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4.05</v>
      </c>
      <c r="Q84" s="87">
        <v>5.73</v>
      </c>
      <c r="R84" s="82">
        <v>7.4999999999999997E-3</v>
      </c>
      <c r="S84" s="194">
        <f t="shared" si="43"/>
        <v>7.3350000000000012E-2</v>
      </c>
      <c r="T84" s="219">
        <f t="shared" si="44"/>
        <v>9.7066500000000016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202</v>
      </c>
      <c r="Q85" s="87">
        <v>72.25</v>
      </c>
      <c r="R85" s="82">
        <v>7.4999999999999997E-3</v>
      </c>
      <c r="S85" s="194">
        <f t="shared" si="43"/>
        <v>2.0568749999999998</v>
      </c>
      <c r="T85" s="219">
        <f t="shared" si="44"/>
        <v>272.19312500000001</v>
      </c>
      <c r="U85" s="112">
        <v>1.64</v>
      </c>
      <c r="V85" s="112"/>
      <c r="W85" s="113">
        <v>1.4999999999999999E-2</v>
      </c>
      <c r="X85" s="196">
        <f t="shared" si="45"/>
        <v>2.4599999999999997E-2</v>
      </c>
      <c r="Y85" s="217">
        <f t="shared" si="46"/>
        <v>1.6153999999999999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28.56</v>
      </c>
      <c r="Q86" s="87"/>
      <c r="R86" s="82">
        <v>7.4999999999999997E-3</v>
      </c>
      <c r="S86" s="194">
        <f t="shared" si="43"/>
        <v>0.21419999999999997</v>
      </c>
      <c r="T86" s="219">
        <f t="shared" si="44"/>
        <v>28.345799999999997</v>
      </c>
      <c r="U86" s="211">
        <v>6.3</v>
      </c>
      <c r="V86" s="112"/>
      <c r="W86" s="113">
        <v>1.4999999999999999E-2</v>
      </c>
      <c r="X86" s="196">
        <f t="shared" si="45"/>
        <v>9.4500000000000001E-2</v>
      </c>
      <c r="Y86" s="254">
        <f t="shared" si="46"/>
        <v>6.2054999999999998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484.88</v>
      </c>
      <c r="Q87" s="87">
        <v>263.3</v>
      </c>
      <c r="R87" s="82">
        <v>7.4999999999999997E-3</v>
      </c>
      <c r="S87" s="194">
        <f t="shared" si="43"/>
        <v>5.6113499999999998</v>
      </c>
      <c r="T87" s="216">
        <f t="shared" si="44"/>
        <v>742.56865000000005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1823.27</v>
      </c>
      <c r="Q98" s="195">
        <f>SUM(Q78:Q97)</f>
        <v>543.08999999999992</v>
      </c>
      <c r="R98" s="111"/>
      <c r="S98" s="195">
        <f>SUM(S78:S97)</f>
        <v>17.747700000000002</v>
      </c>
      <c r="T98" s="195">
        <f>SUM(T78:T97)</f>
        <v>2348.6122999999998</v>
      </c>
      <c r="U98" s="114">
        <f>SUM(U78:U97)</f>
        <v>260.88</v>
      </c>
      <c r="V98" s="114">
        <f>SUM(V78:V97)</f>
        <v>0</v>
      </c>
      <c r="W98" s="112"/>
      <c r="X98" s="197">
        <f>SUM(X78:X97)</f>
        <v>3.9132000000000002</v>
      </c>
      <c r="Y98" s="197">
        <f>SUM(Y78:Y97)</f>
        <v>256.96680000000003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18">
        <f t="shared" ref="P101:P110" si="50">P78+Q78+U78</f>
        <v>234.16000000000003</v>
      </c>
      <c r="Q101" s="84"/>
    </row>
    <row r="102" spans="14:30" x14ac:dyDescent="0.25">
      <c r="N102" s="85"/>
      <c r="O102" s="84"/>
      <c r="P102" s="215">
        <f t="shared" si="50"/>
        <v>352.53000000000003</v>
      </c>
      <c r="Q102" s="84"/>
    </row>
    <row r="103" spans="14:30" x14ac:dyDescent="0.25">
      <c r="N103" s="85"/>
      <c r="O103" s="84"/>
      <c r="P103" s="215">
        <f t="shared" si="50"/>
        <v>393.77</v>
      </c>
      <c r="Q103" s="84"/>
      <c r="U103" s="259">
        <v>123.1</v>
      </c>
    </row>
    <row r="104" spans="14:30" x14ac:dyDescent="0.25">
      <c r="N104" s="85"/>
      <c r="O104" s="84"/>
      <c r="P104" s="215">
        <f>P81+Q81+U81</f>
        <v>138.07</v>
      </c>
      <c r="Q104" s="84"/>
      <c r="U104" s="85">
        <v>440.73</v>
      </c>
    </row>
    <row r="105" spans="14:30" x14ac:dyDescent="0.25">
      <c r="N105" s="85"/>
      <c r="O105" s="84"/>
      <c r="P105" s="246">
        <f t="shared" si="50"/>
        <v>242.65</v>
      </c>
      <c r="Q105" s="84"/>
      <c r="U105" s="85">
        <v>39.729999999999997</v>
      </c>
    </row>
    <row r="106" spans="14:30" x14ac:dyDescent="0.25">
      <c r="N106" s="85"/>
      <c r="O106" s="84"/>
      <c r="P106" s="246">
        <f t="shared" si="50"/>
        <v>197.35</v>
      </c>
      <c r="Q106" s="84"/>
    </row>
    <row r="107" spans="14:30" x14ac:dyDescent="0.25">
      <c r="N107" s="85"/>
      <c r="O107" s="84"/>
      <c r="P107" s="215">
        <f t="shared" si="50"/>
        <v>9.7800000000000011</v>
      </c>
      <c r="Q107" s="84"/>
    </row>
    <row r="108" spans="14:30" x14ac:dyDescent="0.25">
      <c r="N108" s="85"/>
      <c r="O108" s="84"/>
      <c r="P108" s="246">
        <f>P85+Q85+U85</f>
        <v>275.89</v>
      </c>
      <c r="Q108" s="84"/>
    </row>
    <row r="109" spans="14:30" x14ac:dyDescent="0.25">
      <c r="N109" s="85"/>
      <c r="O109" s="84"/>
      <c r="P109" s="218">
        <f>P86+Q86+U86</f>
        <v>34.86</v>
      </c>
      <c r="Q109" s="84"/>
    </row>
    <row r="110" spans="14:30" x14ac:dyDescent="0.25">
      <c r="N110" s="85"/>
      <c r="O110" s="84"/>
      <c r="P110" s="84">
        <f t="shared" si="50"/>
        <v>748.18000000000006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8" zoomScale="90" zoomScaleNormal="90" workbookViewId="0">
      <selection activeCell="T88" sqref="T8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44766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1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2079</v>
      </c>
      <c r="C12" s="15"/>
      <c r="D12" s="56"/>
      <c r="E12" s="16"/>
      <c r="F12" s="56"/>
      <c r="G12" s="56"/>
      <c r="H12" s="17"/>
      <c r="I12" s="83">
        <v>2079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192</v>
      </c>
      <c r="Q12" s="158">
        <v>11</v>
      </c>
      <c r="R12" s="159">
        <v>1876.77</v>
      </c>
      <c r="S12" s="160"/>
      <c r="T12" s="160"/>
      <c r="U12" s="189">
        <f>((T12/U$10)*U$9)</f>
        <v>0</v>
      </c>
      <c r="V12" s="189">
        <f>R12*V$10</f>
        <v>14.075775</v>
      </c>
      <c r="W12" s="189">
        <f>+S12*V$10</f>
        <v>0</v>
      </c>
      <c r="X12" s="189">
        <f>+T12*X$10</f>
        <v>0</v>
      </c>
      <c r="Y12" s="189">
        <f>R12-V12</f>
        <v>1862.694225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2477</v>
      </c>
      <c r="C13" s="15"/>
      <c r="D13" s="56"/>
      <c r="E13" s="16"/>
      <c r="F13" s="56"/>
      <c r="G13" s="56"/>
      <c r="H13" s="17"/>
      <c r="I13" s="83">
        <v>2477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193</v>
      </c>
      <c r="Q13" s="158">
        <v>11</v>
      </c>
      <c r="R13" s="159">
        <v>12.46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9.3450000000000005E-2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12.36655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14193.210000000001</v>
      </c>
      <c r="C14" s="15"/>
      <c r="D14" s="56"/>
      <c r="E14" s="16"/>
      <c r="F14" s="56"/>
      <c r="G14" s="56"/>
      <c r="H14" s="17"/>
      <c r="I14" s="83">
        <v>14193.21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575</v>
      </c>
      <c r="Q14" s="158">
        <v>2</v>
      </c>
      <c r="R14" s="159">
        <v>1120.29</v>
      </c>
      <c r="S14" s="160"/>
      <c r="T14" s="161"/>
      <c r="U14" s="189">
        <f t="shared" si="2"/>
        <v>0</v>
      </c>
      <c r="V14" s="189">
        <f t="shared" si="3"/>
        <v>8.4021749999999997</v>
      </c>
      <c r="W14" s="189">
        <f t="shared" si="4"/>
        <v>0</v>
      </c>
      <c r="X14" s="189">
        <f t="shared" si="5"/>
        <v>0</v>
      </c>
      <c r="Y14" s="189">
        <f t="shared" si="6"/>
        <v>1111.887825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576</v>
      </c>
      <c r="Q15" s="158">
        <v>2</v>
      </c>
      <c r="R15" s="159">
        <v>202.76</v>
      </c>
      <c r="S15" s="160"/>
      <c r="T15" s="161"/>
      <c r="U15" s="189">
        <f t="shared" si="2"/>
        <v>0</v>
      </c>
      <c r="V15" s="189">
        <f t="shared" si="3"/>
        <v>1.5206999999999999</v>
      </c>
      <c r="W15" s="189">
        <f t="shared" si="4"/>
        <v>0</v>
      </c>
      <c r="X15" s="189">
        <f t="shared" si="5"/>
        <v>0</v>
      </c>
      <c r="Y15" s="189">
        <f t="shared" si="6"/>
        <v>201.23929999999999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577</v>
      </c>
      <c r="Q16" s="158">
        <v>2</v>
      </c>
      <c r="R16" s="159">
        <v>48.18</v>
      </c>
      <c r="S16" s="160"/>
      <c r="T16" s="161"/>
      <c r="U16" s="189">
        <f t="shared" si="2"/>
        <v>0</v>
      </c>
      <c r="V16" s="189">
        <f t="shared" si="3"/>
        <v>0.36135</v>
      </c>
      <c r="W16" s="189">
        <f t="shared" si="4"/>
        <v>0</v>
      </c>
      <c r="X16" s="189">
        <f t="shared" si="5"/>
        <v>0</v>
      </c>
      <c r="Y16" s="189">
        <f t="shared" si="6"/>
        <v>47.818649999999998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556</v>
      </c>
      <c r="Q17" s="158">
        <v>4</v>
      </c>
      <c r="R17" s="159">
        <v>611.36</v>
      </c>
      <c r="S17" s="160"/>
      <c r="T17" s="161">
        <v>15.65</v>
      </c>
      <c r="U17" s="189">
        <f t="shared" si="2"/>
        <v>0.67456896551724155</v>
      </c>
      <c r="V17" s="189">
        <f t="shared" si="3"/>
        <v>4.5851999999999995</v>
      </c>
      <c r="W17" s="189">
        <f t="shared" si="4"/>
        <v>0</v>
      </c>
      <c r="X17" s="189">
        <f t="shared" si="5"/>
        <v>0.39125000000000004</v>
      </c>
      <c r="Y17" s="189">
        <f t="shared" si="6"/>
        <v>606.77480000000003</v>
      </c>
      <c r="Z17" s="189">
        <f t="shared" si="6"/>
        <v>0</v>
      </c>
      <c r="AA17" s="189">
        <f t="shared" si="7"/>
        <v>14.584181034482759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557</v>
      </c>
      <c r="Q18" s="158">
        <v>4</v>
      </c>
      <c r="R18" s="159">
        <v>1778.81</v>
      </c>
      <c r="S18" s="160"/>
      <c r="T18" s="161"/>
      <c r="U18" s="189">
        <f t="shared" si="2"/>
        <v>0</v>
      </c>
      <c r="V18" s="189">
        <f t="shared" si="3"/>
        <v>13.341074999999998</v>
      </c>
      <c r="W18" s="189">
        <f t="shared" si="4"/>
        <v>0</v>
      </c>
      <c r="X18" s="189">
        <f t="shared" si="5"/>
        <v>0</v>
      </c>
      <c r="Y18" s="189">
        <f t="shared" si="6"/>
        <v>1765.4689249999999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2477</v>
      </c>
      <c r="C19" s="95"/>
      <c r="D19" s="94"/>
      <c r="E19" s="96"/>
      <c r="F19" s="94"/>
      <c r="G19" s="94"/>
      <c r="H19" s="98"/>
      <c r="I19" s="99">
        <v>2477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553</v>
      </c>
      <c r="Q19" s="158">
        <v>14</v>
      </c>
      <c r="R19" s="159">
        <v>642.98</v>
      </c>
      <c r="S19" s="160"/>
      <c r="T19" s="161"/>
      <c r="U19" s="189">
        <f t="shared" si="2"/>
        <v>0</v>
      </c>
      <c r="V19" s="189">
        <f t="shared" si="3"/>
        <v>4.8223500000000001</v>
      </c>
      <c r="W19" s="189">
        <f t="shared" si="4"/>
        <v>0</v>
      </c>
      <c r="X19" s="189">
        <f t="shared" si="5"/>
        <v>0</v>
      </c>
      <c r="Y19" s="189">
        <f t="shared" si="6"/>
        <v>638.15764999999999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14193.210000000001</v>
      </c>
      <c r="C20" s="95"/>
      <c r="D20" s="94"/>
      <c r="E20" s="96"/>
      <c r="F20" s="94"/>
      <c r="G20" s="94"/>
      <c r="H20" s="98"/>
      <c r="I20" s="99">
        <v>14193.21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554</v>
      </c>
      <c r="Q20" s="158">
        <v>14</v>
      </c>
      <c r="R20" s="159">
        <v>48.83</v>
      </c>
      <c r="S20" s="160"/>
      <c r="T20" s="161"/>
      <c r="U20" s="189">
        <f t="shared" si="2"/>
        <v>0</v>
      </c>
      <c r="V20" s="189">
        <f t="shared" si="3"/>
        <v>0.36622499999999997</v>
      </c>
      <c r="W20" s="189">
        <f t="shared" si="4"/>
        <v>0</v>
      </c>
      <c r="X20" s="189">
        <f t="shared" si="5"/>
        <v>0</v>
      </c>
      <c r="Y20" s="189">
        <f t="shared" si="6"/>
        <v>48.463774999999998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641</v>
      </c>
      <c r="Q21" s="158">
        <v>18</v>
      </c>
      <c r="R21" s="159">
        <v>615.88</v>
      </c>
      <c r="S21" s="160"/>
      <c r="T21" s="161"/>
      <c r="U21" s="189">
        <f t="shared" si="2"/>
        <v>0</v>
      </c>
      <c r="V21" s="189">
        <f t="shared" si="3"/>
        <v>4.6190999999999995</v>
      </c>
      <c r="W21" s="189">
        <f t="shared" si="4"/>
        <v>0</v>
      </c>
      <c r="X21" s="189">
        <f t="shared" si="5"/>
        <v>0</v>
      </c>
      <c r="Y21" s="189">
        <f t="shared" si="6"/>
        <v>611.26089999999999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>
        <v>642</v>
      </c>
      <c r="Q22" s="158">
        <v>18</v>
      </c>
      <c r="R22" s="162">
        <v>1095.8699999999999</v>
      </c>
      <c r="S22" s="160"/>
      <c r="T22" s="160">
        <v>96.84</v>
      </c>
      <c r="U22" s="189">
        <f t="shared" si="2"/>
        <v>4.1741379310344833</v>
      </c>
      <c r="V22" s="189">
        <f t="shared" si="3"/>
        <v>8.2190249999999985</v>
      </c>
      <c r="W22" s="189">
        <f t="shared" si="4"/>
        <v>0</v>
      </c>
      <c r="X22" s="189">
        <f t="shared" si="5"/>
        <v>2.4210000000000003</v>
      </c>
      <c r="Y22" s="189">
        <f t="shared" si="6"/>
        <v>1087.6509749999998</v>
      </c>
      <c r="Z22" s="189">
        <f t="shared" si="6"/>
        <v>0</v>
      </c>
      <c r="AA22" s="189">
        <f t="shared" si="7"/>
        <v>90.244862068965517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75.72</v>
      </c>
      <c r="C29" s="100"/>
      <c r="D29" s="66"/>
      <c r="E29" s="67"/>
      <c r="F29" s="66"/>
      <c r="G29" s="66"/>
      <c r="H29" s="102"/>
      <c r="I29" s="79">
        <v>75.72</v>
      </c>
      <c r="J29" s="81">
        <f t="shared" si="0"/>
        <v>0</v>
      </c>
      <c r="K29" s="80">
        <f>32.88+12.84+30</f>
        <v>75.72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433.87560000000002</v>
      </c>
      <c r="C30" s="100"/>
      <c r="D30" s="66"/>
      <c r="E30" s="67"/>
      <c r="F30" s="66"/>
      <c r="G30" s="66"/>
      <c r="H30" s="102"/>
      <c r="I30" s="79">
        <v>433.88</v>
      </c>
      <c r="J30" s="81">
        <f t="shared" si="0"/>
        <v>-4.3999999999755346E-3</v>
      </c>
      <c r="K30" s="80">
        <v>433.88</v>
      </c>
      <c r="L30" s="186">
        <f>K30-B30</f>
        <v>4.3999999999755346E-3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75.72</v>
      </c>
      <c r="C35" s="95"/>
      <c r="D35" s="94"/>
      <c r="E35" s="96"/>
      <c r="F35" s="94"/>
      <c r="G35" s="94"/>
      <c r="H35" s="98"/>
      <c r="I35" s="248">
        <v>75.72</v>
      </c>
      <c r="J35" s="185">
        <f t="shared" si="0"/>
        <v>0</v>
      </c>
      <c r="K35" s="99">
        <v>75.72</v>
      </c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433.87560000000002</v>
      </c>
      <c r="C36" s="95"/>
      <c r="D36" s="94"/>
      <c r="E36" s="96"/>
      <c r="F36" s="94"/>
      <c r="G36" s="94"/>
      <c r="H36" s="98"/>
      <c r="I36" s="99">
        <v>433.88</v>
      </c>
      <c r="J36" s="185">
        <f t="shared" si="0"/>
        <v>-4.3999999999755346E-3</v>
      </c>
      <c r="K36" s="99">
        <v>433.88</v>
      </c>
      <c r="L36" s="187">
        <f>K36-B36</f>
        <v>4.3999999999755346E-3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61.67</v>
      </c>
      <c r="C37" s="100"/>
      <c r="D37" s="66"/>
      <c r="E37" s="67"/>
      <c r="F37" s="66"/>
      <c r="G37" s="66"/>
      <c r="H37" s="102"/>
      <c r="I37" s="249">
        <v>61.67</v>
      </c>
      <c r="J37" s="81">
        <f t="shared" si="0"/>
        <v>0</v>
      </c>
      <c r="K37" s="80">
        <f>15.87+10.55+9.63+15.62+10</f>
        <v>61.67</v>
      </c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353.36910000000006</v>
      </c>
      <c r="C38" s="100"/>
      <c r="D38" s="66"/>
      <c r="E38" s="67"/>
      <c r="F38" s="66"/>
      <c r="G38" s="66"/>
      <c r="H38" s="102"/>
      <c r="I38" s="79">
        <v>353.37</v>
      </c>
      <c r="J38" s="81">
        <f t="shared" si="0"/>
        <v>-8.9999999994461177E-4</v>
      </c>
      <c r="K38" s="80">
        <v>353.37</v>
      </c>
      <c r="L38" s="186">
        <f>K38-B38</f>
        <v>8.9999999994461177E-4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8054.1899999999987</v>
      </c>
      <c r="S42" s="190">
        <f t="shared" si="8"/>
        <v>0</v>
      </c>
      <c r="T42" s="190">
        <f t="shared" si="8"/>
        <v>112.49000000000001</v>
      </c>
      <c r="U42" s="190">
        <f t="shared" si="8"/>
        <v>4.8487068965517253</v>
      </c>
      <c r="V42" s="190">
        <f t="shared" si="8"/>
        <v>60.406424999999999</v>
      </c>
      <c r="W42" s="190">
        <f t="shared" si="8"/>
        <v>0</v>
      </c>
      <c r="X42" s="190">
        <f t="shared" si="8"/>
        <v>2.8122500000000001</v>
      </c>
      <c r="Y42" s="190">
        <f t="shared" si="8"/>
        <v>7993.7835750000004</v>
      </c>
      <c r="Z42" s="190">
        <f t="shared" si="8"/>
        <v>0</v>
      </c>
      <c r="AA42" s="190">
        <f t="shared" si="8"/>
        <v>104.82904310344827</v>
      </c>
      <c r="AB42" s="166"/>
    </row>
    <row r="43" spans="1:28" ht="15.75" x14ac:dyDescent="0.25">
      <c r="A43" s="93" t="s">
        <v>101</v>
      </c>
      <c r="B43" s="97">
        <f>+B37+B39+B41</f>
        <v>61.67</v>
      </c>
      <c r="C43" s="95"/>
      <c r="D43" s="94"/>
      <c r="E43" s="96"/>
      <c r="F43" s="94"/>
      <c r="G43" s="94"/>
      <c r="H43" s="98"/>
      <c r="I43" s="99">
        <v>61.67</v>
      </c>
      <c r="J43" s="185">
        <f t="shared" si="0"/>
        <v>0</v>
      </c>
      <c r="K43" s="99">
        <v>61.67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685.88</v>
      </c>
      <c r="S43" s="160"/>
      <c r="T43" s="155"/>
      <c r="U43" s="189">
        <f t="shared" ref="U43:U62" si="9">((T43/U$10)*U$9)</f>
        <v>0</v>
      </c>
      <c r="V43" s="189">
        <f t="shared" ref="V43:V62" si="10">R43*V$10</f>
        <v>5.1440999999999999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680.73590000000002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353.36910000000006</v>
      </c>
      <c r="C44" s="95"/>
      <c r="D44" s="94"/>
      <c r="E44" s="96"/>
      <c r="F44" s="94"/>
      <c r="G44" s="94"/>
      <c r="H44" s="98"/>
      <c r="I44" s="99">
        <v>353.37</v>
      </c>
      <c r="J44" s="185">
        <f t="shared" si="0"/>
        <v>-8.9999999994461177E-4</v>
      </c>
      <c r="K44" s="99">
        <v>353.37</v>
      </c>
      <c r="L44" s="187">
        <f>K44-B44</f>
        <v>8.9999999994461177E-4</v>
      </c>
      <c r="M44" s="107"/>
      <c r="N44" s="104">
        <v>2</v>
      </c>
      <c r="O44" s="167" t="s">
        <v>69</v>
      </c>
      <c r="P44" s="158"/>
      <c r="Q44" s="158"/>
      <c r="R44" s="160">
        <v>53.26</v>
      </c>
      <c r="S44" s="160"/>
      <c r="T44" s="155">
        <v>1.89</v>
      </c>
      <c r="U44" s="189">
        <f t="shared" si="9"/>
        <v>8.146551724137932E-2</v>
      </c>
      <c r="V44" s="189">
        <f t="shared" si="10"/>
        <v>0.39944999999999997</v>
      </c>
      <c r="W44" s="189">
        <f t="shared" si="11"/>
        <v>0</v>
      </c>
      <c r="X44" s="189">
        <f t="shared" si="12"/>
        <v>4.725E-2</v>
      </c>
      <c r="Y44" s="189">
        <f t="shared" si="13"/>
        <v>52.860549999999996</v>
      </c>
      <c r="Z44" s="189">
        <f t="shared" si="13"/>
        <v>0</v>
      </c>
      <c r="AA44" s="189">
        <f t="shared" si="14"/>
        <v>1.7612844827586205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8054.1899999999987</v>
      </c>
      <c r="C46" s="116">
        <v>7.4999999999999997E-3</v>
      </c>
      <c r="D46" s="117">
        <f>B46*C46</f>
        <v>60.406424999999984</v>
      </c>
      <c r="E46" s="172">
        <v>0</v>
      </c>
      <c r="F46" s="117">
        <f t="shared" ref="F46:F50" si="15">D46*E46</f>
        <v>0</v>
      </c>
      <c r="G46" s="117">
        <f t="shared" ref="G46:G51" si="16">B46-D46-F46</f>
        <v>7993.7835749999986</v>
      </c>
      <c r="H46" s="173">
        <f>B$6+1</f>
        <v>44767</v>
      </c>
      <c r="I46" s="174">
        <v>8054.19</v>
      </c>
      <c r="J46" s="81">
        <f t="shared" si="0"/>
        <v>0</v>
      </c>
      <c r="K46" s="80"/>
      <c r="L46" s="186">
        <f t="shared" ref="L46:L64" si="17">+G46-K46</f>
        <v>7993.7835749999986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739.14</v>
      </c>
      <c r="C47" s="116">
        <v>7.4999999999999997E-3</v>
      </c>
      <c r="D47" s="117">
        <f t="shared" ref="D47:D50" si="18">B47*C47</f>
        <v>5.5435499999999998</v>
      </c>
      <c r="E47" s="172">
        <v>0</v>
      </c>
      <c r="F47" s="117">
        <f t="shared" si="15"/>
        <v>0</v>
      </c>
      <c r="G47" s="117">
        <f t="shared" si="16"/>
        <v>733.59645</v>
      </c>
      <c r="H47" s="173">
        <f>B$6+1</f>
        <v>44767</v>
      </c>
      <c r="I47" s="175">
        <v>739.14</v>
      </c>
      <c r="J47" s="81">
        <f t="shared" si="0"/>
        <v>0</v>
      </c>
      <c r="K47" s="80"/>
      <c r="L47" s="186">
        <f t="shared" si="17"/>
        <v>733.59645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174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5306.01</v>
      </c>
      <c r="C49" s="116">
        <v>7.4999999999999997E-3</v>
      </c>
      <c r="D49" s="117">
        <f t="shared" si="18"/>
        <v>39.795074999999997</v>
      </c>
      <c r="E49" s="172">
        <v>0</v>
      </c>
      <c r="F49" s="117">
        <f t="shared" si="15"/>
        <v>0</v>
      </c>
      <c r="G49" s="117">
        <f t="shared" si="16"/>
        <v>5266.2149250000002</v>
      </c>
      <c r="H49" s="173">
        <f t="shared" si="19"/>
        <v>44767</v>
      </c>
      <c r="I49" s="176">
        <v>4991.01</v>
      </c>
      <c r="J49" s="81">
        <f t="shared" si="0"/>
        <v>315</v>
      </c>
      <c r="K49" s="80"/>
      <c r="L49" s="186">
        <f t="shared" si="17"/>
        <v>5266.2149250000002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1640.31</v>
      </c>
      <c r="C50" s="116">
        <v>7.4999999999999997E-3</v>
      </c>
      <c r="D50" s="117">
        <f t="shared" si="18"/>
        <v>12.302325</v>
      </c>
      <c r="E50" s="172">
        <v>0</v>
      </c>
      <c r="F50" s="117">
        <f t="shared" si="15"/>
        <v>0</v>
      </c>
      <c r="G50" s="117">
        <f t="shared" si="16"/>
        <v>1628.0076749999998</v>
      </c>
      <c r="H50" s="173">
        <f t="shared" si="19"/>
        <v>44767</v>
      </c>
      <c r="I50" s="175"/>
      <c r="J50" s="81">
        <f t="shared" si="0"/>
        <v>1640.31</v>
      </c>
      <c r="K50" s="80"/>
      <c r="L50" s="186">
        <f t="shared" si="17"/>
        <v>1628.0076749999998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147.1</v>
      </c>
      <c r="C51" s="116">
        <v>1.4999999999999999E-2</v>
      </c>
      <c r="D51" s="117">
        <f>+B51*C51</f>
        <v>2.2064999999999997</v>
      </c>
      <c r="E51" s="172">
        <v>0</v>
      </c>
      <c r="F51" s="117">
        <f>D51*E51</f>
        <v>0</v>
      </c>
      <c r="G51" s="117">
        <f t="shared" si="16"/>
        <v>144.89349999999999</v>
      </c>
      <c r="H51" s="173">
        <f t="shared" si="19"/>
        <v>44767</v>
      </c>
      <c r="I51" s="175">
        <v>1787.34</v>
      </c>
      <c r="J51" s="81">
        <f t="shared" si="0"/>
        <v>-1640.24</v>
      </c>
      <c r="K51" s="80"/>
      <c r="L51" s="186">
        <f t="shared" si="17"/>
        <v>144.89349999999999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112.49000000000001</v>
      </c>
      <c r="C52" s="116">
        <v>2.5000000000000001E-2</v>
      </c>
      <c r="D52" s="117">
        <f>B52*C52</f>
        <v>2.8122500000000006</v>
      </c>
      <c r="E52" s="172">
        <v>0.05</v>
      </c>
      <c r="F52" s="117">
        <f>(B52/E$10)*E52</f>
        <v>4.8487068965517253</v>
      </c>
      <c r="G52" s="117">
        <f>B52-D52-F52</f>
        <v>104.82904310344827</v>
      </c>
      <c r="H52" s="188">
        <f t="shared" si="19"/>
        <v>44767</v>
      </c>
      <c r="I52" s="176">
        <v>112.49</v>
      </c>
      <c r="J52" s="81">
        <f t="shared" si="0"/>
        <v>0</v>
      </c>
      <c r="K52" s="80"/>
      <c r="L52" s="186">
        <f>K52-G52</f>
        <v>-104.82904310344827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1.89</v>
      </c>
      <c r="C53" s="116">
        <v>2.5000000000000001E-2</v>
      </c>
      <c r="D53" s="117">
        <f t="shared" ref="D53:D56" si="20">B53*C53</f>
        <v>4.725E-2</v>
      </c>
      <c r="E53" s="172">
        <v>0.05</v>
      </c>
      <c r="F53" s="117">
        <f t="shared" ref="F53:F56" si="21">(B53/E$10)*E53</f>
        <v>8.146551724137932E-2</v>
      </c>
      <c r="G53" s="117">
        <f t="shared" ref="G53:G58" si="22">B53-D53-F53</f>
        <v>1.7612844827586205</v>
      </c>
      <c r="H53" s="188">
        <f t="shared" si="19"/>
        <v>44767</v>
      </c>
      <c r="I53" s="176">
        <v>1.89</v>
      </c>
      <c r="J53" s="81">
        <f t="shared" si="0"/>
        <v>0</v>
      </c>
      <c r="K53" s="80"/>
      <c r="L53" s="186">
        <f t="shared" si="17"/>
        <v>1.7612844827586205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238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238</v>
      </c>
      <c r="B56" s="117">
        <f>T75</f>
        <v>224.4</v>
      </c>
      <c r="C56" s="116">
        <v>2.5000000000000001E-2</v>
      </c>
      <c r="D56" s="117">
        <f t="shared" si="20"/>
        <v>5.61</v>
      </c>
      <c r="E56" s="172">
        <v>0.05</v>
      </c>
      <c r="F56" s="117">
        <f t="shared" si="21"/>
        <v>9.6724137931034502</v>
      </c>
      <c r="G56" s="117">
        <f t="shared" si="22"/>
        <v>209.11758620689653</v>
      </c>
      <c r="H56" s="173">
        <f t="shared" si="19"/>
        <v>44767</v>
      </c>
      <c r="I56" s="176">
        <v>224.4</v>
      </c>
      <c r="J56" s="81">
        <f t="shared" si="0"/>
        <v>0</v>
      </c>
      <c r="K56" s="80"/>
      <c r="L56" s="186">
        <f t="shared" si="17"/>
        <v>209.11758620689653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128.723375</v>
      </c>
      <c r="E61" s="177"/>
      <c r="F61" s="57">
        <f>SUM(F46:F58)</f>
        <v>14.602586206896554</v>
      </c>
      <c r="G61" s="57">
        <f>SUM(G46:G58)</f>
        <v>16082.204038793101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16082.204038793101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315</v>
      </c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315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739.14</v>
      </c>
      <c r="S63" s="191">
        <f>SUM(S43:S62)</f>
        <v>0</v>
      </c>
      <c r="T63" s="191">
        <f>SUM(T43:T62)</f>
        <v>1.89</v>
      </c>
      <c r="U63" s="191">
        <f t="shared" ref="U63:X63" si="25">SUM(U43:U62)</f>
        <v>8.146551724137932E-2</v>
      </c>
      <c r="V63" s="191">
        <f t="shared" si="25"/>
        <v>5.5435499999999998</v>
      </c>
      <c r="W63" s="191">
        <f t="shared" si="25"/>
        <v>0</v>
      </c>
      <c r="X63" s="191">
        <f t="shared" si="25"/>
        <v>4.725E-2</v>
      </c>
      <c r="Y63" s="191">
        <f>SUM(Y43:Y62)</f>
        <v>733.59645</v>
      </c>
      <c r="Z63" s="191">
        <f t="shared" ref="Z63:AA63" si="26">SUM(Z43:Z62)</f>
        <v>0</v>
      </c>
      <c r="AA63" s="191">
        <f t="shared" si="26"/>
        <v>1.7612844827586205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32164.408077586202</v>
      </c>
      <c r="H64" s="184"/>
      <c r="I64" s="175"/>
      <c r="J64" s="81">
        <f t="shared" si="0"/>
        <v>0</v>
      </c>
      <c r="K64" s="80"/>
      <c r="L64" s="186">
        <f t="shared" si="17"/>
        <v>32164.408077586202</v>
      </c>
      <c r="M64" s="130"/>
      <c r="N64" s="87">
        <v>1</v>
      </c>
      <c r="O64" s="122" t="s">
        <v>193</v>
      </c>
      <c r="P64" s="225"/>
      <c r="Q64" s="225"/>
      <c r="R64" s="221"/>
      <c r="S64" s="225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32969.984699999994</v>
      </c>
      <c r="G65" s="22"/>
      <c r="L65" s="132"/>
      <c r="M65" s="131"/>
      <c r="N65" s="87">
        <v>2</v>
      </c>
      <c r="O65" s="122" t="s">
        <v>193</v>
      </c>
      <c r="P65" s="225"/>
      <c r="Q65" s="225"/>
      <c r="R65" s="221"/>
      <c r="S65" s="225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225"/>
      <c r="Q66" s="225"/>
      <c r="R66" s="221"/>
      <c r="S66" s="225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225"/>
      <c r="R68" s="225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32765.88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172</v>
      </c>
      <c r="O69" s="301"/>
      <c r="P69" s="302"/>
      <c r="Q69" s="302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-32765.88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 t="s">
        <v>284</v>
      </c>
      <c r="Q70" s="225">
        <v>1001</v>
      </c>
      <c r="R70" s="221">
        <v>1538.2</v>
      </c>
      <c r="S70" s="225"/>
      <c r="T70" s="225">
        <v>145.56</v>
      </c>
      <c r="U70" s="189">
        <f t="shared" ref="U70:U74" si="34">((T70/U$10)*U$9)</f>
        <v>6.2741379310344838</v>
      </c>
      <c r="V70" s="189">
        <f t="shared" ref="V70:V74" si="35">R70*V$10</f>
        <v>11.5365</v>
      </c>
      <c r="W70" s="189">
        <f t="shared" ref="W70:W74" si="36">+S70*V$10</f>
        <v>0</v>
      </c>
      <c r="X70" s="189">
        <f t="shared" ref="X70:X74" si="37">+T70*X$10</f>
        <v>3.6390000000000002</v>
      </c>
      <c r="Y70" s="189">
        <f t="shared" ref="Y70:Z74" si="38">R70-V70</f>
        <v>1526.6635000000001</v>
      </c>
      <c r="Z70" s="189">
        <f t="shared" si="38"/>
        <v>0</v>
      </c>
      <c r="AA70" s="189">
        <f t="shared" ref="AA70:AA74" si="39">T70-U70-X70</f>
        <v>135.6468620689655</v>
      </c>
      <c r="AB70" s="87"/>
    </row>
    <row r="71" spans="1:30" ht="28.5" customHeight="1" thickBot="1" x14ac:dyDescent="0.3">
      <c r="A71" s="25" t="s">
        <v>56</v>
      </c>
      <c r="B71" s="70">
        <f>(B65-B69)-B72</f>
        <v>204.10469999999259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210</v>
      </c>
      <c r="P71" s="225">
        <v>25</v>
      </c>
      <c r="Q71" s="225">
        <v>2001</v>
      </c>
      <c r="R71" s="221">
        <v>944.7</v>
      </c>
      <c r="S71" s="225"/>
      <c r="T71" s="225"/>
      <c r="U71" s="189">
        <f t="shared" si="34"/>
        <v>0</v>
      </c>
      <c r="V71" s="189">
        <f t="shared" si="35"/>
        <v>7.0852500000000003</v>
      </c>
      <c r="W71" s="189">
        <f t="shared" si="36"/>
        <v>0</v>
      </c>
      <c r="X71" s="189">
        <f t="shared" si="37"/>
        <v>0</v>
      </c>
      <c r="Y71" s="189">
        <f t="shared" si="38"/>
        <v>937.61475000000007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>
        <v>180</v>
      </c>
      <c r="Q72" s="225">
        <v>2001</v>
      </c>
      <c r="R72" s="221">
        <v>947.75</v>
      </c>
      <c r="S72" s="225"/>
      <c r="T72" s="225"/>
      <c r="U72" s="189">
        <f t="shared" si="34"/>
        <v>0</v>
      </c>
      <c r="V72" s="189">
        <f t="shared" si="35"/>
        <v>7.1081249999999994</v>
      </c>
      <c r="W72" s="189">
        <f t="shared" si="36"/>
        <v>0</v>
      </c>
      <c r="X72" s="189">
        <f t="shared" si="37"/>
        <v>0</v>
      </c>
      <c r="Y72" s="189">
        <f t="shared" si="38"/>
        <v>940.64187500000003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 t="s">
        <v>285</v>
      </c>
      <c r="Q73" s="225">
        <v>1001</v>
      </c>
      <c r="R73" s="221">
        <v>1560.36</v>
      </c>
      <c r="S73" s="225"/>
      <c r="T73" s="225">
        <v>78.84</v>
      </c>
      <c r="U73" s="189">
        <f t="shared" si="34"/>
        <v>3.3982758620689659</v>
      </c>
      <c r="V73" s="189">
        <f t="shared" si="35"/>
        <v>11.702699999999998</v>
      </c>
      <c r="W73" s="189">
        <f t="shared" si="36"/>
        <v>0</v>
      </c>
      <c r="X73" s="189">
        <f t="shared" si="37"/>
        <v>1.9710000000000001</v>
      </c>
      <c r="Y73" s="189">
        <f t="shared" si="38"/>
        <v>1548.6572999999999</v>
      </c>
      <c r="Z73" s="189">
        <f t="shared" si="38"/>
        <v>0</v>
      </c>
      <c r="AA73" s="189">
        <f t="shared" si="39"/>
        <v>73.470724137931029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>
        <f>40+80+35+60+30+10+60</f>
        <v>315</v>
      </c>
      <c r="S74" s="225"/>
      <c r="T74" s="225"/>
      <c r="U74" s="189">
        <f t="shared" si="34"/>
        <v>0</v>
      </c>
      <c r="V74" s="189">
        <f t="shared" si="35"/>
        <v>2.3624999999999998</v>
      </c>
      <c r="W74" s="189">
        <f t="shared" si="36"/>
        <v>0</v>
      </c>
      <c r="X74" s="189">
        <f t="shared" si="37"/>
        <v>0</v>
      </c>
      <c r="Y74" s="189">
        <f t="shared" si="38"/>
        <v>312.63749999999999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173</v>
      </c>
      <c r="O75" s="301"/>
      <c r="P75" s="302"/>
      <c r="Q75" s="302"/>
      <c r="R75" s="192">
        <f>SUM(R70:R74)</f>
        <v>5306.01</v>
      </c>
      <c r="S75" s="192"/>
      <c r="T75" s="192">
        <f>SUM(T70:T74)</f>
        <v>224.4</v>
      </c>
      <c r="U75" s="192">
        <f>SUM(U70:U74)</f>
        <v>9.6724137931034502</v>
      </c>
      <c r="V75" s="192">
        <f t="shared" ref="V75:AA75" si="41">SUM(V70:V74)</f>
        <v>39.795074999999997</v>
      </c>
      <c r="W75" s="192">
        <f t="shared" si="41"/>
        <v>0</v>
      </c>
      <c r="X75" s="192">
        <f t="shared" si="41"/>
        <v>5.61</v>
      </c>
      <c r="Y75" s="192">
        <f t="shared" si="41"/>
        <v>5266.2149250000002</v>
      </c>
      <c r="Z75" s="192">
        <f t="shared" si="41"/>
        <v>0</v>
      </c>
      <c r="AA75" s="193">
        <f t="shared" si="41"/>
        <v>209.11758620689653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182.76</v>
      </c>
      <c r="Q78" s="87">
        <v>2.0299999999999998</v>
      </c>
      <c r="R78" s="82">
        <v>7.4999999999999997E-3</v>
      </c>
      <c r="S78" s="194">
        <f>+(P78+Q78)*R78</f>
        <v>1.3859249999999999</v>
      </c>
      <c r="T78" s="254">
        <f>+(P78+Q78)-S78</f>
        <v>183.40407500000001</v>
      </c>
      <c r="U78" s="211">
        <v>15.56</v>
      </c>
      <c r="V78" s="112"/>
      <c r="W78" s="113">
        <v>1.4999999999999999E-2</v>
      </c>
      <c r="X78" s="196">
        <f>+(U78+V78)*W78</f>
        <v>0.2334</v>
      </c>
      <c r="Y78" s="254">
        <f>+(U78+V78)-X78</f>
        <v>15.326600000000001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>
        <v>10.19</v>
      </c>
      <c r="R79" s="82">
        <v>7.4999999999999997E-3</v>
      </c>
      <c r="S79" s="194">
        <f t="shared" ref="S79:S97" si="43">+(P79+Q79)*R79</f>
        <v>7.6424999999999993E-2</v>
      </c>
      <c r="T79" s="254">
        <f t="shared" ref="T79:T97" si="44">+(P79+Q79)-S79</f>
        <v>10.113574999999999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7.7</v>
      </c>
      <c r="Q80" s="87"/>
      <c r="R80" s="82">
        <v>7.4999999999999997E-3</v>
      </c>
      <c r="S80" s="194">
        <f t="shared" si="43"/>
        <v>5.7749999999999996E-2</v>
      </c>
      <c r="T80" s="219">
        <f t="shared" si="44"/>
        <v>7.6422499999999998</v>
      </c>
      <c r="U80" s="211">
        <v>29.63</v>
      </c>
      <c r="V80" s="112"/>
      <c r="W80" s="113">
        <v>1.4999999999999999E-2</v>
      </c>
      <c r="X80" s="196">
        <f t="shared" si="45"/>
        <v>0.44444999999999996</v>
      </c>
      <c r="Y80" s="254">
        <f t="shared" si="46"/>
        <v>29.185549999999999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>
        <v>127.39</v>
      </c>
      <c r="R81" s="82">
        <v>7.4999999999999997E-3</v>
      </c>
      <c r="S81" s="194">
        <f t="shared" si="43"/>
        <v>0.95542499999999997</v>
      </c>
      <c r="T81" s="219">
        <f t="shared" si="44"/>
        <v>126.434575</v>
      </c>
      <c r="U81" s="211"/>
      <c r="V81" s="112"/>
      <c r="W81" s="113">
        <v>1.4999999999999999E-2</v>
      </c>
      <c r="X81" s="196">
        <f t="shared" si="45"/>
        <v>0</v>
      </c>
      <c r="Y81" s="25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48.2</v>
      </c>
      <c r="Q82" s="87">
        <v>43.05</v>
      </c>
      <c r="R82" s="82">
        <v>7.4999999999999997E-3</v>
      </c>
      <c r="S82" s="194">
        <f t="shared" si="43"/>
        <v>0.68437499999999996</v>
      </c>
      <c r="T82" s="219">
        <f t="shared" si="44"/>
        <v>90.565624999999997</v>
      </c>
      <c r="U82" s="112">
        <v>3.46</v>
      </c>
      <c r="V82" s="112"/>
      <c r="W82" s="113">
        <v>1.4999999999999999E-2</v>
      </c>
      <c r="X82" s="196">
        <f t="shared" si="45"/>
        <v>5.1899999999999995E-2</v>
      </c>
      <c r="Y82" s="254">
        <f t="shared" si="46"/>
        <v>3.4081000000000001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111.88</v>
      </c>
      <c r="Q83" s="87"/>
      <c r="R83" s="82">
        <v>7.4999999999999997E-3</v>
      </c>
      <c r="S83" s="194">
        <f t="shared" si="43"/>
        <v>0.83909999999999996</v>
      </c>
      <c r="T83" s="254">
        <f t="shared" si="44"/>
        <v>111.04089999999999</v>
      </c>
      <c r="U83" s="112">
        <v>1</v>
      </c>
      <c r="V83" s="112"/>
      <c r="W83" s="113">
        <v>1.4999999999999999E-2</v>
      </c>
      <c r="X83" s="196">
        <f t="shared" si="45"/>
        <v>1.4999999999999999E-2</v>
      </c>
      <c r="Y83" s="254">
        <f t="shared" si="46"/>
        <v>0.98499999999999999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55.19</v>
      </c>
      <c r="Q84" s="87">
        <v>196.73</v>
      </c>
      <c r="R84" s="82">
        <v>7.4999999999999997E-3</v>
      </c>
      <c r="S84" s="194">
        <f t="shared" si="43"/>
        <v>1.8893999999999997</v>
      </c>
      <c r="T84" s="254">
        <f t="shared" si="44"/>
        <v>250.03059999999999</v>
      </c>
      <c r="U84" s="112">
        <v>54.49</v>
      </c>
      <c r="V84" s="112"/>
      <c r="W84" s="113">
        <v>1.4999999999999999E-2</v>
      </c>
      <c r="X84" s="196">
        <f t="shared" si="45"/>
        <v>0.81735000000000002</v>
      </c>
      <c r="Y84" s="254">
        <f t="shared" si="46"/>
        <v>53.672650000000004</v>
      </c>
      <c r="Z84" s="87"/>
      <c r="AA84" s="189" t="s">
        <v>164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54.81</v>
      </c>
      <c r="Q85" s="87"/>
      <c r="R85" s="82">
        <v>7.4999999999999997E-3</v>
      </c>
      <c r="S85" s="194">
        <f t="shared" si="43"/>
        <v>0.41107500000000002</v>
      </c>
      <c r="T85" s="219">
        <f t="shared" si="44"/>
        <v>54.398925000000006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120.19</v>
      </c>
      <c r="Q86" s="87">
        <v>23.96</v>
      </c>
      <c r="R86" s="82">
        <v>7.4999999999999997E-3</v>
      </c>
      <c r="S86" s="194">
        <f t="shared" si="43"/>
        <v>1.0811250000000001</v>
      </c>
      <c r="T86" s="234">
        <f t="shared" si="44"/>
        <v>143.06887499999999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30.07</v>
      </c>
      <c r="Q87" s="87"/>
      <c r="R87" s="82">
        <v>7.4999999999999997E-3</v>
      </c>
      <c r="S87" s="194">
        <f t="shared" si="43"/>
        <v>0.225525</v>
      </c>
      <c r="T87" s="216">
        <f t="shared" si="44"/>
        <v>29.844474999999999</v>
      </c>
      <c r="U87" s="112">
        <v>21.15</v>
      </c>
      <c r="V87" s="112"/>
      <c r="W87" s="113">
        <v>1.4999999999999999E-2</v>
      </c>
      <c r="X87" s="196">
        <f t="shared" si="45"/>
        <v>0.31724999999999998</v>
      </c>
      <c r="Y87" s="254">
        <f t="shared" si="46"/>
        <v>20.832749999999997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>
        <v>450.19</v>
      </c>
      <c r="Q88" s="87">
        <v>175.97</v>
      </c>
      <c r="R88" s="82">
        <v>7.4999999999999997E-3</v>
      </c>
      <c r="S88" s="194">
        <f t="shared" si="43"/>
        <v>4.6961999999999993</v>
      </c>
      <c r="T88" s="234">
        <f t="shared" si="44"/>
        <v>621.46379999999999</v>
      </c>
      <c r="U88" s="112">
        <v>21.81</v>
      </c>
      <c r="V88" s="112"/>
      <c r="W88" s="113">
        <v>1.4999999999999999E-2</v>
      </c>
      <c r="X88" s="196">
        <f t="shared" si="45"/>
        <v>0.32715</v>
      </c>
      <c r="Y88" s="254">
        <f t="shared" si="46"/>
        <v>21.482849999999999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1060.99</v>
      </c>
      <c r="Q98" s="195">
        <f>SUM(Q78:Q97)</f>
        <v>579.31999999999994</v>
      </c>
      <c r="R98" s="111"/>
      <c r="S98" s="195">
        <f>SUM(S78:S97)</f>
        <v>12.302325</v>
      </c>
      <c r="T98" s="195">
        <f>SUM(T78:T97)</f>
        <v>1628.0076749999998</v>
      </c>
      <c r="U98" s="114">
        <f>SUM(U78:U97)</f>
        <v>147.1</v>
      </c>
      <c r="V98" s="114">
        <f>SUM(V78:V97)</f>
        <v>0</v>
      </c>
      <c r="W98" s="112"/>
      <c r="X98" s="197">
        <f>SUM(X78:X97)</f>
        <v>2.2065000000000001</v>
      </c>
      <c r="Y98" s="197">
        <f>SUM(Y78:Y97)</f>
        <v>144.89350000000002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8">
        <f>P78+U78+Q78</f>
        <v>200.35</v>
      </c>
      <c r="R100" s="84"/>
    </row>
    <row r="101" spans="14:30" x14ac:dyDescent="0.25">
      <c r="N101" s="85"/>
      <c r="P101" s="84"/>
      <c r="Q101" s="218">
        <f t="shared" ref="Q101:Q106" si="50">P79+Q79+U79</f>
        <v>10.19</v>
      </c>
      <c r="R101" s="84"/>
    </row>
    <row r="102" spans="14:30" x14ac:dyDescent="0.25">
      <c r="N102" s="85"/>
      <c r="P102" s="84"/>
      <c r="Q102" s="215">
        <f t="shared" si="50"/>
        <v>37.33</v>
      </c>
      <c r="R102" s="84"/>
    </row>
    <row r="103" spans="14:30" x14ac:dyDescent="0.25">
      <c r="N103" s="85"/>
      <c r="P103" s="84"/>
      <c r="Q103" s="218">
        <f t="shared" si="50"/>
        <v>127.39</v>
      </c>
      <c r="R103" s="84"/>
    </row>
    <row r="104" spans="14:30" x14ac:dyDescent="0.25">
      <c r="N104" s="85"/>
      <c r="P104" s="84"/>
      <c r="Q104" s="218">
        <f t="shared" si="50"/>
        <v>94.71</v>
      </c>
      <c r="R104" s="84"/>
    </row>
    <row r="105" spans="14:30" x14ac:dyDescent="0.25">
      <c r="N105" s="85"/>
      <c r="P105" s="84"/>
      <c r="Q105" s="246">
        <f t="shared" si="50"/>
        <v>112.88</v>
      </c>
      <c r="R105" s="84"/>
    </row>
    <row r="106" spans="14:30" x14ac:dyDescent="0.25">
      <c r="N106" s="85"/>
      <c r="P106" s="84"/>
      <c r="Q106" s="246">
        <f t="shared" si="50"/>
        <v>306.40999999999997</v>
      </c>
      <c r="R106" s="84"/>
    </row>
    <row r="107" spans="14:30" x14ac:dyDescent="0.25">
      <c r="N107" s="85"/>
      <c r="P107" s="84"/>
      <c r="Q107" s="84">
        <f>P85+Q85+U85</f>
        <v>54.81</v>
      </c>
      <c r="R107" s="84"/>
    </row>
    <row r="108" spans="14:30" x14ac:dyDescent="0.25">
      <c r="N108" s="85"/>
      <c r="P108" s="84"/>
      <c r="Q108" s="84">
        <f>P86+Q86+U86</f>
        <v>144.15</v>
      </c>
      <c r="R108" s="84"/>
    </row>
    <row r="109" spans="14:30" x14ac:dyDescent="0.25">
      <c r="N109" s="85"/>
      <c r="P109" s="84"/>
      <c r="Q109" s="84">
        <f>P87+Q87+U87</f>
        <v>51.22</v>
      </c>
      <c r="R109" s="84"/>
    </row>
    <row r="110" spans="14:30" x14ac:dyDescent="0.25">
      <c r="N110" s="85"/>
      <c r="P110" s="84"/>
      <c r="Q110" s="84">
        <f>P88+Q88+U88</f>
        <v>647.96999999999991</v>
      </c>
      <c r="R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1" zoomScale="90" zoomScaleNormal="90" workbookViewId="0">
      <selection activeCell="Y82" sqref="Y8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44767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1919.5</v>
      </c>
      <c r="C12" s="15"/>
      <c r="D12" s="56"/>
      <c r="E12" s="16"/>
      <c r="F12" s="56"/>
      <c r="G12" s="56"/>
      <c r="H12" s="17"/>
      <c r="I12" s="83">
        <v>1919.5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194</v>
      </c>
      <c r="Q12" s="158">
        <v>11</v>
      </c>
      <c r="R12" s="159">
        <v>808.4</v>
      </c>
      <c r="S12" s="160"/>
      <c r="T12" s="160">
        <v>23.38</v>
      </c>
      <c r="U12" s="189">
        <f>((T12/U$10)*U$9)</f>
        <v>1.0077586206896552</v>
      </c>
      <c r="V12" s="189">
        <f>R12*V$10</f>
        <v>6.0629999999999997</v>
      </c>
      <c r="W12" s="189">
        <f>+S12*V$10</f>
        <v>0</v>
      </c>
      <c r="X12" s="189">
        <f>+T12*X$10</f>
        <v>0.58450000000000002</v>
      </c>
      <c r="Y12" s="189">
        <f>R12-V12</f>
        <v>802.33699999999999</v>
      </c>
      <c r="Z12" s="189">
        <f>S12-W12</f>
        <v>0</v>
      </c>
      <c r="AA12" s="189">
        <f>T12-U12-X12</f>
        <v>21.787741379310347</v>
      </c>
      <c r="AB12" s="156"/>
    </row>
    <row r="13" spans="1:28" ht="15.75" x14ac:dyDescent="0.25">
      <c r="A13" s="86" t="s">
        <v>74</v>
      </c>
      <c r="B13" s="89">
        <v>1681</v>
      </c>
      <c r="C13" s="15"/>
      <c r="D13" s="56"/>
      <c r="E13" s="16"/>
      <c r="F13" s="56"/>
      <c r="G13" s="56"/>
      <c r="H13" s="17"/>
      <c r="I13" s="83">
        <v>1681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578</v>
      </c>
      <c r="Q13" s="158">
        <v>2</v>
      </c>
      <c r="R13" s="159">
        <v>964.52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7.2338999999999993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957.28610000000003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9632.130000000001</v>
      </c>
      <c r="C14" s="15"/>
      <c r="D14" s="56"/>
      <c r="E14" s="16"/>
      <c r="F14" s="56"/>
      <c r="G14" s="56"/>
      <c r="H14" s="17"/>
      <c r="I14" s="83">
        <v>9632.1299999999992</v>
      </c>
      <c r="J14" s="81">
        <f t="shared" si="0"/>
        <v>0</v>
      </c>
      <c r="K14" s="80"/>
      <c r="L14" s="213" t="s">
        <v>164</v>
      </c>
      <c r="M14" s="107"/>
      <c r="N14" s="104">
        <v>3</v>
      </c>
      <c r="O14" s="152" t="s">
        <v>68</v>
      </c>
      <c r="P14" s="158">
        <v>579</v>
      </c>
      <c r="Q14" s="158">
        <v>2</v>
      </c>
      <c r="R14" s="159">
        <v>649.28</v>
      </c>
      <c r="S14" s="160"/>
      <c r="T14" s="161">
        <v>17.96</v>
      </c>
      <c r="U14" s="189">
        <f t="shared" si="2"/>
        <v>0.77413793103448292</v>
      </c>
      <c r="V14" s="189">
        <f t="shared" si="3"/>
        <v>4.8695999999999993</v>
      </c>
      <c r="W14" s="189">
        <f t="shared" si="4"/>
        <v>0</v>
      </c>
      <c r="X14" s="189">
        <f t="shared" si="5"/>
        <v>0.44900000000000007</v>
      </c>
      <c r="Y14" s="189">
        <f t="shared" si="6"/>
        <v>644.41039999999998</v>
      </c>
      <c r="Z14" s="189">
        <f t="shared" si="6"/>
        <v>0</v>
      </c>
      <c r="AA14" s="189">
        <f t="shared" si="7"/>
        <v>16.736862068965518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558</v>
      </c>
      <c r="Q15" s="158">
        <v>4</v>
      </c>
      <c r="R15" s="159">
        <v>904.84</v>
      </c>
      <c r="S15" s="160"/>
      <c r="T15" s="161">
        <v>18.05</v>
      </c>
      <c r="U15" s="189">
        <f t="shared" si="2"/>
        <v>0.7780172413793105</v>
      </c>
      <c r="V15" s="189">
        <f t="shared" si="3"/>
        <v>6.7862999999999998</v>
      </c>
      <c r="W15" s="189">
        <f t="shared" si="4"/>
        <v>0</v>
      </c>
      <c r="X15" s="189">
        <f t="shared" si="5"/>
        <v>0.45125000000000004</v>
      </c>
      <c r="Y15" s="189">
        <f t="shared" si="6"/>
        <v>898.05370000000005</v>
      </c>
      <c r="Z15" s="189">
        <f t="shared" si="6"/>
        <v>0</v>
      </c>
      <c r="AA15" s="189">
        <f t="shared" si="7"/>
        <v>16.820732758620689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643</v>
      </c>
      <c r="Q16" s="158">
        <v>18</v>
      </c>
      <c r="R16" s="159">
        <v>534.36</v>
      </c>
      <c r="S16" s="160"/>
      <c r="T16" s="161"/>
      <c r="U16" s="189">
        <f t="shared" si="2"/>
        <v>0</v>
      </c>
      <c r="V16" s="189">
        <f t="shared" si="3"/>
        <v>4.0076999999999998</v>
      </c>
      <c r="W16" s="189">
        <f t="shared" si="4"/>
        <v>0</v>
      </c>
      <c r="X16" s="189">
        <f t="shared" si="5"/>
        <v>0</v>
      </c>
      <c r="Y16" s="189">
        <f t="shared" si="6"/>
        <v>530.35230000000001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644</v>
      </c>
      <c r="Q17" s="158">
        <v>18</v>
      </c>
      <c r="R17" s="159">
        <v>587.95000000000005</v>
      </c>
      <c r="S17" s="160"/>
      <c r="T17" s="161"/>
      <c r="U17" s="189">
        <f t="shared" si="2"/>
        <v>0</v>
      </c>
      <c r="V17" s="189">
        <f t="shared" si="3"/>
        <v>4.4096250000000001</v>
      </c>
      <c r="W17" s="189">
        <f t="shared" si="4"/>
        <v>0</v>
      </c>
      <c r="X17" s="189">
        <f t="shared" si="5"/>
        <v>0</v>
      </c>
      <c r="Y17" s="189">
        <f t="shared" si="6"/>
        <v>583.54037500000004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1681</v>
      </c>
      <c r="C19" s="95"/>
      <c r="D19" s="94"/>
      <c r="E19" s="96"/>
      <c r="F19" s="94"/>
      <c r="G19" s="94"/>
      <c r="H19" s="98"/>
      <c r="I19" s="99">
        <v>1681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9632.130000000001</v>
      </c>
      <c r="C20" s="95"/>
      <c r="D20" s="94"/>
      <c r="E20" s="96"/>
      <c r="F20" s="94"/>
      <c r="G20" s="94"/>
      <c r="H20" s="98"/>
      <c r="I20" s="99">
        <v>9632.1299999999992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19.829999999999998</v>
      </c>
      <c r="C29" s="100"/>
      <c r="D29" s="66"/>
      <c r="E29" s="67"/>
      <c r="F29" s="66"/>
      <c r="G29" s="66"/>
      <c r="H29" s="102"/>
      <c r="I29" s="79">
        <v>19.829999999999998</v>
      </c>
      <c r="J29" s="81">
        <f t="shared" si="0"/>
        <v>0</v>
      </c>
      <c r="K29" s="80">
        <v>19.829999999999998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113.6259</v>
      </c>
      <c r="C30" s="100"/>
      <c r="D30" s="66"/>
      <c r="E30" s="67"/>
      <c r="F30" s="66"/>
      <c r="G30" s="66"/>
      <c r="H30" s="102"/>
      <c r="I30" s="79">
        <v>113.63</v>
      </c>
      <c r="J30" s="81">
        <f t="shared" si="0"/>
        <v>-4.0999999999939973E-3</v>
      </c>
      <c r="K30" s="80">
        <v>113.63</v>
      </c>
      <c r="L30" s="186">
        <f>K30-B30</f>
        <v>4.0999999999939973E-3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19.829999999999998</v>
      </c>
      <c r="C35" s="95"/>
      <c r="D35" s="94"/>
      <c r="E35" s="96"/>
      <c r="F35" s="94"/>
      <c r="G35" s="94"/>
      <c r="H35" s="98"/>
      <c r="I35" s="99">
        <v>19.829999999999998</v>
      </c>
      <c r="J35" s="185">
        <f t="shared" si="0"/>
        <v>0</v>
      </c>
      <c r="K35" s="99">
        <v>19.829999999999998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113.6259</v>
      </c>
      <c r="C36" s="95"/>
      <c r="D36" s="94"/>
      <c r="E36" s="96"/>
      <c r="F36" s="94"/>
      <c r="G36" s="94"/>
      <c r="H36" s="98"/>
      <c r="I36" s="99">
        <v>113.63</v>
      </c>
      <c r="J36" s="185">
        <f t="shared" si="0"/>
        <v>-4.0999999999939973E-3</v>
      </c>
      <c r="K36" s="99">
        <v>113.63</v>
      </c>
      <c r="L36" s="187">
        <f t="shared" si="8"/>
        <v>4.0999999999939973E-3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39.69</v>
      </c>
      <c r="C37" s="100"/>
      <c r="D37" s="66"/>
      <c r="E37" s="67"/>
      <c r="F37" s="66"/>
      <c r="G37" s="66"/>
      <c r="H37" s="102"/>
      <c r="I37" s="79">
        <v>39.69</v>
      </c>
      <c r="J37" s="81">
        <f t="shared" si="0"/>
        <v>0</v>
      </c>
      <c r="K37" s="80">
        <f>17.23+10.14+12.32</f>
        <v>39.69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227.4237</v>
      </c>
      <c r="C38" s="100"/>
      <c r="D38" s="66"/>
      <c r="E38" s="67"/>
      <c r="F38" s="66"/>
      <c r="G38" s="66"/>
      <c r="H38" s="102"/>
      <c r="I38" s="79">
        <v>227.42</v>
      </c>
      <c r="J38" s="81">
        <f t="shared" si="0"/>
        <v>3.7000000000091404E-3</v>
      </c>
      <c r="K38" s="80">
        <v>227.42</v>
      </c>
      <c r="L38" s="186">
        <f t="shared" si="8"/>
        <v>-3.7000000000091404E-3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4449.3500000000004</v>
      </c>
      <c r="S42" s="190">
        <f t="shared" si="9"/>
        <v>0</v>
      </c>
      <c r="T42" s="190">
        <f t="shared" si="9"/>
        <v>59.39</v>
      </c>
      <c r="U42" s="190">
        <f t="shared" si="9"/>
        <v>2.5599137931034486</v>
      </c>
      <c r="V42" s="190">
        <f t="shared" si="9"/>
        <v>33.370125000000002</v>
      </c>
      <c r="W42" s="190">
        <f t="shared" si="9"/>
        <v>0</v>
      </c>
      <c r="X42" s="190">
        <f t="shared" si="9"/>
        <v>1.48475</v>
      </c>
      <c r="Y42" s="190">
        <f t="shared" si="9"/>
        <v>4415.979875</v>
      </c>
      <c r="Z42" s="190">
        <f t="shared" si="9"/>
        <v>0</v>
      </c>
      <c r="AA42" s="190">
        <f t="shared" si="9"/>
        <v>55.345336206896562</v>
      </c>
      <c r="AB42" s="166"/>
    </row>
    <row r="43" spans="1:28" ht="15.75" x14ac:dyDescent="0.25">
      <c r="A43" s="93" t="s">
        <v>101</v>
      </c>
      <c r="B43" s="97">
        <f>+B37+B39+B41</f>
        <v>39.69</v>
      </c>
      <c r="C43" s="95"/>
      <c r="D43" s="94"/>
      <c r="E43" s="96"/>
      <c r="F43" s="94"/>
      <c r="G43" s="94"/>
      <c r="H43" s="98"/>
      <c r="I43" s="99">
        <v>39.69</v>
      </c>
      <c r="J43" s="185">
        <f t="shared" si="0"/>
        <v>0</v>
      </c>
      <c r="K43" s="99">
        <v>39.69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551.5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4.1362499999999995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547.36374999999998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227.4237</v>
      </c>
      <c r="C44" s="95"/>
      <c r="D44" s="94"/>
      <c r="E44" s="96"/>
      <c r="F44" s="94"/>
      <c r="G44" s="94"/>
      <c r="H44" s="98"/>
      <c r="I44" s="99">
        <v>227.42</v>
      </c>
      <c r="J44" s="185">
        <f t="shared" si="0"/>
        <v>3.7000000000091404E-3</v>
      </c>
      <c r="K44" s="99">
        <v>227.42</v>
      </c>
      <c r="L44" s="187">
        <f>K44-B44</f>
        <v>-3.7000000000091404E-3</v>
      </c>
      <c r="M44" s="107"/>
      <c r="N44" s="104">
        <v>2</v>
      </c>
      <c r="O44" s="167" t="s">
        <v>69</v>
      </c>
      <c r="P44" s="158"/>
      <c r="Q44" s="158"/>
      <c r="R44" s="160">
        <v>1178.5999999999999</v>
      </c>
      <c r="S44" s="160"/>
      <c r="T44" s="155">
        <v>48</v>
      </c>
      <c r="U44" s="189">
        <f t="shared" si="10"/>
        <v>2.0689655172413794</v>
      </c>
      <c r="V44" s="189">
        <f t="shared" si="11"/>
        <v>8.8394999999999992</v>
      </c>
      <c r="W44" s="189">
        <f t="shared" si="12"/>
        <v>0</v>
      </c>
      <c r="X44" s="189">
        <f t="shared" si="13"/>
        <v>1.2000000000000002</v>
      </c>
      <c r="Y44" s="189">
        <f t="shared" si="14"/>
        <v>1169.7604999999999</v>
      </c>
      <c r="Z44" s="189">
        <f t="shared" si="14"/>
        <v>0</v>
      </c>
      <c r="AA44" s="189">
        <f t="shared" si="15"/>
        <v>44.731034482758616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4449.3500000000004</v>
      </c>
      <c r="C46" s="116">
        <v>7.4999999999999997E-3</v>
      </c>
      <c r="D46" s="117">
        <f>B46*C46</f>
        <v>33.370125000000002</v>
      </c>
      <c r="E46" s="172">
        <v>0</v>
      </c>
      <c r="F46" s="117">
        <f t="shared" ref="F46:F50" si="16">D46*E46</f>
        <v>0</v>
      </c>
      <c r="G46" s="117">
        <f t="shared" ref="G46:G51" si="17">B46-D46-F46</f>
        <v>4415.979875</v>
      </c>
      <c r="H46" s="173">
        <f>B$6+1</f>
        <v>44768</v>
      </c>
      <c r="I46" s="174">
        <v>4449.3500000000004</v>
      </c>
      <c r="J46" s="81">
        <f t="shared" si="0"/>
        <v>0</v>
      </c>
      <c r="K46" s="80"/>
      <c r="L46" s="186">
        <f t="shared" ref="L46:L64" si="18">+G46-K46</f>
        <v>4415.979875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1730.1</v>
      </c>
      <c r="C47" s="116">
        <v>7.4999999999999997E-3</v>
      </c>
      <c r="D47" s="117">
        <f t="shared" ref="D47:D50" si="19">B47*C47</f>
        <v>12.97575</v>
      </c>
      <c r="E47" s="172">
        <v>0</v>
      </c>
      <c r="F47" s="117">
        <f t="shared" si="16"/>
        <v>0</v>
      </c>
      <c r="G47" s="117">
        <f t="shared" si="17"/>
        <v>1717.1242499999998</v>
      </c>
      <c r="H47" s="173">
        <f>B$6+1</f>
        <v>44768</v>
      </c>
      <c r="I47" s="175">
        <v>1730.1</v>
      </c>
      <c r="J47" s="81">
        <f t="shared" si="0"/>
        <v>0</v>
      </c>
      <c r="K47" s="80"/>
      <c r="L47" s="186">
        <f t="shared" si="18"/>
        <v>1717.1242499999998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174</v>
      </c>
      <c r="B48" s="117">
        <f>R69</f>
        <v>101.14</v>
      </c>
      <c r="C48" s="116">
        <v>1.4999999999999999E-2</v>
      </c>
      <c r="D48" s="117">
        <f t="shared" si="19"/>
        <v>1.5170999999999999</v>
      </c>
      <c r="E48" s="172">
        <v>0</v>
      </c>
      <c r="F48" s="117">
        <f t="shared" si="16"/>
        <v>0</v>
      </c>
      <c r="G48" s="117">
        <f t="shared" si="17"/>
        <v>99.622900000000001</v>
      </c>
      <c r="H48" s="173">
        <f t="shared" ref="H48:H61" si="20">B$6+1</f>
        <v>44768</v>
      </c>
      <c r="I48" s="176">
        <v>101.14</v>
      </c>
      <c r="J48" s="81">
        <f t="shared" si="0"/>
        <v>0</v>
      </c>
      <c r="K48" s="80"/>
      <c r="L48" s="186">
        <f t="shared" si="18"/>
        <v>99.622900000000001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213</v>
      </c>
      <c r="B49" s="117">
        <f>R75</f>
        <v>5438.99</v>
      </c>
      <c r="C49" s="116">
        <v>7.4999999999999997E-3</v>
      </c>
      <c r="D49" s="117">
        <f t="shared" si="19"/>
        <v>40.792424999999994</v>
      </c>
      <c r="E49" s="172">
        <v>0</v>
      </c>
      <c r="F49" s="117">
        <f t="shared" si="16"/>
        <v>0</v>
      </c>
      <c r="G49" s="117">
        <f t="shared" si="17"/>
        <v>5398.1975750000001</v>
      </c>
      <c r="H49" s="173">
        <f t="shared" si="20"/>
        <v>44768</v>
      </c>
      <c r="I49" s="176">
        <v>5078.99</v>
      </c>
      <c r="J49" s="81">
        <f t="shared" si="0"/>
        <v>360</v>
      </c>
      <c r="K49" s="80"/>
      <c r="L49" s="186">
        <f t="shared" si="18"/>
        <v>5398.1975750000001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2692.49</v>
      </c>
      <c r="C50" s="116">
        <v>7.4999999999999997E-3</v>
      </c>
      <c r="D50" s="117">
        <f t="shared" si="19"/>
        <v>20.193674999999999</v>
      </c>
      <c r="E50" s="172">
        <v>0</v>
      </c>
      <c r="F50" s="117">
        <f t="shared" si="16"/>
        <v>0</v>
      </c>
      <c r="G50" s="117">
        <f t="shared" si="17"/>
        <v>2672.2963249999998</v>
      </c>
      <c r="H50" s="173">
        <f t="shared" si="20"/>
        <v>44768</v>
      </c>
      <c r="I50" s="175">
        <v>3083.73</v>
      </c>
      <c r="J50" s="81">
        <f t="shared" si="0"/>
        <v>-391.24000000000024</v>
      </c>
      <c r="K50" s="80"/>
      <c r="L50" s="186">
        <f t="shared" si="18"/>
        <v>2672.2963249999998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391.24</v>
      </c>
      <c r="C51" s="116">
        <v>1.4999999999999999E-2</v>
      </c>
      <c r="D51" s="117">
        <f>+B51*C51</f>
        <v>5.8685999999999998</v>
      </c>
      <c r="E51" s="172">
        <v>0</v>
      </c>
      <c r="F51" s="117">
        <f>D51*E51</f>
        <v>0</v>
      </c>
      <c r="G51" s="117">
        <f t="shared" si="17"/>
        <v>385.37139999999999</v>
      </c>
      <c r="H51" s="173">
        <f t="shared" si="20"/>
        <v>44768</v>
      </c>
      <c r="I51" s="175"/>
      <c r="J51" s="81">
        <f t="shared" si="0"/>
        <v>391.24</v>
      </c>
      <c r="K51" s="80"/>
      <c r="L51" s="186">
        <f t="shared" si="18"/>
        <v>385.37139999999999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59.39</v>
      </c>
      <c r="C52" s="116">
        <v>2.5000000000000001E-2</v>
      </c>
      <c r="D52" s="117">
        <f>B52*C52</f>
        <v>1.48475</v>
      </c>
      <c r="E52" s="172">
        <v>0.05</v>
      </c>
      <c r="F52" s="117">
        <f>(B52/E$10)*E52</f>
        <v>2.5599137931034486</v>
      </c>
      <c r="G52" s="117">
        <f>B52-D52-F52</f>
        <v>55.345336206896555</v>
      </c>
      <c r="H52" s="188">
        <f t="shared" si="20"/>
        <v>44768</v>
      </c>
      <c r="I52" s="176">
        <v>59.39</v>
      </c>
      <c r="J52" s="81">
        <f t="shared" si="0"/>
        <v>0</v>
      </c>
      <c r="K52" s="80"/>
      <c r="L52" s="186">
        <f t="shared" si="18"/>
        <v>55.345336206896555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48</v>
      </c>
      <c r="C53" s="116">
        <v>2.5000000000000001E-2</v>
      </c>
      <c r="D53" s="117">
        <f t="shared" ref="D53:D56" si="21">B53*C53</f>
        <v>1.2000000000000002</v>
      </c>
      <c r="E53" s="172">
        <v>0.05</v>
      </c>
      <c r="F53" s="117">
        <f t="shared" ref="F53:F56" si="22">(B53/E$10)*E53</f>
        <v>2.0689655172413794</v>
      </c>
      <c r="G53" s="117">
        <f t="shared" ref="G53:G58" si="23">B53-D53-F53</f>
        <v>44.731034482758616</v>
      </c>
      <c r="H53" s="188">
        <f t="shared" si="20"/>
        <v>44768</v>
      </c>
      <c r="I53" s="176">
        <v>48</v>
      </c>
      <c r="J53" s="81">
        <f t="shared" si="0"/>
        <v>0</v>
      </c>
      <c r="K53" s="80"/>
      <c r="L53" s="186">
        <f t="shared" si="18"/>
        <v>44.731034482758616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44768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44768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217.74</v>
      </c>
      <c r="C56" s="116">
        <v>2.5000000000000001E-2</v>
      </c>
      <c r="D56" s="117">
        <f t="shared" si="21"/>
        <v>5.4435000000000002</v>
      </c>
      <c r="E56" s="172">
        <v>0.05</v>
      </c>
      <c r="F56" s="117">
        <f t="shared" si="22"/>
        <v>9.3853448275862075</v>
      </c>
      <c r="G56" s="117">
        <f t="shared" si="23"/>
        <v>202.9111551724138</v>
      </c>
      <c r="H56" s="173">
        <f t="shared" si="20"/>
        <v>44768</v>
      </c>
      <c r="I56" s="176">
        <v>217.74</v>
      </c>
      <c r="J56" s="81">
        <f t="shared" si="0"/>
        <v>0</v>
      </c>
      <c r="K56" s="80"/>
      <c r="L56" s="186">
        <f t="shared" si="18"/>
        <v>202.9111551724138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 t="s">
        <v>164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122.84592499999999</v>
      </c>
      <c r="E61" s="177"/>
      <c r="F61" s="57">
        <f>SUM(F46:F58)</f>
        <v>14.014224137931036</v>
      </c>
      <c r="G61" s="57">
        <f>SUM(G46:G58)</f>
        <v>14991.579850862068</v>
      </c>
      <c r="H61" s="173">
        <f t="shared" si="20"/>
        <v>44768</v>
      </c>
      <c r="I61" s="175"/>
      <c r="J61" s="81">
        <f t="shared" si="0"/>
        <v>0</v>
      </c>
      <c r="K61" s="80"/>
      <c r="L61" s="186">
        <f t="shared" si="18"/>
        <v>14991.579850862068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360</v>
      </c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360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1730.1</v>
      </c>
      <c r="S63" s="191">
        <f>SUM(S43:S62)</f>
        <v>0</v>
      </c>
      <c r="T63" s="191">
        <f>SUM(T43:T62)</f>
        <v>48</v>
      </c>
      <c r="U63" s="191">
        <f t="shared" ref="U63:X63" si="26">SUM(U43:U62)</f>
        <v>2.0689655172413794</v>
      </c>
      <c r="V63" s="191">
        <f t="shared" si="26"/>
        <v>12.975749999999998</v>
      </c>
      <c r="W63" s="191">
        <f t="shared" si="26"/>
        <v>0</v>
      </c>
      <c r="X63" s="191">
        <f t="shared" si="26"/>
        <v>1.2000000000000002</v>
      </c>
      <c r="Y63" s="191">
        <f>SUM(Y43:Y62)</f>
        <v>1717.1242499999998</v>
      </c>
      <c r="Z63" s="191">
        <f t="shared" ref="Z63:AA63" si="27">SUM(Z43:Z62)</f>
        <v>0</v>
      </c>
      <c r="AA63" s="191">
        <f t="shared" si="27"/>
        <v>44.731034482758616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29983.159701724137</v>
      </c>
      <c r="H64" s="184"/>
      <c r="I64" s="175"/>
      <c r="J64" s="81">
        <f t="shared" si="0"/>
        <v>0</v>
      </c>
      <c r="K64" s="80"/>
      <c r="L64" s="186">
        <f t="shared" si="18"/>
        <v>29983.159701724137</v>
      </c>
      <c r="M64" s="130"/>
      <c r="N64" s="87">
        <v>1</v>
      </c>
      <c r="O64" s="122" t="s">
        <v>239</v>
      </c>
      <c r="P64" s="225">
        <v>5968</v>
      </c>
      <c r="Q64" s="225"/>
      <c r="R64" s="221">
        <v>101.14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0.75854999999999995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100.38145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26661.119599999998</v>
      </c>
      <c r="G65" s="22"/>
      <c r="L65" s="132"/>
      <c r="M65" s="131"/>
      <c r="N65" s="87">
        <v>2</v>
      </c>
      <c r="O65" s="122" t="s">
        <v>170</v>
      </c>
      <c r="P65" s="225"/>
      <c r="Q65" s="225"/>
      <c r="R65" s="221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170</v>
      </c>
      <c r="P66" s="225"/>
      <c r="Q66" s="225"/>
      <c r="R66" s="221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170</v>
      </c>
      <c r="P67" s="225"/>
      <c r="Q67" s="225"/>
      <c r="R67" s="221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26359.52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170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26625.85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101.14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0.75854999999999995</v>
      </c>
      <c r="W69" s="192">
        <f t="shared" si="34"/>
        <v>0</v>
      </c>
      <c r="X69" s="192">
        <f t="shared" si="34"/>
        <v>0</v>
      </c>
      <c r="Y69" s="192">
        <f t="shared" si="34"/>
        <v>100.38145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26359.52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230</v>
      </c>
      <c r="P70" s="87">
        <v>176</v>
      </c>
      <c r="Q70" s="87">
        <v>2001</v>
      </c>
      <c r="R70" s="137">
        <v>1627.29</v>
      </c>
      <c r="S70" s="87"/>
      <c r="T70" s="87">
        <v>19.829999999999998</v>
      </c>
      <c r="U70" s="189">
        <f t="shared" ref="U70:U74" si="35">((T70/U$10)*U$9)</f>
        <v>0.85474137931034488</v>
      </c>
      <c r="V70" s="189">
        <f t="shared" ref="V70:V74" si="36">R70*V$10</f>
        <v>12.204675</v>
      </c>
      <c r="W70" s="189">
        <f t="shared" ref="W70:W74" si="37">+S70*V$10</f>
        <v>0</v>
      </c>
      <c r="X70" s="189">
        <f t="shared" ref="X70:X74" si="38">+T70*X$10</f>
        <v>0.49574999999999997</v>
      </c>
      <c r="Y70" s="189">
        <f t="shared" ref="Y70:Z74" si="39">R70-V70</f>
        <v>1615.085325</v>
      </c>
      <c r="Z70" s="189">
        <f t="shared" si="39"/>
        <v>0</v>
      </c>
      <c r="AA70" s="189">
        <f t="shared" ref="AA70:AA74" si="40">T70-U70-X70</f>
        <v>18.479508620689653</v>
      </c>
      <c r="AB70" s="87"/>
    </row>
    <row r="71" spans="1:30" ht="28.5" customHeight="1" thickBot="1" x14ac:dyDescent="0.3">
      <c r="A71" s="25" t="s">
        <v>56</v>
      </c>
      <c r="B71" s="70">
        <f>(B65-B69)-B72</f>
        <v>35.269599999999627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230</v>
      </c>
      <c r="P71" s="87">
        <v>26</v>
      </c>
      <c r="Q71" s="87">
        <v>2001</v>
      </c>
      <c r="R71" s="137">
        <v>1.36</v>
      </c>
      <c r="S71" s="87"/>
      <c r="T71" s="137"/>
      <c r="U71" s="189">
        <f t="shared" si="35"/>
        <v>0</v>
      </c>
      <c r="V71" s="189">
        <f t="shared" si="36"/>
        <v>1.0200000000000001E-2</v>
      </c>
      <c r="W71" s="189">
        <f t="shared" si="37"/>
        <v>0</v>
      </c>
      <c r="X71" s="189">
        <f t="shared" si="38"/>
        <v>0</v>
      </c>
      <c r="Y71" s="189">
        <f t="shared" si="39"/>
        <v>1.3498000000000001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230</v>
      </c>
      <c r="P72" s="87">
        <v>6</v>
      </c>
      <c r="Q72" s="87">
        <v>1001</v>
      </c>
      <c r="R72" s="137">
        <v>617.65</v>
      </c>
      <c r="S72" s="87"/>
      <c r="T72" s="137">
        <v>197.91</v>
      </c>
      <c r="U72" s="189">
        <f t="shared" si="35"/>
        <v>8.5306034482758619</v>
      </c>
      <c r="V72" s="189">
        <f t="shared" si="36"/>
        <v>4.6323749999999997</v>
      </c>
      <c r="W72" s="189">
        <f t="shared" si="37"/>
        <v>0</v>
      </c>
      <c r="X72" s="189">
        <f t="shared" si="38"/>
        <v>4.9477500000000001</v>
      </c>
      <c r="Y72" s="189">
        <f t="shared" si="39"/>
        <v>613.01762499999995</v>
      </c>
      <c r="Z72" s="189">
        <f t="shared" si="39"/>
        <v>0</v>
      </c>
      <c r="AA72" s="189">
        <f t="shared" si="40"/>
        <v>184.43164655172413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230</v>
      </c>
      <c r="P73" s="87" t="s">
        <v>286</v>
      </c>
      <c r="Q73" s="87">
        <v>2001</v>
      </c>
      <c r="R73" s="137">
        <f>205.2+2627.49</f>
        <v>2832.6899999999996</v>
      </c>
      <c r="S73" s="87"/>
      <c r="T73" s="87"/>
      <c r="U73" s="189">
        <f t="shared" si="35"/>
        <v>0</v>
      </c>
      <c r="V73" s="189">
        <f t="shared" si="36"/>
        <v>21.245174999999996</v>
      </c>
      <c r="W73" s="189">
        <f t="shared" si="37"/>
        <v>0</v>
      </c>
      <c r="X73" s="189">
        <f t="shared" si="38"/>
        <v>0</v>
      </c>
      <c r="Y73" s="189">
        <f t="shared" si="39"/>
        <v>2811.4448249999996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80+60+40+105+75</f>
        <v>360</v>
      </c>
      <c r="S74" s="87"/>
      <c r="T74" s="137"/>
      <c r="U74" s="189">
        <f t="shared" si="35"/>
        <v>0</v>
      </c>
      <c r="V74" s="189">
        <f t="shared" si="36"/>
        <v>2.6999999999999997</v>
      </c>
      <c r="W74" s="189">
        <f t="shared" si="37"/>
        <v>0</v>
      </c>
      <c r="X74" s="189">
        <f t="shared" si="38"/>
        <v>0</v>
      </c>
      <c r="Y74" s="189">
        <f t="shared" si="39"/>
        <v>357.3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5438.99</v>
      </c>
      <c r="S75" s="192"/>
      <c r="T75" s="192">
        <f>SUM(T70:T74)</f>
        <v>217.74</v>
      </c>
      <c r="U75" s="192">
        <f>SUM(U70:U74)</f>
        <v>9.3853448275862075</v>
      </c>
      <c r="V75" s="192">
        <f t="shared" ref="V75:AA75" si="42">SUM(V70:V74)</f>
        <v>40.792424999999994</v>
      </c>
      <c r="W75" s="192">
        <f t="shared" si="42"/>
        <v>0</v>
      </c>
      <c r="X75" s="192">
        <f t="shared" si="42"/>
        <v>5.4435000000000002</v>
      </c>
      <c r="Y75" s="192">
        <f t="shared" si="42"/>
        <v>5398.1975749999992</v>
      </c>
      <c r="Z75" s="192">
        <f t="shared" si="42"/>
        <v>0</v>
      </c>
      <c r="AA75" s="193">
        <f t="shared" si="42"/>
        <v>202.91115517241377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15.75" x14ac:dyDescent="0.25">
      <c r="E77" s="228" t="s">
        <v>71</v>
      </c>
      <c r="F77" s="323"/>
      <c r="G77" s="323"/>
      <c r="H77" s="224" t="s">
        <v>158</v>
      </c>
      <c r="I77" s="228" t="s">
        <v>165</v>
      </c>
      <c r="J77" s="228" t="s">
        <v>166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E78" s="228"/>
      <c r="F78" s="225"/>
      <c r="G78" s="225"/>
      <c r="H78" s="226"/>
      <c r="I78" s="87"/>
      <c r="J78" s="87"/>
      <c r="N78" s="87">
        <v>1</v>
      </c>
      <c r="O78" s="87" t="s">
        <v>110</v>
      </c>
      <c r="P78" s="137">
        <v>115.69</v>
      </c>
      <c r="Q78" s="137">
        <v>20.6</v>
      </c>
      <c r="R78" s="82">
        <v>7.4999999999999997E-3</v>
      </c>
      <c r="S78" s="194">
        <f>+(P78+Q78)*R78</f>
        <v>1.0221749999999998</v>
      </c>
      <c r="T78" s="219">
        <f>+(P78+Q78)-S78</f>
        <v>135.26782499999999</v>
      </c>
      <c r="U78" s="211">
        <v>100.34</v>
      </c>
      <c r="V78" s="112"/>
      <c r="W78" s="113">
        <v>1.4999999999999999E-2</v>
      </c>
      <c r="X78" s="196">
        <f>+(U78+V78)*W78</f>
        <v>1.5051000000000001</v>
      </c>
      <c r="Y78" s="254">
        <f>+(U78+V78)-X78</f>
        <v>98.834900000000005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28"/>
      <c r="F79" s="225"/>
      <c r="G79" s="63"/>
      <c r="H79" s="227"/>
      <c r="I79" s="87"/>
      <c r="J79" s="87"/>
      <c r="N79" s="87">
        <v>2</v>
      </c>
      <c r="O79" s="87" t="s">
        <v>110</v>
      </c>
      <c r="P79" s="137">
        <v>216.81</v>
      </c>
      <c r="Q79" s="137">
        <v>104.24</v>
      </c>
      <c r="R79" s="82">
        <v>7.4999999999999997E-3</v>
      </c>
      <c r="S79" s="194">
        <f t="shared" ref="S79:S97" si="44">+(P79+Q79)*R79</f>
        <v>2.4078750000000002</v>
      </c>
      <c r="T79" s="219">
        <f t="shared" ref="T79:T97" si="45">+(P79+Q79)-S79</f>
        <v>318.64212500000002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15.75" x14ac:dyDescent="0.25">
      <c r="E80" s="228"/>
      <c r="F80" s="87"/>
      <c r="G80" s="137"/>
      <c r="H80" s="230"/>
      <c r="I80" s="87"/>
      <c r="J80" s="87"/>
      <c r="N80" s="87">
        <v>3</v>
      </c>
      <c r="O80" s="87" t="s">
        <v>110</v>
      </c>
      <c r="P80" s="137">
        <v>170.18</v>
      </c>
      <c r="Q80" s="137">
        <v>22.49</v>
      </c>
      <c r="R80" s="82">
        <v>7.4999999999999997E-3</v>
      </c>
      <c r="S80" s="194">
        <f t="shared" si="44"/>
        <v>1.445025</v>
      </c>
      <c r="T80" s="219">
        <f t="shared" si="45"/>
        <v>191.22497500000003</v>
      </c>
      <c r="U80" s="211">
        <v>6.6</v>
      </c>
      <c r="V80" s="112"/>
      <c r="W80" s="113">
        <v>1.4999999999999999E-2</v>
      </c>
      <c r="X80" s="196">
        <f t="shared" si="46"/>
        <v>9.8999999999999991E-2</v>
      </c>
      <c r="Y80" s="254">
        <f t="shared" si="47"/>
        <v>6.5009999999999994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5:30" ht="15.75" x14ac:dyDescent="0.25">
      <c r="E81" s="228"/>
      <c r="F81" s="87"/>
      <c r="G81" s="137"/>
      <c r="H81" s="223"/>
      <c r="I81" s="87"/>
      <c r="J81" s="87"/>
      <c r="N81" s="87">
        <v>4</v>
      </c>
      <c r="O81" s="87" t="s">
        <v>110</v>
      </c>
      <c r="P81" s="137">
        <v>335.57</v>
      </c>
      <c r="Q81" s="137">
        <v>29.17</v>
      </c>
      <c r="R81" s="82">
        <v>7.4999999999999997E-3</v>
      </c>
      <c r="S81" s="194">
        <f t="shared" si="44"/>
        <v>2.7355499999999999</v>
      </c>
      <c r="T81" s="219">
        <f t="shared" si="45"/>
        <v>362.00445000000002</v>
      </c>
      <c r="U81" s="211">
        <v>54.05</v>
      </c>
      <c r="V81" s="112"/>
      <c r="W81" s="113">
        <v>1.4999999999999999E-2</v>
      </c>
      <c r="X81" s="196">
        <f t="shared" si="46"/>
        <v>0.81074999999999997</v>
      </c>
      <c r="Y81" s="254">
        <f t="shared" si="47"/>
        <v>53.239249999999998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5:30" ht="15.75" x14ac:dyDescent="0.25">
      <c r="E82" s="228"/>
      <c r="F82" s="87"/>
      <c r="G82" s="137"/>
      <c r="H82" s="87"/>
      <c r="I82" s="87"/>
      <c r="J82" s="87"/>
      <c r="N82" s="87">
        <v>5</v>
      </c>
      <c r="O82" s="87" t="s">
        <v>110</v>
      </c>
      <c r="P82" s="137">
        <v>123.25</v>
      </c>
      <c r="Q82" s="137">
        <v>3.14</v>
      </c>
      <c r="R82" s="82">
        <v>7.4999999999999997E-3</v>
      </c>
      <c r="S82" s="194">
        <f t="shared" si="44"/>
        <v>0.94792500000000002</v>
      </c>
      <c r="T82" s="219">
        <f t="shared" si="45"/>
        <v>125.442075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5:30" ht="15.75" x14ac:dyDescent="0.25">
      <c r="E83" s="229"/>
      <c r="F83" s="87"/>
      <c r="G83" s="137"/>
      <c r="H83" s="87"/>
      <c r="I83" s="87"/>
      <c r="J83" s="87"/>
      <c r="N83" s="87">
        <v>6</v>
      </c>
      <c r="O83" s="87" t="s">
        <v>110</v>
      </c>
      <c r="P83" s="137">
        <v>623.53</v>
      </c>
      <c r="Q83" s="137">
        <v>198.36</v>
      </c>
      <c r="R83" s="82">
        <v>7.4999999999999997E-3</v>
      </c>
      <c r="S83" s="194">
        <f t="shared" si="44"/>
        <v>6.1641749999999993</v>
      </c>
      <c r="T83" s="219">
        <f t="shared" si="45"/>
        <v>815.72582499999999</v>
      </c>
      <c r="U83" s="211">
        <v>103.94</v>
      </c>
      <c r="V83" s="112"/>
      <c r="W83" s="113">
        <v>1.4999999999999999E-2</v>
      </c>
      <c r="X83" s="196">
        <f t="shared" si="46"/>
        <v>1.5590999999999999</v>
      </c>
      <c r="Y83" s="254">
        <f>+(U83+V83)-X83</f>
        <v>102.3809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5:30" ht="15.75" x14ac:dyDescent="0.25">
      <c r="E84" s="228"/>
      <c r="F84" s="87"/>
      <c r="G84" s="87"/>
      <c r="H84" s="89"/>
      <c r="I84" s="87"/>
      <c r="J84" s="87"/>
      <c r="N84" s="87">
        <v>7</v>
      </c>
      <c r="O84" s="87" t="s">
        <v>110</v>
      </c>
      <c r="P84" s="137">
        <v>296.49</v>
      </c>
      <c r="Q84" s="87">
        <v>37.94</v>
      </c>
      <c r="R84" s="82">
        <v>7.4999999999999997E-3</v>
      </c>
      <c r="S84" s="194">
        <f t="shared" si="44"/>
        <v>2.5082249999999999</v>
      </c>
      <c r="T84" s="219">
        <f t="shared" si="45"/>
        <v>331.92177500000003</v>
      </c>
      <c r="U84" s="112">
        <v>66.64</v>
      </c>
      <c r="V84" s="112"/>
      <c r="W84" s="113">
        <v>1.4999999999999999E-2</v>
      </c>
      <c r="X84" s="196">
        <f t="shared" si="46"/>
        <v>0.99959999999999993</v>
      </c>
      <c r="Y84" s="254">
        <f t="shared" si="47"/>
        <v>65.6404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5:30" ht="15.75" x14ac:dyDescent="0.25">
      <c r="E85" s="228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4"/>
        <v>0</v>
      </c>
      <c r="T85" s="219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217">
        <f>+(U85+V85)-X85</f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5:30" ht="15.75" x14ac:dyDescent="0.25">
      <c r="E86" s="228"/>
      <c r="F86" s="87"/>
      <c r="G86" s="81"/>
      <c r="H86" s="87"/>
      <c r="I86" s="87"/>
      <c r="J86" s="87"/>
      <c r="N86" s="87">
        <v>9</v>
      </c>
      <c r="O86" s="87" t="s">
        <v>110</v>
      </c>
      <c r="P86" s="87">
        <v>228.56</v>
      </c>
      <c r="Q86" s="87">
        <v>166.47</v>
      </c>
      <c r="R86" s="82">
        <v>7.4999999999999997E-3</v>
      </c>
      <c r="S86" s="194">
        <f t="shared" si="44"/>
        <v>2.9627249999999998</v>
      </c>
      <c r="T86" s="219">
        <f t="shared" si="45"/>
        <v>392.067275</v>
      </c>
      <c r="U86" s="112">
        <v>59.67</v>
      </c>
      <c r="V86" s="112"/>
      <c r="W86" s="113">
        <v>1.4999999999999999E-2</v>
      </c>
      <c r="X86" s="196">
        <f t="shared" si="46"/>
        <v>0.89505000000000001</v>
      </c>
      <c r="Y86" s="254">
        <f t="shared" si="47"/>
        <v>58.774950000000004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5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219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217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2110.08</v>
      </c>
      <c r="Q98" s="195">
        <f>SUM(Q78:Q97)</f>
        <v>582.41</v>
      </c>
      <c r="R98" s="111"/>
      <c r="S98" s="195">
        <f>SUM(S78:S97)</f>
        <v>20.193674999999999</v>
      </c>
      <c r="T98" s="195">
        <f>SUM(T78:T97)</f>
        <v>2672.2963249999998</v>
      </c>
      <c r="U98" s="114">
        <f>SUM(U78:U97)</f>
        <v>391.24</v>
      </c>
      <c r="V98" s="114">
        <f>SUM(V78:V97)</f>
        <v>0</v>
      </c>
      <c r="W98" s="112"/>
      <c r="X98" s="197">
        <f>SUM(X78:X97)</f>
        <v>5.8685999999999998</v>
      </c>
      <c r="Y98" s="197">
        <f>SUM(Y78:Y97)</f>
        <v>385.37139999999999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236.63</v>
      </c>
    </row>
    <row r="101" spans="14:30" x14ac:dyDescent="0.25">
      <c r="N101" s="85"/>
      <c r="P101" s="215">
        <f>P79+Q79+U79</f>
        <v>321.05</v>
      </c>
    </row>
    <row r="102" spans="14:30" x14ac:dyDescent="0.25">
      <c r="N102" s="85"/>
      <c r="P102" s="215">
        <f>P80+U80+Q80</f>
        <v>199.27</v>
      </c>
    </row>
    <row r="103" spans="14:30" x14ac:dyDescent="0.25">
      <c r="N103" s="85"/>
      <c r="P103" s="215">
        <f>P81+Q81+U81</f>
        <v>418.79</v>
      </c>
    </row>
    <row r="104" spans="14:30" x14ac:dyDescent="0.25">
      <c r="N104" s="85"/>
      <c r="P104" s="215">
        <f>P82+U82+Q82</f>
        <v>126.39</v>
      </c>
    </row>
    <row r="105" spans="14:30" x14ac:dyDescent="0.25">
      <c r="N105" s="85"/>
      <c r="P105" s="215">
        <f>P83+Q83+U83</f>
        <v>925.82999999999993</v>
      </c>
    </row>
    <row r="106" spans="14:30" x14ac:dyDescent="0.25">
      <c r="N106" s="85"/>
      <c r="P106" s="218">
        <f>P84+Q84+U84</f>
        <v>401.07</v>
      </c>
    </row>
    <row r="107" spans="14:30" x14ac:dyDescent="0.25">
      <c r="N107" s="85"/>
      <c r="P107" s="241">
        <f>P85+Q85+U85</f>
        <v>0</v>
      </c>
    </row>
    <row r="108" spans="14:30" x14ac:dyDescent="0.25">
      <c r="N108" s="85"/>
      <c r="P108" s="84">
        <f>P86+Q86+U86</f>
        <v>454.7</v>
      </c>
    </row>
    <row r="109" spans="14:30" x14ac:dyDescent="0.25">
      <c r="N109" s="85"/>
      <c r="P109" s="84">
        <f>P87+Q87+U87</f>
        <v>0</v>
      </c>
    </row>
    <row r="110" spans="14:30" x14ac:dyDescent="0.25">
      <c r="N110" s="85"/>
      <c r="P110" s="84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A77" sqref="A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44738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>
        <v>5.74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>
        <v>5.75</v>
      </c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892</v>
      </c>
      <c r="C12" s="15"/>
      <c r="D12" s="56"/>
      <c r="E12" s="16"/>
      <c r="F12" s="56"/>
      <c r="G12" s="56"/>
      <c r="H12" s="17"/>
      <c r="I12" s="83">
        <v>892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195</v>
      </c>
      <c r="Q12" s="158">
        <v>11</v>
      </c>
      <c r="R12" s="159">
        <v>1141.5999999999999</v>
      </c>
      <c r="S12" s="160"/>
      <c r="T12" s="160">
        <v>55.04</v>
      </c>
      <c r="U12" s="189">
        <f>((T12/U$10)*U$9)</f>
        <v>2.3724137931034486</v>
      </c>
      <c r="V12" s="189">
        <f>R12*V$10</f>
        <v>8.5619999999999994</v>
      </c>
      <c r="W12" s="189">
        <f>+S12*V$10</f>
        <v>0</v>
      </c>
      <c r="X12" s="189">
        <f>+T12*X$10</f>
        <v>1.3760000000000001</v>
      </c>
      <c r="Y12" s="189">
        <f>R12-V12</f>
        <v>1133.038</v>
      </c>
      <c r="Z12" s="189">
        <f>S12-W12</f>
        <v>0</v>
      </c>
      <c r="AA12" s="189">
        <f>T12-U12-X12</f>
        <v>51.291586206896554</v>
      </c>
      <c r="AB12" s="156"/>
    </row>
    <row r="13" spans="1:28" ht="15.75" x14ac:dyDescent="0.25">
      <c r="A13" s="86" t="s">
        <v>74</v>
      </c>
      <c r="B13" s="89">
        <v>928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928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196</v>
      </c>
      <c r="Q13" s="158">
        <v>11</v>
      </c>
      <c r="R13" s="159">
        <v>2485.66</v>
      </c>
      <c r="S13" s="160"/>
      <c r="T13" s="161">
        <v>66.739999999999995</v>
      </c>
      <c r="U13" s="189">
        <f t="shared" ref="U13:U41" si="2">((T13/U$10)*U$9)</f>
        <v>2.8767241379310349</v>
      </c>
      <c r="V13" s="189">
        <f t="shared" ref="V13:V41" si="3">R13*V$10</f>
        <v>18.642449999999997</v>
      </c>
      <c r="W13" s="189">
        <f t="shared" ref="W13:W41" si="4">+S13*V$10</f>
        <v>0</v>
      </c>
      <c r="X13" s="189">
        <f t="shared" ref="X13:X41" si="5">+T13*X$10</f>
        <v>1.6684999999999999</v>
      </c>
      <c r="Y13" s="189">
        <f t="shared" ref="Y13:Z41" si="6">R13-V13</f>
        <v>2467.01755</v>
      </c>
      <c r="Z13" s="189">
        <f t="shared" si="6"/>
        <v>0</v>
      </c>
      <c r="AA13" s="189">
        <f t="shared" ref="AA13:AA41" si="7">T13-U13-X13</f>
        <v>62.194775862068958</v>
      </c>
      <c r="AB13" s="156"/>
    </row>
    <row r="14" spans="1:28" ht="15.75" x14ac:dyDescent="0.25">
      <c r="A14" s="86" t="s">
        <v>81</v>
      </c>
      <c r="B14" s="57">
        <f>B13*B8</f>
        <v>5317.4400000000005</v>
      </c>
      <c r="C14" s="15"/>
      <c r="D14" s="56"/>
      <c r="E14" s="16"/>
      <c r="F14" s="56"/>
      <c r="G14" s="56"/>
      <c r="H14" s="17"/>
      <c r="I14" s="83"/>
      <c r="J14" s="81">
        <f t="shared" si="0"/>
        <v>5317.4400000000005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580</v>
      </c>
      <c r="Q14" s="158">
        <v>2</v>
      </c>
      <c r="R14" s="159">
        <v>648.91999999999996</v>
      </c>
      <c r="S14" s="160"/>
      <c r="T14" s="161"/>
      <c r="U14" s="189">
        <f t="shared" si="2"/>
        <v>0</v>
      </c>
      <c r="V14" s="189">
        <f t="shared" si="3"/>
        <v>4.8668999999999993</v>
      </c>
      <c r="W14" s="189">
        <f t="shared" si="4"/>
        <v>0</v>
      </c>
      <c r="X14" s="189">
        <f t="shared" si="5"/>
        <v>0</v>
      </c>
      <c r="Y14" s="189">
        <f t="shared" si="6"/>
        <v>644.05309999999997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69</v>
      </c>
      <c r="C15" s="15"/>
      <c r="D15" s="56"/>
      <c r="E15" s="16"/>
      <c r="F15" s="56"/>
      <c r="G15" s="56"/>
      <c r="H15" s="17"/>
      <c r="I15" s="83"/>
      <c r="J15" s="81">
        <f t="shared" si="0"/>
        <v>69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559</v>
      </c>
      <c r="Q15" s="158">
        <v>4</v>
      </c>
      <c r="R15" s="159">
        <v>476.82</v>
      </c>
      <c r="S15" s="160"/>
      <c r="T15" s="161"/>
      <c r="U15" s="189">
        <f t="shared" si="2"/>
        <v>0</v>
      </c>
      <c r="V15" s="189">
        <f t="shared" si="3"/>
        <v>3.5761499999999997</v>
      </c>
      <c r="W15" s="189">
        <f t="shared" si="4"/>
        <v>0</v>
      </c>
      <c r="X15" s="189">
        <f t="shared" si="5"/>
        <v>0</v>
      </c>
      <c r="Y15" s="189">
        <f t="shared" si="6"/>
        <v>473.24385000000001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396.06</v>
      </c>
      <c r="C16" s="15"/>
      <c r="D16" s="56"/>
      <c r="E16" s="16"/>
      <c r="F16" s="56"/>
      <c r="G16" s="56"/>
      <c r="H16" s="17"/>
      <c r="I16" s="83"/>
      <c r="J16" s="81">
        <f t="shared" si="0"/>
        <v>396.06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560</v>
      </c>
      <c r="Q16" s="158">
        <v>4</v>
      </c>
      <c r="R16" s="159">
        <v>2135.5</v>
      </c>
      <c r="S16" s="160"/>
      <c r="T16" s="161">
        <v>256.8</v>
      </c>
      <c r="U16" s="189">
        <f t="shared" si="2"/>
        <v>11.068965517241381</v>
      </c>
      <c r="V16" s="189">
        <f t="shared" si="3"/>
        <v>16.016249999999999</v>
      </c>
      <c r="W16" s="189">
        <f t="shared" si="4"/>
        <v>0</v>
      </c>
      <c r="X16" s="189">
        <f t="shared" si="5"/>
        <v>6.4200000000000008</v>
      </c>
      <c r="Y16" s="189">
        <f t="shared" si="6"/>
        <v>2119.4837499999999</v>
      </c>
      <c r="Z16" s="189">
        <f t="shared" si="6"/>
        <v>0</v>
      </c>
      <c r="AA16" s="189">
        <f t="shared" si="7"/>
        <v>239.31103448275863</v>
      </c>
      <c r="AB16" s="156"/>
    </row>
    <row r="17" spans="1:28" ht="15.75" x14ac:dyDescent="0.25">
      <c r="A17" s="86" t="s">
        <v>78</v>
      </c>
      <c r="B17" s="56">
        <v>848</v>
      </c>
      <c r="C17" s="15"/>
      <c r="D17" s="56"/>
      <c r="E17" s="16"/>
      <c r="F17" s="56"/>
      <c r="G17" s="56"/>
      <c r="H17" s="17"/>
      <c r="I17" s="83"/>
      <c r="J17" s="81">
        <f t="shared" si="0"/>
        <v>848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645</v>
      </c>
      <c r="Q17" s="158">
        <v>18</v>
      </c>
      <c r="R17" s="159">
        <v>1138.8699999999999</v>
      </c>
      <c r="S17" s="160"/>
      <c r="T17" s="161">
        <v>156.18</v>
      </c>
      <c r="U17" s="189">
        <f t="shared" si="2"/>
        <v>6.7318965517241383</v>
      </c>
      <c r="V17" s="189">
        <f t="shared" si="3"/>
        <v>8.5415249999999983</v>
      </c>
      <c r="W17" s="189">
        <f t="shared" si="4"/>
        <v>0</v>
      </c>
      <c r="X17" s="189">
        <f t="shared" si="5"/>
        <v>3.9045000000000005</v>
      </c>
      <c r="Y17" s="189">
        <f t="shared" si="6"/>
        <v>1130.3284749999998</v>
      </c>
      <c r="Z17" s="189">
        <f t="shared" si="6"/>
        <v>0</v>
      </c>
      <c r="AA17" s="189">
        <f t="shared" si="7"/>
        <v>145.54360344827586</v>
      </c>
      <c r="AB17" s="156"/>
    </row>
    <row r="18" spans="1:28" ht="15.75" x14ac:dyDescent="0.25">
      <c r="A18" s="86" t="s">
        <v>81</v>
      </c>
      <c r="B18" s="57">
        <f>B17*B10</f>
        <v>4876</v>
      </c>
      <c r="C18" s="15"/>
      <c r="D18" s="56"/>
      <c r="E18" s="16"/>
      <c r="F18" s="56"/>
      <c r="G18" s="56"/>
      <c r="H18" s="17"/>
      <c r="I18" s="83"/>
      <c r="J18" s="81">
        <f t="shared" si="0"/>
        <v>4876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646</v>
      </c>
      <c r="Q18" s="158">
        <v>18</v>
      </c>
      <c r="R18" s="159">
        <v>1846.58</v>
      </c>
      <c r="S18" s="160"/>
      <c r="T18" s="161"/>
      <c r="U18" s="189">
        <f t="shared" si="2"/>
        <v>0</v>
      </c>
      <c r="V18" s="189">
        <f t="shared" si="3"/>
        <v>13.849349999999999</v>
      </c>
      <c r="W18" s="189">
        <f t="shared" si="4"/>
        <v>0</v>
      </c>
      <c r="X18" s="189">
        <f t="shared" si="5"/>
        <v>0</v>
      </c>
      <c r="Y18" s="189">
        <f t="shared" si="6"/>
        <v>1832.73065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1845</v>
      </c>
      <c r="C19" s="95"/>
      <c r="D19" s="94"/>
      <c r="E19" s="96"/>
      <c r="F19" s="94"/>
      <c r="G19" s="94"/>
      <c r="H19" s="98"/>
      <c r="I19" s="99"/>
      <c r="J19" s="185">
        <f>B19-I19</f>
        <v>1845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10589.5</v>
      </c>
      <c r="C20" s="95"/>
      <c r="D20" s="94"/>
      <c r="E20" s="96"/>
      <c r="F20" s="94"/>
      <c r="G20" s="94"/>
      <c r="H20" s="98"/>
      <c r="I20" s="99">
        <v>10608.75</v>
      </c>
      <c r="J20" s="185">
        <f t="shared" si="0"/>
        <v>-19.25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>
        <v>10.11</v>
      </c>
      <c r="J29" s="81">
        <f t="shared" si="0"/>
        <v>-10.11</v>
      </c>
      <c r="K29" s="80">
        <v>10.11</v>
      </c>
      <c r="L29" s="186">
        <f>K29-B29</f>
        <v>10.11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60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>
        <v>55.71</v>
      </c>
      <c r="J30" s="81">
        <f t="shared" si="0"/>
        <v>-55.71</v>
      </c>
      <c r="K30" s="80">
        <v>55.71</v>
      </c>
      <c r="L30" s="186">
        <f>K30-B30</f>
        <v>55.71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>
        <v>10.11</v>
      </c>
      <c r="C33" s="100"/>
      <c r="D33" s="66"/>
      <c r="E33" s="67"/>
      <c r="F33" s="66"/>
      <c r="G33" s="66"/>
      <c r="H33" s="102"/>
      <c r="I33" s="79"/>
      <c r="J33" s="81">
        <f t="shared" si="0"/>
        <v>10.11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58.132499999999993</v>
      </c>
      <c r="C34" s="100"/>
      <c r="D34" s="66"/>
      <c r="E34" s="67"/>
      <c r="F34" s="66"/>
      <c r="G34" s="66"/>
      <c r="H34" s="102"/>
      <c r="I34" s="79"/>
      <c r="J34" s="81">
        <f t="shared" si="0"/>
        <v>58.132499999999993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10.11</v>
      </c>
      <c r="C35" s="95"/>
      <c r="D35" s="94"/>
      <c r="E35" s="96"/>
      <c r="F35" s="94"/>
      <c r="G35" s="94"/>
      <c r="H35" s="98"/>
      <c r="I35" s="99">
        <v>10.11</v>
      </c>
      <c r="J35" s="185">
        <f t="shared" si="0"/>
        <v>0</v>
      </c>
      <c r="K35" s="99">
        <v>10.11</v>
      </c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58.132499999999993</v>
      </c>
      <c r="C36" s="95"/>
      <c r="D36" s="94"/>
      <c r="E36" s="96"/>
      <c r="F36" s="94"/>
      <c r="G36" s="94"/>
      <c r="H36" s="98"/>
      <c r="I36" s="99">
        <v>55.71</v>
      </c>
      <c r="J36" s="185">
        <f t="shared" si="0"/>
        <v>2.4224999999999923</v>
      </c>
      <c r="K36" s="99">
        <v>55.71</v>
      </c>
      <c r="L36" s="187">
        <f t="shared" si="8"/>
        <v>-2.4224999999999923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19.170000000000002</v>
      </c>
      <c r="C37" s="100"/>
      <c r="D37" s="66"/>
      <c r="E37" s="67"/>
      <c r="F37" s="66"/>
      <c r="G37" s="66"/>
      <c r="H37" s="102"/>
      <c r="I37" s="79">
        <v>95.93</v>
      </c>
      <c r="J37" s="81">
        <f t="shared" si="0"/>
        <v>-76.760000000000005</v>
      </c>
      <c r="K37" s="80">
        <v>95.93</v>
      </c>
      <c r="L37" s="186">
        <f t="shared" si="8"/>
        <v>76.760000000000005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109.84410000000001</v>
      </c>
      <c r="C38" s="100"/>
      <c r="D38" s="66"/>
      <c r="E38" s="67"/>
      <c r="F38" s="66"/>
      <c r="G38" s="66"/>
      <c r="H38" s="102"/>
      <c r="I38" s="79">
        <v>528.57000000000005</v>
      </c>
      <c r="J38" s="81">
        <f t="shared" si="0"/>
        <v>-418.72590000000002</v>
      </c>
      <c r="K38" s="80">
        <v>528.57000000000005</v>
      </c>
      <c r="L38" s="186">
        <f t="shared" si="8"/>
        <v>418.72590000000002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>
        <v>76.760000000000005</v>
      </c>
      <c r="C41" s="100"/>
      <c r="D41" s="66"/>
      <c r="E41" s="67"/>
      <c r="F41" s="66"/>
      <c r="G41" s="66"/>
      <c r="H41" s="102"/>
      <c r="I41" s="79"/>
      <c r="J41" s="81">
        <f t="shared" si="0"/>
        <v>76.760000000000005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441.37</v>
      </c>
      <c r="C42" s="100"/>
      <c r="D42" s="66"/>
      <c r="E42" s="67"/>
      <c r="F42" s="66"/>
      <c r="G42" s="66"/>
      <c r="H42" s="102"/>
      <c r="I42" s="79"/>
      <c r="J42" s="81">
        <f t="shared" si="0"/>
        <v>441.37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9873.9499999999989</v>
      </c>
      <c r="S42" s="190">
        <f t="shared" si="9"/>
        <v>0</v>
      </c>
      <c r="T42" s="190">
        <f t="shared" si="9"/>
        <v>534.76</v>
      </c>
      <c r="U42" s="190">
        <f t="shared" si="9"/>
        <v>23.05</v>
      </c>
      <c r="V42" s="190">
        <f t="shared" si="9"/>
        <v>74.054624999999987</v>
      </c>
      <c r="W42" s="190">
        <f t="shared" si="9"/>
        <v>0</v>
      </c>
      <c r="X42" s="190">
        <f t="shared" si="9"/>
        <v>13.369000000000002</v>
      </c>
      <c r="Y42" s="190">
        <f t="shared" si="9"/>
        <v>9799.8953750000001</v>
      </c>
      <c r="Z42" s="190">
        <f t="shared" si="9"/>
        <v>0</v>
      </c>
      <c r="AA42" s="190">
        <f t="shared" si="9"/>
        <v>498.34100000000001</v>
      </c>
      <c r="AB42" s="166"/>
    </row>
    <row r="43" spans="1:28" ht="15.75" x14ac:dyDescent="0.25">
      <c r="A43" s="93" t="s">
        <v>101</v>
      </c>
      <c r="B43" s="97">
        <f>+B37+B39+B41</f>
        <v>95.93</v>
      </c>
      <c r="C43" s="95"/>
      <c r="D43" s="94"/>
      <c r="E43" s="96"/>
      <c r="F43" s="94"/>
      <c r="G43" s="94"/>
      <c r="H43" s="98"/>
      <c r="I43" s="99"/>
      <c r="J43" s="185">
        <f t="shared" si="0"/>
        <v>95.93</v>
      </c>
      <c r="K43" s="99">
        <v>95.93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421.72</v>
      </c>
      <c r="S43" s="160"/>
      <c r="T43" s="155"/>
      <c r="U43" s="189">
        <f t="shared" ref="U43:U62" si="10">((T43/U$10)*U$9)</f>
        <v>0</v>
      </c>
      <c r="V43" s="189">
        <f t="shared" ref="V43:V62" si="11">R43*V$10</f>
        <v>3.1629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418.55710000000005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551.21410000000003</v>
      </c>
      <c r="C44" s="95"/>
      <c r="D44" s="94"/>
      <c r="E44" s="96"/>
      <c r="F44" s="94"/>
      <c r="G44" s="94"/>
      <c r="H44" s="98"/>
      <c r="I44" s="99">
        <v>95.93</v>
      </c>
      <c r="J44" s="185">
        <f t="shared" si="0"/>
        <v>455.28410000000002</v>
      </c>
      <c r="K44" s="99">
        <v>528.57000000000005</v>
      </c>
      <c r="L44" s="187">
        <f>K44-B44</f>
        <v>-22.64409999999998</v>
      </c>
      <c r="M44" s="107"/>
      <c r="N44" s="104">
        <v>2</v>
      </c>
      <c r="O44" s="167" t="s">
        <v>69</v>
      </c>
      <c r="P44" s="158"/>
      <c r="Q44" s="158"/>
      <c r="R44" s="160">
        <v>250.85</v>
      </c>
      <c r="S44" s="160"/>
      <c r="T44" s="155"/>
      <c r="U44" s="189">
        <f t="shared" si="10"/>
        <v>0</v>
      </c>
      <c r="V44" s="189">
        <f t="shared" si="11"/>
        <v>1.8813749999999998</v>
      </c>
      <c r="W44" s="189">
        <f t="shared" si="12"/>
        <v>0</v>
      </c>
      <c r="X44" s="189">
        <f t="shared" si="13"/>
        <v>0</v>
      </c>
      <c r="Y44" s="189">
        <f t="shared" si="14"/>
        <v>248.968625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9873.9499999999989</v>
      </c>
      <c r="C46" s="116">
        <v>7.4999999999999997E-3</v>
      </c>
      <c r="D46" s="117">
        <f>B46*C46</f>
        <v>74.054624999999987</v>
      </c>
      <c r="E46" s="172">
        <v>0</v>
      </c>
      <c r="F46" s="117">
        <f t="shared" ref="F46:F50" si="16">D46*E46</f>
        <v>0</v>
      </c>
      <c r="G46" s="117">
        <f t="shared" ref="G46:G51" si="17">B46-D46-F46</f>
        <v>9799.8953749999982</v>
      </c>
      <c r="H46" s="173">
        <f>B$6+1</f>
        <v>44739</v>
      </c>
      <c r="I46" s="174">
        <v>9873.9500000000007</v>
      </c>
      <c r="J46" s="81">
        <f t="shared" si="0"/>
        <v>0</v>
      </c>
      <c r="K46" s="80"/>
      <c r="L46" s="186">
        <f t="shared" ref="L46:L64" si="18">+G46-K46</f>
        <v>9799.8953749999982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672.57</v>
      </c>
      <c r="C47" s="116">
        <v>7.4999999999999997E-3</v>
      </c>
      <c r="D47" s="117">
        <f t="shared" ref="D47:D50" si="19">B47*C47</f>
        <v>5.0442749999999998</v>
      </c>
      <c r="E47" s="172">
        <v>0</v>
      </c>
      <c r="F47" s="117">
        <f t="shared" si="16"/>
        <v>0</v>
      </c>
      <c r="G47" s="117">
        <f t="shared" si="17"/>
        <v>667.52572500000008</v>
      </c>
      <c r="H47" s="173">
        <f>B$6+1</f>
        <v>44739</v>
      </c>
      <c r="I47" s="175">
        <v>672.57</v>
      </c>
      <c r="J47" s="81">
        <f t="shared" si="0"/>
        <v>0</v>
      </c>
      <c r="K47" s="80"/>
      <c r="L47" s="186">
        <f t="shared" si="18"/>
        <v>667.52572500000008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100.65</v>
      </c>
      <c r="C48" s="116">
        <v>1.4999999999999999E-2</v>
      </c>
      <c r="D48" s="117">
        <f t="shared" si="19"/>
        <v>1.5097499999999999</v>
      </c>
      <c r="E48" s="172">
        <v>0</v>
      </c>
      <c r="F48" s="117">
        <f t="shared" si="16"/>
        <v>0</v>
      </c>
      <c r="G48" s="117">
        <f t="shared" si="17"/>
        <v>99.140250000000009</v>
      </c>
      <c r="H48" s="173">
        <f t="shared" ref="H48:H61" si="20">B$6+1</f>
        <v>44739</v>
      </c>
      <c r="I48" s="176">
        <v>100.65</v>
      </c>
      <c r="J48" s="81">
        <f t="shared" si="0"/>
        <v>0</v>
      </c>
      <c r="K48" s="80"/>
      <c r="L48" s="186">
        <f t="shared" si="18"/>
        <v>99.140250000000009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200</v>
      </c>
      <c r="B49" s="117">
        <f>R75</f>
        <v>2974.23</v>
      </c>
      <c r="C49" s="116">
        <v>7.4999999999999997E-3</v>
      </c>
      <c r="D49" s="117">
        <f t="shared" si="19"/>
        <v>22.306725</v>
      </c>
      <c r="E49" s="172">
        <v>0</v>
      </c>
      <c r="F49" s="117">
        <f t="shared" si="16"/>
        <v>0</v>
      </c>
      <c r="G49" s="117">
        <f t="shared" si="17"/>
        <v>2951.9232750000001</v>
      </c>
      <c r="H49" s="173">
        <f t="shared" si="20"/>
        <v>44739</v>
      </c>
      <c r="I49" s="176">
        <v>2481.4</v>
      </c>
      <c r="J49" s="81">
        <f t="shared" si="0"/>
        <v>492.82999999999993</v>
      </c>
      <c r="K49" s="80"/>
      <c r="L49" s="186">
        <f t="shared" si="18"/>
        <v>2951.9232750000001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1547.5700000000002</v>
      </c>
      <c r="C50" s="116">
        <v>7.4999999999999997E-3</v>
      </c>
      <c r="D50" s="117">
        <f t="shared" si="19"/>
        <v>11.606775000000001</v>
      </c>
      <c r="E50" s="172">
        <v>0</v>
      </c>
      <c r="F50" s="117">
        <f t="shared" si="16"/>
        <v>0</v>
      </c>
      <c r="G50" s="117">
        <f t="shared" si="17"/>
        <v>1535.9632250000002</v>
      </c>
      <c r="H50" s="173">
        <f t="shared" si="20"/>
        <v>44739</v>
      </c>
      <c r="I50" s="175">
        <v>2168.88</v>
      </c>
      <c r="J50" s="81">
        <f t="shared" si="0"/>
        <v>-621.30999999999995</v>
      </c>
      <c r="K50" s="80"/>
      <c r="L50" s="186">
        <f t="shared" si="18"/>
        <v>1535.9632250000002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621.30999999999995</v>
      </c>
      <c r="C51" s="116">
        <v>1.4999999999999999E-2</v>
      </c>
      <c r="D51" s="117">
        <f>+B51*C51</f>
        <v>9.3196499999999993</v>
      </c>
      <c r="E51" s="172">
        <v>0</v>
      </c>
      <c r="F51" s="117">
        <f>D51*E51</f>
        <v>0</v>
      </c>
      <c r="G51" s="117">
        <f t="shared" si="17"/>
        <v>611.99034999999992</v>
      </c>
      <c r="H51" s="173">
        <f t="shared" si="20"/>
        <v>44739</v>
      </c>
      <c r="I51" s="175"/>
      <c r="J51" s="81">
        <f t="shared" si="0"/>
        <v>621.30999999999995</v>
      </c>
      <c r="K51" s="80"/>
      <c r="L51" s="186">
        <f t="shared" si="18"/>
        <v>611.99034999999992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534.76</v>
      </c>
      <c r="C52" s="116">
        <v>2.5000000000000001E-2</v>
      </c>
      <c r="D52" s="117">
        <f>B52*C52</f>
        <v>13.369</v>
      </c>
      <c r="E52" s="172">
        <v>0.05</v>
      </c>
      <c r="F52" s="117">
        <f>(B52/E$10)*E52</f>
        <v>23.05</v>
      </c>
      <c r="G52" s="117">
        <f>B52-D52-F52</f>
        <v>498.34099999999995</v>
      </c>
      <c r="H52" s="188">
        <f t="shared" si="20"/>
        <v>44739</v>
      </c>
      <c r="I52" s="176">
        <v>534.76</v>
      </c>
      <c r="J52" s="81">
        <f t="shared" si="0"/>
        <v>0</v>
      </c>
      <c r="K52" s="80"/>
      <c r="L52" s="186">
        <f t="shared" si="18"/>
        <v>498.34099999999995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44739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44739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44739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175</v>
      </c>
      <c r="B56" s="117">
        <f>T75</f>
        <v>183.66</v>
      </c>
      <c r="C56" s="116">
        <v>2.5000000000000001E-2</v>
      </c>
      <c r="D56" s="117">
        <f t="shared" si="21"/>
        <v>4.5914999999999999</v>
      </c>
      <c r="E56" s="172">
        <v>0.05</v>
      </c>
      <c r="F56" s="117">
        <f t="shared" si="22"/>
        <v>7.916379310344829</v>
      </c>
      <c r="G56" s="117">
        <f t="shared" si="23"/>
        <v>171.15212068965516</v>
      </c>
      <c r="H56" s="173">
        <f t="shared" si="20"/>
        <v>44739</v>
      </c>
      <c r="I56" s="176">
        <v>183.66</v>
      </c>
      <c r="J56" s="81">
        <f t="shared" si="0"/>
        <v>0</v>
      </c>
      <c r="K56" s="80"/>
      <c r="L56" s="186">
        <f t="shared" si="18"/>
        <v>171.15212068965516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44741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44743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44768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141.80229999999997</v>
      </c>
      <c r="E61" s="177"/>
      <c r="F61" s="57">
        <f>SUM(F46:F58)</f>
        <v>30.966379310344831</v>
      </c>
      <c r="G61" s="57">
        <f>SUM(G46:G58)</f>
        <v>16335.931320689653</v>
      </c>
      <c r="H61" s="173">
        <f t="shared" si="20"/>
        <v>44739</v>
      </c>
      <c r="I61" s="175"/>
      <c r="J61" s="81">
        <f t="shared" si="0"/>
        <v>0</v>
      </c>
      <c r="K61" s="80"/>
      <c r="L61" s="186">
        <f t="shared" si="18"/>
        <v>16335.931320689653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v>235</v>
      </c>
      <c r="C62" s="18"/>
      <c r="D62" s="101"/>
      <c r="E62" s="178"/>
      <c r="F62" s="101"/>
      <c r="G62" s="57"/>
      <c r="H62" s="173">
        <f>B$6+1</f>
        <v>44739</v>
      </c>
      <c r="I62" s="176"/>
      <c r="J62" s="81">
        <f t="shared" si="0"/>
        <v>235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672.57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5.0442749999999998</v>
      </c>
      <c r="W63" s="191">
        <f t="shared" si="26"/>
        <v>0</v>
      </c>
      <c r="X63" s="191">
        <f t="shared" si="26"/>
        <v>0</v>
      </c>
      <c r="Y63" s="191">
        <f>SUM(Y43:Y62)</f>
        <v>667.52572500000008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32671.862641379306</v>
      </c>
      <c r="H64" s="184"/>
      <c r="I64" s="175"/>
      <c r="J64" s="81">
        <f t="shared" si="0"/>
        <v>0</v>
      </c>
      <c r="K64" s="80"/>
      <c r="L64" s="186">
        <f t="shared" si="18"/>
        <v>32671.862641379306</v>
      </c>
      <c r="M64" s="130"/>
      <c r="N64" s="87">
        <v>1</v>
      </c>
      <c r="O64" s="122" t="s">
        <v>231</v>
      </c>
      <c r="P64" s="87">
        <v>8830</v>
      </c>
      <c r="Q64" s="225"/>
      <c r="R64" s="221">
        <v>5.73</v>
      </c>
      <c r="S64" s="87"/>
      <c r="T64" s="87"/>
      <c r="U64" s="189">
        <f t="shared" ref="U64:U68" si="28">((T64/U$10)*U$9)</f>
        <v>0</v>
      </c>
      <c r="V64" s="189">
        <f t="shared" ref="V64:V68" si="29">R64*V$10</f>
        <v>4.2974999999999999E-2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5.6870250000000002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28364.546599999998</v>
      </c>
      <c r="G65" s="22"/>
      <c r="L65" s="132"/>
      <c r="M65" s="131"/>
      <c r="N65" s="87">
        <v>2</v>
      </c>
      <c r="O65" s="122" t="s">
        <v>231</v>
      </c>
      <c r="P65" s="87"/>
      <c r="Q65" s="225"/>
      <c r="R65" s="221">
        <v>4.3600000000000003</v>
      </c>
      <c r="S65" s="87"/>
      <c r="T65" s="87"/>
      <c r="U65" s="189">
        <f t="shared" si="28"/>
        <v>0</v>
      </c>
      <c r="V65" s="189">
        <f t="shared" si="29"/>
        <v>3.27E-2</v>
      </c>
      <c r="W65" s="189">
        <f t="shared" si="30"/>
        <v>0</v>
      </c>
      <c r="X65" s="189">
        <f t="shared" si="31"/>
        <v>0</v>
      </c>
      <c r="Y65" s="189">
        <f t="shared" si="32"/>
        <v>4.3273000000000001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231</v>
      </c>
      <c r="P66" s="87"/>
      <c r="Q66" s="225"/>
      <c r="R66" s="225">
        <v>11.56</v>
      </c>
      <c r="S66" s="87"/>
      <c r="T66" s="87"/>
      <c r="U66" s="189">
        <f t="shared" si="28"/>
        <v>0</v>
      </c>
      <c r="V66" s="189">
        <f t="shared" si="29"/>
        <v>8.6699999999999999E-2</v>
      </c>
      <c r="W66" s="189">
        <f t="shared" si="30"/>
        <v>0</v>
      </c>
      <c r="X66" s="189">
        <f t="shared" si="31"/>
        <v>0</v>
      </c>
      <c r="Y66" s="189">
        <f t="shared" si="32"/>
        <v>11.4733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231</v>
      </c>
      <c r="P67" s="87"/>
      <c r="Q67" s="225"/>
      <c r="R67" s="225">
        <v>79</v>
      </c>
      <c r="S67" s="87"/>
      <c r="T67" s="87"/>
      <c r="U67" s="189">
        <f t="shared" si="28"/>
        <v>0</v>
      </c>
      <c r="V67" s="189">
        <f t="shared" si="29"/>
        <v>0.59250000000000003</v>
      </c>
      <c r="W67" s="189">
        <f t="shared" si="30"/>
        <v>0</v>
      </c>
      <c r="X67" s="189">
        <f t="shared" si="31"/>
        <v>0</v>
      </c>
      <c r="Y67" s="189">
        <f t="shared" si="32"/>
        <v>78.407499999999999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231</v>
      </c>
      <c r="P68" s="87"/>
      <c r="Q68" s="87"/>
      <c r="R68" s="225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28021.040000000001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100.65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0.75487499999999996</v>
      </c>
      <c r="W69" s="192">
        <f t="shared" si="34"/>
        <v>0</v>
      </c>
      <c r="X69" s="192">
        <f t="shared" si="34"/>
        <v>0</v>
      </c>
      <c r="Y69" s="192">
        <f t="shared" si="34"/>
        <v>99.895125000000007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230</v>
      </c>
      <c r="P70" s="87" t="s">
        <v>287</v>
      </c>
      <c r="Q70" s="87">
        <v>1001</v>
      </c>
      <c r="R70" s="236">
        <v>1992.99</v>
      </c>
      <c r="S70" s="87"/>
      <c r="T70" s="240">
        <v>183.66</v>
      </c>
      <c r="U70" s="189">
        <f t="shared" ref="U70:U74" si="35">((T70/U$10)*U$9)</f>
        <v>7.916379310344829</v>
      </c>
      <c r="V70" s="189">
        <f t="shared" ref="V70:V74" si="36">R70*V$10</f>
        <v>14.947424999999999</v>
      </c>
      <c r="W70" s="189">
        <f t="shared" ref="W70:W74" si="37">+S70*V$10</f>
        <v>0</v>
      </c>
      <c r="X70" s="189">
        <f t="shared" ref="X70:X74" si="38">+T70*X$10</f>
        <v>4.5914999999999999</v>
      </c>
      <c r="Y70" s="189">
        <f t="shared" ref="Y70:Z74" si="39">R70-V70</f>
        <v>1978.0425749999999</v>
      </c>
      <c r="Z70" s="189">
        <f t="shared" si="39"/>
        <v>0</v>
      </c>
      <c r="AA70" s="189">
        <f t="shared" ref="AA70:AA74" si="40">T70-U70-X70</f>
        <v>171.15212068965516</v>
      </c>
      <c r="AB70" s="87"/>
    </row>
    <row r="71" spans="1:30" ht="28.5" customHeight="1" thickBot="1" x14ac:dyDescent="0.3">
      <c r="A71" s="25" t="s">
        <v>56</v>
      </c>
      <c r="B71" s="70">
        <f>(B65-B69)-B72</f>
        <v>343.50659999999698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230</v>
      </c>
      <c r="P71" s="87">
        <v>178</v>
      </c>
      <c r="Q71" s="87">
        <v>2001</v>
      </c>
      <c r="R71" s="236">
        <v>418.56</v>
      </c>
      <c r="S71" s="87"/>
      <c r="T71" s="87"/>
      <c r="U71" s="189">
        <f t="shared" si="35"/>
        <v>0</v>
      </c>
      <c r="V71" s="189">
        <f t="shared" si="36"/>
        <v>3.1391999999999998</v>
      </c>
      <c r="W71" s="189">
        <f t="shared" si="37"/>
        <v>0</v>
      </c>
      <c r="X71" s="189">
        <f t="shared" si="38"/>
        <v>0</v>
      </c>
      <c r="Y71" s="189">
        <f t="shared" si="39"/>
        <v>415.42079999999999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230</v>
      </c>
      <c r="P72" s="87">
        <v>184</v>
      </c>
      <c r="Q72" s="87">
        <v>2001</v>
      </c>
      <c r="R72" s="236">
        <v>284.89</v>
      </c>
      <c r="S72" s="87"/>
      <c r="T72" s="87"/>
      <c r="U72" s="189">
        <f t="shared" si="35"/>
        <v>0</v>
      </c>
      <c r="V72" s="189">
        <f t="shared" si="36"/>
        <v>2.1366749999999999</v>
      </c>
      <c r="W72" s="189">
        <f t="shared" si="37"/>
        <v>0</v>
      </c>
      <c r="X72" s="189">
        <f t="shared" si="38"/>
        <v>0</v>
      </c>
      <c r="Y72" s="189">
        <f t="shared" si="39"/>
        <v>282.75332499999996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230</v>
      </c>
      <c r="P73" s="87">
        <v>185</v>
      </c>
      <c r="Q73" s="87">
        <v>2001</v>
      </c>
      <c r="R73" s="236">
        <v>42.79</v>
      </c>
      <c r="S73" s="87"/>
      <c r="T73" s="137"/>
      <c r="U73" s="189">
        <f t="shared" si="35"/>
        <v>0</v>
      </c>
      <c r="V73" s="189">
        <f t="shared" si="36"/>
        <v>0.32092499999999996</v>
      </c>
      <c r="W73" s="189">
        <f t="shared" si="37"/>
        <v>0</v>
      </c>
      <c r="X73" s="189">
        <f t="shared" si="38"/>
        <v>0</v>
      </c>
      <c r="Y73" s="189">
        <f t="shared" si="39"/>
        <v>42.469074999999997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137">
        <f>65+60+20+10+80</f>
        <v>235</v>
      </c>
      <c r="S74" s="87"/>
      <c r="T74" s="87"/>
      <c r="U74" s="189">
        <f t="shared" si="35"/>
        <v>0</v>
      </c>
      <c r="V74" s="189">
        <f t="shared" si="36"/>
        <v>1.7625</v>
      </c>
      <c r="W74" s="189">
        <f t="shared" si="37"/>
        <v>0</v>
      </c>
      <c r="X74" s="189">
        <f t="shared" si="38"/>
        <v>0</v>
      </c>
      <c r="Y74" s="189">
        <f t="shared" si="39"/>
        <v>233.23750000000001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2974.23</v>
      </c>
      <c r="S75" s="192"/>
      <c r="T75" s="192">
        <f>SUM(T70:T74)</f>
        <v>183.66</v>
      </c>
      <c r="U75" s="192">
        <f>SUM(U70:U74)</f>
        <v>7.916379310344829</v>
      </c>
      <c r="V75" s="192">
        <f t="shared" ref="V75:AA75" si="42">SUM(V70:V74)</f>
        <v>22.306724999999997</v>
      </c>
      <c r="W75" s="192">
        <f t="shared" si="42"/>
        <v>0</v>
      </c>
      <c r="X75" s="192">
        <f t="shared" si="42"/>
        <v>4.5914999999999999</v>
      </c>
      <c r="Y75" s="192">
        <f t="shared" si="42"/>
        <v>2951.9232750000001</v>
      </c>
      <c r="Z75" s="192">
        <f t="shared" si="42"/>
        <v>0</v>
      </c>
      <c r="AA75" s="193">
        <f t="shared" si="42"/>
        <v>171.15212068965516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283.36</v>
      </c>
      <c r="Q78" s="87">
        <v>49.63</v>
      </c>
      <c r="R78" s="82">
        <v>7.4999999999999997E-3</v>
      </c>
      <c r="S78" s="194">
        <f>+(P78+Q78)*R78</f>
        <v>2.4974249999999998</v>
      </c>
      <c r="T78" s="219">
        <f>+(P78+Q78)-S78</f>
        <v>330.49257499999999</v>
      </c>
      <c r="U78" s="211">
        <v>67.739999999999995</v>
      </c>
      <c r="V78" s="112"/>
      <c r="W78" s="113">
        <v>1.4999999999999999E-2</v>
      </c>
      <c r="X78" s="196">
        <f>+(U78+V78)*W78</f>
        <v>1.0160999999999998</v>
      </c>
      <c r="Y78" s="217">
        <f>+(U78+V78)-X78</f>
        <v>66.7239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279.89</v>
      </c>
      <c r="Q79" s="87">
        <v>29.62</v>
      </c>
      <c r="R79" s="82">
        <v>7.4999999999999997E-3</v>
      </c>
      <c r="S79" s="194">
        <f t="shared" ref="S79:S97" si="44">+(P79+Q79)*R79</f>
        <v>2.3213249999999999</v>
      </c>
      <c r="T79" s="219">
        <f t="shared" ref="T79:T97" si="45">+(P79+Q79)-S79</f>
        <v>307.18867499999999</v>
      </c>
      <c r="U79" s="211">
        <v>97.22</v>
      </c>
      <c r="V79" s="112"/>
      <c r="W79" s="113">
        <v>1.4999999999999999E-2</v>
      </c>
      <c r="X79" s="196">
        <f t="shared" ref="X79:X97" si="46">+(U79+V79)*W79</f>
        <v>1.4582999999999999</v>
      </c>
      <c r="Y79" s="217">
        <f t="shared" ref="Y79:Y97" si="47">+(U79+V79)-X79</f>
        <v>95.761700000000005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21.06</v>
      </c>
      <c r="Q80" s="137"/>
      <c r="R80" s="82">
        <v>7.4999999999999997E-3</v>
      </c>
      <c r="S80" s="194">
        <f t="shared" si="44"/>
        <v>0.15794999999999998</v>
      </c>
      <c r="T80" s="219">
        <f t="shared" si="45"/>
        <v>20.902049999999999</v>
      </c>
      <c r="U80" s="211">
        <v>98.61</v>
      </c>
      <c r="V80" s="112"/>
      <c r="W80" s="113">
        <v>1.4999999999999999E-2</v>
      </c>
      <c r="X80" s="196">
        <f t="shared" si="46"/>
        <v>1.47915</v>
      </c>
      <c r="Y80" s="217">
        <f t="shared" si="47"/>
        <v>97.130849999999995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230.74</v>
      </c>
      <c r="Q81" s="137">
        <v>0</v>
      </c>
      <c r="R81" s="82">
        <v>7.4999999999999997E-3</v>
      </c>
      <c r="S81" s="194">
        <f t="shared" si="44"/>
        <v>1.73055</v>
      </c>
      <c r="T81" s="219">
        <f t="shared" si="45"/>
        <v>229.00945000000002</v>
      </c>
      <c r="U81" s="211">
        <v>58.2</v>
      </c>
      <c r="V81" s="112"/>
      <c r="W81" s="113">
        <v>1.4999999999999999E-2</v>
      </c>
      <c r="X81" s="196">
        <f t="shared" si="46"/>
        <v>0.873</v>
      </c>
      <c r="Y81" s="217">
        <f t="shared" si="47"/>
        <v>57.327000000000005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119.25</v>
      </c>
      <c r="Q82" s="87">
        <v>36.020000000000003</v>
      </c>
      <c r="R82" s="82">
        <v>7.4999999999999997E-3</v>
      </c>
      <c r="S82" s="194">
        <f t="shared" si="44"/>
        <v>1.164525</v>
      </c>
      <c r="T82" s="219">
        <f t="shared" si="45"/>
        <v>154.10547500000001</v>
      </c>
      <c r="U82" s="211">
        <v>57.94</v>
      </c>
      <c r="V82" s="112"/>
      <c r="W82" s="113">
        <v>1.4999999999999999E-2</v>
      </c>
      <c r="X82" s="196">
        <f t="shared" si="46"/>
        <v>0.86909999999999998</v>
      </c>
      <c r="Y82" s="217">
        <f t="shared" si="47"/>
        <v>57.070899999999995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266.35000000000002</v>
      </c>
      <c r="Q83" s="87">
        <v>4.5199999999999996</v>
      </c>
      <c r="R83" s="82">
        <v>7.4999999999999997E-3</v>
      </c>
      <c r="S83" s="194">
        <f t="shared" si="44"/>
        <v>2.0315249999999998</v>
      </c>
      <c r="T83" s="219">
        <f t="shared" si="45"/>
        <v>268.83847500000002</v>
      </c>
      <c r="U83" s="112">
        <v>94.65</v>
      </c>
      <c r="V83" s="112"/>
      <c r="W83" s="113">
        <v>1.4999999999999999E-2</v>
      </c>
      <c r="X83" s="196">
        <f t="shared" si="46"/>
        <v>1.4197500000000001</v>
      </c>
      <c r="Y83" s="217">
        <f t="shared" si="47"/>
        <v>93.230250000000012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19">
        <f t="shared" si="45"/>
        <v>0</v>
      </c>
      <c r="U84" s="112">
        <v>23.06</v>
      </c>
      <c r="V84" s="112"/>
      <c r="W84" s="113">
        <v>1.4999999999999999E-2</v>
      </c>
      <c r="X84" s="196">
        <f t="shared" si="46"/>
        <v>0.34589999999999999</v>
      </c>
      <c r="Y84" s="217">
        <f t="shared" si="47"/>
        <v>22.714099999999998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137">
        <v>12.7</v>
      </c>
      <c r="Q85" s="87">
        <v>26.33</v>
      </c>
      <c r="R85" s="82">
        <v>7.4999999999999997E-3</v>
      </c>
      <c r="S85" s="194">
        <f t="shared" si="44"/>
        <v>0.29272500000000001</v>
      </c>
      <c r="T85" s="219">
        <f t="shared" si="45"/>
        <v>38.737275000000004</v>
      </c>
      <c r="U85" s="112">
        <v>2.5299999999999998</v>
      </c>
      <c r="V85" s="112"/>
      <c r="W85" s="113">
        <v>1.4999999999999999E-2</v>
      </c>
      <c r="X85" s="196">
        <f t="shared" si="46"/>
        <v>3.7949999999999998E-2</v>
      </c>
      <c r="Y85" s="217">
        <f t="shared" si="47"/>
        <v>2.4920499999999999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48.02</v>
      </c>
      <c r="Q86" s="87"/>
      <c r="R86" s="82">
        <v>7.4999999999999997E-3</v>
      </c>
      <c r="S86" s="194">
        <f t="shared" si="44"/>
        <v>0.36015000000000003</v>
      </c>
      <c r="T86" s="219">
        <f t="shared" si="45"/>
        <v>47.659850000000006</v>
      </c>
      <c r="U86" s="211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36.44</v>
      </c>
      <c r="Q87" s="87">
        <v>103.64</v>
      </c>
      <c r="R87" s="82">
        <v>7.4999999999999997E-3</v>
      </c>
      <c r="S87" s="194">
        <f t="shared" si="44"/>
        <v>1.0505999999999998</v>
      </c>
      <c r="T87" s="219">
        <f t="shared" si="45"/>
        <v>139.02939999999998</v>
      </c>
      <c r="U87" s="112">
        <v>121.36</v>
      </c>
      <c r="V87" s="112"/>
      <c r="W87" s="113">
        <v>1.4999999999999999E-2</v>
      </c>
      <c r="X87" s="196">
        <f t="shared" si="46"/>
        <v>1.8204</v>
      </c>
      <c r="Y87" s="217">
        <f t="shared" si="47"/>
        <v>119.53959999999999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220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220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219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217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220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220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220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1297.8100000000002</v>
      </c>
      <c r="Q98" s="195">
        <f>SUM(Q78:Q97)</f>
        <v>249.76</v>
      </c>
      <c r="R98" s="111"/>
      <c r="S98" s="195">
        <f>SUM(S78:S97)</f>
        <v>11.606775000000001</v>
      </c>
      <c r="T98" s="195">
        <f>SUM(T78:T97)</f>
        <v>1535.963225</v>
      </c>
      <c r="U98" s="114">
        <f>SUM(U78:U97)</f>
        <v>621.30999999999995</v>
      </c>
      <c r="V98" s="114">
        <f>SUM(V78:V97)</f>
        <v>0</v>
      </c>
      <c r="W98" s="112"/>
      <c r="X98" s="197">
        <f>SUM(X78:X97)</f>
        <v>9.3196500000000011</v>
      </c>
      <c r="Y98" s="197">
        <f>SUM(Y78:Y97)</f>
        <v>611.99034999999992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  <c r="R99" s="84"/>
    </row>
    <row r="100" spans="14:30" x14ac:dyDescent="0.25">
      <c r="N100" s="85"/>
      <c r="P100" s="84"/>
      <c r="Q100" s="215">
        <f t="shared" ref="Q100:Q101" si="51">P78+Q78+U78</f>
        <v>400.73</v>
      </c>
      <c r="R100" s="84"/>
    </row>
    <row r="101" spans="14:30" x14ac:dyDescent="0.25">
      <c r="N101" s="85"/>
      <c r="P101" s="84"/>
      <c r="Q101" s="215">
        <f t="shared" si="51"/>
        <v>406.73</v>
      </c>
      <c r="R101" s="84"/>
    </row>
    <row r="102" spans="14:30" x14ac:dyDescent="0.25">
      <c r="N102" s="85"/>
      <c r="P102" s="84"/>
      <c r="Q102" s="215">
        <f>P80+Q80+U80</f>
        <v>119.67</v>
      </c>
      <c r="R102" s="84"/>
    </row>
    <row r="103" spans="14:30" x14ac:dyDescent="0.25">
      <c r="N103" s="85"/>
      <c r="P103" s="84"/>
      <c r="Q103" s="215">
        <f>P81+Q81+U81</f>
        <v>288.94</v>
      </c>
      <c r="R103" s="84"/>
    </row>
    <row r="104" spans="14:30" x14ac:dyDescent="0.25">
      <c r="N104" s="85"/>
      <c r="P104" s="84"/>
      <c r="Q104" s="215">
        <f>P82+Q82+U82</f>
        <v>213.21</v>
      </c>
      <c r="R104" s="84"/>
    </row>
    <row r="105" spans="14:30" x14ac:dyDescent="0.25">
      <c r="N105" s="85"/>
      <c r="P105" s="84"/>
      <c r="Q105" s="215">
        <f>P83+Q83+U83</f>
        <v>365.52</v>
      </c>
      <c r="R105" s="84"/>
      <c r="T105" s="85">
        <v>464.36</v>
      </c>
      <c r="U105" s="85">
        <v>62.77</v>
      </c>
      <c r="V105" s="85">
        <v>123.89</v>
      </c>
    </row>
    <row r="106" spans="14:30" x14ac:dyDescent="0.25">
      <c r="N106" s="85"/>
      <c r="P106" s="84"/>
      <c r="Q106" s="215">
        <f t="shared" ref="Q106:Q109" si="52">P84+Q84+U84</f>
        <v>23.06</v>
      </c>
      <c r="R106" s="84"/>
    </row>
    <row r="107" spans="14:30" x14ac:dyDescent="0.25">
      <c r="N107" s="85"/>
      <c r="P107" s="84"/>
      <c r="Q107" s="215">
        <f>P85+Q85+U85</f>
        <v>41.56</v>
      </c>
      <c r="R107" s="84"/>
    </row>
    <row r="108" spans="14:30" x14ac:dyDescent="0.25">
      <c r="N108" s="85"/>
      <c r="Q108" s="215">
        <f>P86+Q86+U86</f>
        <v>48.02</v>
      </c>
    </row>
    <row r="109" spans="14:30" x14ac:dyDescent="0.25">
      <c r="N109" s="85"/>
      <c r="Q109" s="215">
        <f t="shared" si="52"/>
        <v>261.44</v>
      </c>
    </row>
    <row r="110" spans="14:30" x14ac:dyDescent="0.25">
      <c r="N110" s="85"/>
      <c r="Q110" s="233">
        <f>P88+Q88+U88</f>
        <v>0</v>
      </c>
    </row>
    <row r="111" spans="14:30" x14ac:dyDescent="0.25">
      <c r="N111" s="85"/>
      <c r="Q111" s="85">
        <f>P90+Q90+U90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C70" sqref="C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44769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5.75</v>
      </c>
      <c r="C8" s="85" t="s">
        <v>92</v>
      </c>
      <c r="D8" s="108"/>
    </row>
    <row r="9" spans="1:28" x14ac:dyDescent="0.25">
      <c r="A9" s="7" t="s">
        <v>76</v>
      </c>
      <c r="B9" s="108">
        <v>5.77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1156.5</v>
      </c>
      <c r="C12" s="15"/>
      <c r="D12" s="56"/>
      <c r="E12" s="16"/>
      <c r="F12" s="56"/>
      <c r="G12" s="56"/>
      <c r="H12" s="17"/>
      <c r="I12" s="83">
        <v>1156.5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197</v>
      </c>
      <c r="Q12" s="158">
        <v>11</v>
      </c>
      <c r="R12" s="244">
        <v>844.98</v>
      </c>
      <c r="S12" s="160"/>
      <c r="T12" s="160">
        <v>176.77</v>
      </c>
      <c r="U12" s="189">
        <f>((T12/U$10)*U$9)</f>
        <v>7.6193965517241402</v>
      </c>
      <c r="V12" s="189">
        <f>R12*V$10</f>
        <v>6.3373499999999998</v>
      </c>
      <c r="W12" s="189">
        <f>+S12*V$10</f>
        <v>0</v>
      </c>
      <c r="X12" s="189">
        <f>+T12*X$10</f>
        <v>4.4192500000000008</v>
      </c>
      <c r="Y12" s="189">
        <f>R12-V12</f>
        <v>838.64265</v>
      </c>
      <c r="Z12" s="189">
        <f>S12-W12</f>
        <v>0</v>
      </c>
      <c r="AA12" s="189">
        <f>T12-U12-X12</f>
        <v>164.73135344827585</v>
      </c>
      <c r="AB12" s="156"/>
    </row>
    <row r="13" spans="1:28" ht="15.75" x14ac:dyDescent="0.25">
      <c r="A13" s="86" t="s">
        <v>74</v>
      </c>
      <c r="B13" s="89">
        <v>1377</v>
      </c>
      <c r="C13" s="15"/>
      <c r="D13" s="56"/>
      <c r="E13" s="16"/>
      <c r="F13" s="56"/>
      <c r="G13" s="56"/>
      <c r="H13" s="17"/>
      <c r="I13" s="83">
        <v>1377</v>
      </c>
      <c r="J13" s="257">
        <f>B13-I13</f>
        <v>0</v>
      </c>
      <c r="K13" s="75"/>
      <c r="L13" s="186">
        <f t="shared" ref="L13:L42" si="0">+G13-K13</f>
        <v>0</v>
      </c>
      <c r="M13" s="106"/>
      <c r="N13" s="104">
        <v>2</v>
      </c>
      <c r="O13" s="152" t="s">
        <v>68</v>
      </c>
      <c r="P13" s="158">
        <v>198</v>
      </c>
      <c r="Q13" s="158">
        <v>11</v>
      </c>
      <c r="R13" s="244">
        <v>871.16</v>
      </c>
      <c r="S13" s="160"/>
      <c r="T13" s="161">
        <v>16.510000000000002</v>
      </c>
      <c r="U13" s="189">
        <f t="shared" ref="U13:U41" si="1">((T13/U$10)*U$9)</f>
        <v>0.71163793103448292</v>
      </c>
      <c r="V13" s="189">
        <f t="shared" ref="V13:V41" si="2">R13*V$10</f>
        <v>6.5336999999999996</v>
      </c>
      <c r="W13" s="189">
        <f t="shared" ref="W13:W41" si="3">+S13*V$10</f>
        <v>0</v>
      </c>
      <c r="X13" s="189">
        <f t="shared" ref="X13:X41" si="4">+T13*X$10</f>
        <v>0.41275000000000006</v>
      </c>
      <c r="Y13" s="189">
        <f t="shared" ref="Y13:Z41" si="5">R13-V13</f>
        <v>864.62630000000001</v>
      </c>
      <c r="Z13" s="189">
        <f t="shared" si="5"/>
        <v>0</v>
      </c>
      <c r="AA13" s="189">
        <f t="shared" ref="AA13:AA41" si="6">T13-U13-X13</f>
        <v>15.385612068965518</v>
      </c>
      <c r="AB13" s="156"/>
    </row>
    <row r="14" spans="1:28" ht="15.75" x14ac:dyDescent="0.25">
      <c r="A14" s="86" t="s">
        <v>81</v>
      </c>
      <c r="B14" s="57">
        <f>B13*B8</f>
        <v>7917.75</v>
      </c>
      <c r="C14" s="15"/>
      <c r="D14" s="56"/>
      <c r="E14" s="16"/>
      <c r="F14" s="56"/>
      <c r="G14" s="56"/>
      <c r="H14" s="17"/>
      <c r="I14" s="83">
        <v>7917.75</v>
      </c>
      <c r="J14" s="81">
        <f>B14-I14</f>
        <v>0</v>
      </c>
      <c r="K14" s="80"/>
      <c r="L14" s="186">
        <f t="shared" si="0"/>
        <v>0</v>
      </c>
      <c r="M14" s="107"/>
      <c r="N14" s="104">
        <v>3</v>
      </c>
      <c r="O14" s="152" t="s">
        <v>68</v>
      </c>
      <c r="P14" s="158">
        <v>581</v>
      </c>
      <c r="Q14" s="158">
        <v>2</v>
      </c>
      <c r="R14" s="244">
        <v>358.08</v>
      </c>
      <c r="S14" s="160"/>
      <c r="T14" s="161"/>
      <c r="U14" s="189">
        <f t="shared" si="1"/>
        <v>0</v>
      </c>
      <c r="V14" s="189">
        <f t="shared" si="2"/>
        <v>2.6856</v>
      </c>
      <c r="W14" s="189">
        <f t="shared" si="3"/>
        <v>0</v>
      </c>
      <c r="X14" s="189">
        <f t="shared" si="4"/>
        <v>0</v>
      </c>
      <c r="Y14" s="189">
        <f t="shared" si="5"/>
        <v>355.39439999999996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77</v>
      </c>
      <c r="B15" s="56">
        <v>262</v>
      </c>
      <c r="C15" s="15"/>
      <c r="D15" s="56"/>
      <c r="E15" s="16"/>
      <c r="F15" s="56"/>
      <c r="G15" s="56"/>
      <c r="H15" s="17"/>
      <c r="I15" s="83">
        <v>262</v>
      </c>
      <c r="J15" s="81">
        <f t="shared" ref="J15:J64" si="7">B15-I15</f>
        <v>0</v>
      </c>
      <c r="K15" s="80"/>
      <c r="L15" s="186">
        <f t="shared" si="0"/>
        <v>0</v>
      </c>
      <c r="M15" s="107"/>
      <c r="N15" s="104">
        <v>4</v>
      </c>
      <c r="O15" s="152" t="s">
        <v>68</v>
      </c>
      <c r="P15" s="158">
        <v>582</v>
      </c>
      <c r="Q15" s="158">
        <v>2</v>
      </c>
      <c r="R15" s="244">
        <v>579.39</v>
      </c>
      <c r="S15" s="160"/>
      <c r="T15" s="161"/>
      <c r="U15" s="189">
        <f t="shared" si="1"/>
        <v>0</v>
      </c>
      <c r="V15" s="189">
        <f t="shared" si="2"/>
        <v>4.3454249999999996</v>
      </c>
      <c r="W15" s="189">
        <f t="shared" si="3"/>
        <v>0</v>
      </c>
      <c r="X15" s="189">
        <f t="shared" si="4"/>
        <v>0</v>
      </c>
      <c r="Y15" s="189">
        <f t="shared" si="5"/>
        <v>575.04457500000001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81</v>
      </c>
      <c r="B16" s="57">
        <f>B15*B9</f>
        <v>1511.7399999999998</v>
      </c>
      <c r="C16" s="15"/>
      <c r="D16" s="56"/>
      <c r="E16" s="16"/>
      <c r="F16" s="56"/>
      <c r="G16" s="56"/>
      <c r="H16" s="17"/>
      <c r="I16" s="83">
        <v>1511.741</v>
      </c>
      <c r="J16" s="81">
        <f t="shared" si="7"/>
        <v>-1.0000000002037268E-3</v>
      </c>
      <c r="K16" s="80"/>
      <c r="L16" s="186">
        <f t="shared" si="0"/>
        <v>0</v>
      </c>
      <c r="M16" s="107"/>
      <c r="N16" s="104">
        <v>5</v>
      </c>
      <c r="O16" s="152" t="s">
        <v>68</v>
      </c>
      <c r="P16" s="158">
        <v>561</v>
      </c>
      <c r="Q16" s="158">
        <v>4</v>
      </c>
      <c r="R16" s="244">
        <v>671.46</v>
      </c>
      <c r="S16" s="160"/>
      <c r="T16" s="161"/>
      <c r="U16" s="189">
        <f t="shared" si="1"/>
        <v>0</v>
      </c>
      <c r="V16" s="189">
        <f t="shared" si="2"/>
        <v>5.0359499999999997</v>
      </c>
      <c r="W16" s="189">
        <f t="shared" si="3"/>
        <v>0</v>
      </c>
      <c r="X16" s="189">
        <f t="shared" si="4"/>
        <v>0</v>
      </c>
      <c r="Y16" s="189">
        <f t="shared" si="5"/>
        <v>666.42405000000008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68</v>
      </c>
      <c r="P17" s="158">
        <v>562</v>
      </c>
      <c r="Q17" s="158">
        <v>4</v>
      </c>
      <c r="R17" s="244">
        <v>2242.3000000000002</v>
      </c>
      <c r="S17" s="160"/>
      <c r="T17" s="161">
        <v>39.380000000000003</v>
      </c>
      <c r="U17" s="189">
        <f t="shared" si="1"/>
        <v>1.6974137931034485</v>
      </c>
      <c r="V17" s="189">
        <f t="shared" si="2"/>
        <v>16.817250000000001</v>
      </c>
      <c r="W17" s="189">
        <f t="shared" si="3"/>
        <v>0</v>
      </c>
      <c r="X17" s="189">
        <f t="shared" si="4"/>
        <v>0.98450000000000015</v>
      </c>
      <c r="Y17" s="189">
        <f t="shared" si="5"/>
        <v>2225.4827500000001</v>
      </c>
      <c r="Z17" s="189">
        <f t="shared" si="5"/>
        <v>0</v>
      </c>
      <c r="AA17" s="189">
        <f t="shared" si="6"/>
        <v>36.698086206896555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68</v>
      </c>
      <c r="P18" s="158">
        <v>647</v>
      </c>
      <c r="Q18" s="158">
        <v>18</v>
      </c>
      <c r="R18" s="244">
        <v>701.58</v>
      </c>
      <c r="S18" s="160"/>
      <c r="T18" s="161"/>
      <c r="U18" s="189">
        <f t="shared" si="1"/>
        <v>0</v>
      </c>
      <c r="V18" s="189">
        <f t="shared" si="2"/>
        <v>5.2618499999999999</v>
      </c>
      <c r="W18" s="189">
        <f t="shared" si="3"/>
        <v>0</v>
      </c>
      <c r="X18" s="189">
        <f t="shared" si="4"/>
        <v>0</v>
      </c>
      <c r="Y18" s="189">
        <f t="shared" si="5"/>
        <v>696.31815000000006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79</v>
      </c>
      <c r="B19" s="97">
        <f>B13+B15</f>
        <v>1639</v>
      </c>
      <c r="C19" s="95"/>
      <c r="D19" s="94"/>
      <c r="E19" s="96"/>
      <c r="F19" s="94"/>
      <c r="G19" s="94"/>
      <c r="H19" s="98"/>
      <c r="I19" s="99">
        <v>1639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68</v>
      </c>
      <c r="P19" s="158">
        <v>648</v>
      </c>
      <c r="Q19" s="158">
        <v>18</v>
      </c>
      <c r="R19" s="244">
        <v>693.18</v>
      </c>
      <c r="S19" s="160"/>
      <c r="T19" s="161">
        <v>7.59</v>
      </c>
      <c r="U19" s="189">
        <f t="shared" si="1"/>
        <v>0.3271551724137931</v>
      </c>
      <c r="V19" s="189">
        <f t="shared" si="2"/>
        <v>5.1988499999999993</v>
      </c>
      <c r="W19" s="189">
        <f t="shared" si="3"/>
        <v>0</v>
      </c>
      <c r="X19" s="189">
        <f t="shared" si="4"/>
        <v>0.18975</v>
      </c>
      <c r="Y19" s="189">
        <f t="shared" si="5"/>
        <v>687.98114999999996</v>
      </c>
      <c r="Z19" s="189">
        <f t="shared" si="5"/>
        <v>0</v>
      </c>
      <c r="AA19" s="189">
        <f t="shared" si="6"/>
        <v>7.0730948275862069</v>
      </c>
      <c r="AB19" s="156"/>
    </row>
    <row r="20" spans="1:28" ht="15.75" x14ac:dyDescent="0.25">
      <c r="A20" s="93" t="s">
        <v>80</v>
      </c>
      <c r="B20" s="97">
        <f>+B14+B16+B18</f>
        <v>9429.49</v>
      </c>
      <c r="C20" s="95"/>
      <c r="D20" s="94"/>
      <c r="E20" s="96"/>
      <c r="F20" s="94"/>
      <c r="G20" s="94"/>
      <c r="H20" s="98"/>
      <c r="I20" s="99">
        <v>9457.0300000000007</v>
      </c>
      <c r="J20" s="185">
        <f t="shared" si="7"/>
        <v>-27.540000000000873</v>
      </c>
      <c r="K20" s="99"/>
      <c r="L20" s="187">
        <f t="shared" si="0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97</v>
      </c>
      <c r="B37" s="89">
        <v>41.25</v>
      </c>
      <c r="C37" s="100"/>
      <c r="D37" s="66"/>
      <c r="E37" s="67"/>
      <c r="F37" s="66"/>
      <c r="G37" s="66"/>
      <c r="H37" s="102"/>
      <c r="I37" s="79">
        <v>41.25</v>
      </c>
      <c r="J37" s="81">
        <f t="shared" si="7"/>
        <v>0</v>
      </c>
      <c r="K37" s="80">
        <f>2.69+15.71+22.85</f>
        <v>41.25</v>
      </c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98</v>
      </c>
      <c r="B38" s="57">
        <f>B37*B8</f>
        <v>237.1875</v>
      </c>
      <c r="C38" s="100"/>
      <c r="D38" s="66"/>
      <c r="E38" s="67"/>
      <c r="F38" s="66"/>
      <c r="G38" s="66"/>
      <c r="H38" s="102"/>
      <c r="I38" s="79">
        <v>237.19</v>
      </c>
      <c r="J38" s="81">
        <f t="shared" si="7"/>
        <v>-2.4999999999977263E-3</v>
      </c>
      <c r="K38" s="80">
        <v>237.19</v>
      </c>
      <c r="L38" s="186">
        <f t="shared" si="8"/>
        <v>2.4999999999977263E-3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6962.13</v>
      </c>
      <c r="S42" s="190">
        <f t="shared" si="9"/>
        <v>0</v>
      </c>
      <c r="T42" s="190">
        <f t="shared" si="9"/>
        <v>240.25</v>
      </c>
      <c r="U42" s="190">
        <f t="shared" si="9"/>
        <v>10.355603448275865</v>
      </c>
      <c r="V42" s="190">
        <f t="shared" si="9"/>
        <v>52.215975</v>
      </c>
      <c r="W42" s="190">
        <f t="shared" si="9"/>
        <v>0</v>
      </c>
      <c r="X42" s="190">
        <f t="shared" si="9"/>
        <v>6.0062500000000014</v>
      </c>
      <c r="Y42" s="190">
        <f t="shared" si="9"/>
        <v>6909.914025</v>
      </c>
      <c r="Z42" s="190">
        <f t="shared" si="9"/>
        <v>0</v>
      </c>
      <c r="AA42" s="190">
        <f t="shared" si="9"/>
        <v>223.88814655172413</v>
      </c>
      <c r="AB42" s="166"/>
    </row>
    <row r="43" spans="1:28" ht="15.75" x14ac:dyDescent="0.25">
      <c r="A43" s="93" t="s">
        <v>101</v>
      </c>
      <c r="B43" s="97">
        <f>+B37+B39+B41</f>
        <v>41.25</v>
      </c>
      <c r="C43" s="95"/>
      <c r="D43" s="94"/>
      <c r="E43" s="96"/>
      <c r="F43" s="94"/>
      <c r="G43" s="94"/>
      <c r="H43" s="98"/>
      <c r="I43" s="99">
        <v>41.25</v>
      </c>
      <c r="J43" s="185">
        <f t="shared" si="7"/>
        <v>0</v>
      </c>
      <c r="K43" s="99">
        <v>41.25</v>
      </c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>
        <v>676.64</v>
      </c>
      <c r="S43" s="160"/>
      <c r="T43" s="160">
        <v>12.88</v>
      </c>
      <c r="U43" s="189">
        <f t="shared" ref="U43:U62" si="10">((T43/U$10)*U$9)</f>
        <v>0.55517241379310356</v>
      </c>
      <c r="V43" s="189">
        <f t="shared" ref="V43:V62" si="11">R43*V$10</f>
        <v>5.0747999999999998</v>
      </c>
      <c r="W43" s="189">
        <f t="shared" ref="W43:W62" si="12">+S43*V$10</f>
        <v>0</v>
      </c>
      <c r="X43" s="189">
        <f t="shared" ref="X43:X62" si="13">+T43*X$10</f>
        <v>0.32200000000000006</v>
      </c>
      <c r="Y43" s="189">
        <f t="shared" ref="Y43:Z58" si="14">R43-V43</f>
        <v>671.5652</v>
      </c>
      <c r="Z43" s="189">
        <f t="shared" si="14"/>
        <v>0</v>
      </c>
      <c r="AA43" s="189">
        <f t="shared" ref="AA43:AA62" si="15">T43-U43-X43</f>
        <v>12.002827586206898</v>
      </c>
      <c r="AB43" s="156"/>
    </row>
    <row r="44" spans="1:28" ht="15.75" x14ac:dyDescent="0.25">
      <c r="A44" s="93" t="s">
        <v>102</v>
      </c>
      <c r="B44" s="97">
        <f>+B38+B40+B42</f>
        <v>237.1875</v>
      </c>
      <c r="C44" s="95"/>
      <c r="D44" s="94"/>
      <c r="E44" s="96"/>
      <c r="F44" s="94"/>
      <c r="G44" s="94"/>
      <c r="H44" s="98"/>
      <c r="I44" s="99">
        <v>237.19</v>
      </c>
      <c r="J44" s="185">
        <f t="shared" si="7"/>
        <v>-2.4999999999977263E-3</v>
      </c>
      <c r="K44" s="99">
        <v>237.19</v>
      </c>
      <c r="L44" s="187">
        <f>K44-B44</f>
        <v>2.4999999999977263E-3</v>
      </c>
      <c r="M44" s="107"/>
      <c r="N44" s="104">
        <v>2</v>
      </c>
      <c r="O44" s="167" t="s">
        <v>69</v>
      </c>
      <c r="P44" s="158"/>
      <c r="Q44" s="158"/>
      <c r="R44" s="160">
        <v>898.84</v>
      </c>
      <c r="S44" s="160"/>
      <c r="T44" s="160">
        <v>320.68</v>
      </c>
      <c r="U44" s="189">
        <f t="shared" si="10"/>
        <v>13.822413793103451</v>
      </c>
      <c r="V44" s="189">
        <f t="shared" si="11"/>
        <v>6.7412999999999998</v>
      </c>
      <c r="W44" s="189">
        <f t="shared" si="12"/>
        <v>0</v>
      </c>
      <c r="X44" s="189">
        <f t="shared" si="13"/>
        <v>8.0170000000000012</v>
      </c>
      <c r="Y44" s="189">
        <f t="shared" si="14"/>
        <v>892.09870000000001</v>
      </c>
      <c r="Z44" s="189">
        <f t="shared" si="14"/>
        <v>0</v>
      </c>
      <c r="AA44" s="189">
        <f t="shared" si="15"/>
        <v>298.84058620689655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60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6962.13</v>
      </c>
      <c r="C46" s="116">
        <v>7.4999999999999997E-3</v>
      </c>
      <c r="D46" s="117">
        <f>B46*C46</f>
        <v>52.215975</v>
      </c>
      <c r="E46" s="172">
        <v>0</v>
      </c>
      <c r="F46" s="117">
        <f t="shared" ref="F46:F50" si="16">D46*E46</f>
        <v>0</v>
      </c>
      <c r="G46" s="117">
        <f t="shared" ref="G46:G51" si="17">B46-D46-F46</f>
        <v>6909.914025</v>
      </c>
      <c r="H46" s="173">
        <f>B$6+1</f>
        <v>44770</v>
      </c>
      <c r="I46" s="174">
        <v>6962.13</v>
      </c>
      <c r="J46" s="81">
        <f t="shared" si="7"/>
        <v>0</v>
      </c>
      <c r="K46" s="80"/>
      <c r="L46" s="186">
        <f t="shared" ref="L46:L64" si="18">+G46-K46</f>
        <v>6909.914025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1575.48</v>
      </c>
      <c r="C47" s="116">
        <v>7.4999999999999997E-3</v>
      </c>
      <c r="D47" s="117">
        <f t="shared" ref="D47:D50" si="19">B47*C47</f>
        <v>11.8161</v>
      </c>
      <c r="E47" s="172">
        <v>0</v>
      </c>
      <c r="F47" s="117">
        <f t="shared" si="16"/>
        <v>0</v>
      </c>
      <c r="G47" s="117">
        <f t="shared" si="17"/>
        <v>1563.6639</v>
      </c>
      <c r="H47" s="173">
        <f>B$6+1</f>
        <v>44770</v>
      </c>
      <c r="I47" s="175">
        <v>1575.48</v>
      </c>
      <c r="J47" s="81">
        <f t="shared" si="7"/>
        <v>0</v>
      </c>
      <c r="K47" s="80"/>
      <c r="L47" s="186">
        <f t="shared" si="18"/>
        <v>1563.6639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64.77000000000001</v>
      </c>
      <c r="C48" s="116">
        <v>7.4999999999999997E-3</v>
      </c>
      <c r="D48" s="117">
        <f t="shared" si="19"/>
        <v>0.48577500000000007</v>
      </c>
      <c r="E48" s="172">
        <v>0</v>
      </c>
      <c r="F48" s="117">
        <f t="shared" si="16"/>
        <v>0</v>
      </c>
      <c r="G48" s="117">
        <f t="shared" si="17"/>
        <v>64.284225000000006</v>
      </c>
      <c r="H48" s="173">
        <f t="shared" ref="H48:H61" si="20">B$6+1</f>
        <v>44770</v>
      </c>
      <c r="I48" s="176">
        <v>64.77</v>
      </c>
      <c r="J48" s="81">
        <f t="shared" si="7"/>
        <v>0</v>
      </c>
      <c r="K48" s="80"/>
      <c r="L48" s="186">
        <f t="shared" si="18"/>
        <v>64.284225000000006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232</v>
      </c>
      <c r="B49" s="117">
        <f>R75</f>
        <v>2523.62</v>
      </c>
      <c r="C49" s="116">
        <v>7.4999999999999997E-3</v>
      </c>
      <c r="D49" s="117">
        <f t="shared" si="19"/>
        <v>18.927149999999997</v>
      </c>
      <c r="E49" s="172">
        <v>0</v>
      </c>
      <c r="F49" s="117">
        <f t="shared" si="16"/>
        <v>0</v>
      </c>
      <c r="G49" s="117">
        <f t="shared" si="17"/>
        <v>2504.6928499999999</v>
      </c>
      <c r="H49" s="173">
        <f t="shared" si="20"/>
        <v>44770</v>
      </c>
      <c r="I49" s="176">
        <f>2159.31</f>
        <v>2159.31</v>
      </c>
      <c r="J49" s="81">
        <f t="shared" si="7"/>
        <v>364.30999999999995</v>
      </c>
      <c r="K49" s="80"/>
      <c r="L49" s="186">
        <f t="shared" si="18"/>
        <v>2504.6928499999999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2481.1800000000003</v>
      </c>
      <c r="C50" s="116">
        <v>7.4999999999999997E-3</v>
      </c>
      <c r="D50" s="117">
        <f t="shared" si="19"/>
        <v>18.60885</v>
      </c>
      <c r="E50" s="172">
        <v>0</v>
      </c>
      <c r="F50" s="117">
        <f t="shared" si="16"/>
        <v>0</v>
      </c>
      <c r="G50" s="117">
        <f t="shared" si="17"/>
        <v>2462.5711500000002</v>
      </c>
      <c r="H50" s="173">
        <f t="shared" si="20"/>
        <v>44770</v>
      </c>
      <c r="I50" s="175"/>
      <c r="J50" s="81">
        <f t="shared" si="7"/>
        <v>2481.1800000000003</v>
      </c>
      <c r="K50" s="80"/>
      <c r="L50" s="186">
        <f t="shared" si="18"/>
        <v>2462.5711500000002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1042.58</v>
      </c>
      <c r="C51" s="116">
        <v>1.4999999999999999E-2</v>
      </c>
      <c r="D51" s="117">
        <f>+B51*C51</f>
        <v>15.638699999999998</v>
      </c>
      <c r="E51" s="172">
        <v>0</v>
      </c>
      <c r="F51" s="117">
        <f>D51*E51</f>
        <v>0</v>
      </c>
      <c r="G51" s="117">
        <f t="shared" si="17"/>
        <v>1026.9413</v>
      </c>
      <c r="H51" s="173">
        <f t="shared" si="20"/>
        <v>44770</v>
      </c>
      <c r="I51" s="175">
        <v>3511.91</v>
      </c>
      <c r="J51" s="81">
        <f t="shared" si="7"/>
        <v>-2469.33</v>
      </c>
      <c r="K51" s="80"/>
      <c r="L51" s="186">
        <f t="shared" si="18"/>
        <v>1026.9413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240.25</v>
      </c>
      <c r="C52" s="116">
        <v>2.5000000000000001E-2</v>
      </c>
      <c r="D52" s="117">
        <f>B52*C52</f>
        <v>6.0062500000000005</v>
      </c>
      <c r="E52" s="172">
        <v>0.05</v>
      </c>
      <c r="F52" s="117">
        <f>(B52/E$10)*E52</f>
        <v>10.355603448275865</v>
      </c>
      <c r="G52" s="117">
        <f>B52-D52-F52</f>
        <v>223.88814655172413</v>
      </c>
      <c r="H52" s="188">
        <f t="shared" si="20"/>
        <v>44770</v>
      </c>
      <c r="I52" s="176">
        <v>560.33000000000004</v>
      </c>
      <c r="J52" s="81">
        <f t="shared" si="7"/>
        <v>-320.08000000000004</v>
      </c>
      <c r="K52" s="80"/>
      <c r="L52" s="186">
        <f t="shared" si="18"/>
        <v>223.88814655172413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333.56</v>
      </c>
      <c r="C53" s="116">
        <v>2.5000000000000001E-2</v>
      </c>
      <c r="D53" s="117">
        <f t="shared" ref="D53:D56" si="21">B53*C53</f>
        <v>8.3390000000000004</v>
      </c>
      <c r="E53" s="172">
        <v>0.05</v>
      </c>
      <c r="F53" s="117">
        <f t="shared" ref="F53:F56" si="22">(B53/E$10)*E53</f>
        <v>14.377586206896552</v>
      </c>
      <c r="G53" s="117">
        <f t="shared" ref="G53:G58" si="23">B53-D53-F53</f>
        <v>310.84341379310342</v>
      </c>
      <c r="H53" s="188">
        <f t="shared" si="20"/>
        <v>44770</v>
      </c>
      <c r="I53" s="176">
        <f>12.88</f>
        <v>12.88</v>
      </c>
      <c r="J53" s="81">
        <f t="shared" si="7"/>
        <v>320.68</v>
      </c>
      <c r="K53" s="80"/>
      <c r="L53" s="186">
        <f t="shared" si="18"/>
        <v>310.84341379310342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176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44770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44770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44770</v>
      </c>
      <c r="I56" s="176"/>
      <c r="J56" s="81">
        <f t="shared" si="7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44772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44774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44799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132.0378</v>
      </c>
      <c r="E61" s="177"/>
      <c r="F61" s="57">
        <f>SUM(F46:F58)</f>
        <v>24.733189655172417</v>
      </c>
      <c r="G61" s="57">
        <f>SUM(G46:G58)</f>
        <v>15066.799010344826</v>
      </c>
      <c r="H61" s="173">
        <f t="shared" si="20"/>
        <v>44770</v>
      </c>
      <c r="I61" s="175"/>
      <c r="J61" s="81">
        <f t="shared" si="7"/>
        <v>0</v>
      </c>
      <c r="K61" s="80"/>
      <c r="L61" s="186">
        <f t="shared" si="18"/>
        <v>15066.799010344826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>
        <f>12+365</f>
        <v>377</v>
      </c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7"/>
        <v>377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1575.48</v>
      </c>
      <c r="S63" s="191">
        <f>SUM(S43:S62)</f>
        <v>0</v>
      </c>
      <c r="T63" s="191">
        <f>SUM(T43:T62)</f>
        <v>333.56</v>
      </c>
      <c r="U63" s="191">
        <f t="shared" ref="U63:X63" si="26">SUM(U43:U62)</f>
        <v>14.377586206896554</v>
      </c>
      <c r="V63" s="191">
        <f t="shared" si="26"/>
        <v>11.816099999999999</v>
      </c>
      <c r="W63" s="191">
        <f t="shared" si="26"/>
        <v>0</v>
      </c>
      <c r="X63" s="191">
        <f t="shared" si="26"/>
        <v>8.3390000000000022</v>
      </c>
      <c r="Y63" s="191">
        <f>SUM(Y43:Y62)</f>
        <v>1563.6639</v>
      </c>
      <c r="Z63" s="191">
        <f t="shared" ref="Z63:AA63" si="27">SUM(Z43:Z62)</f>
        <v>0</v>
      </c>
      <c r="AA63" s="191">
        <f t="shared" si="27"/>
        <v>310.84341379310342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30133.598020689653</v>
      </c>
      <c r="H64" s="184"/>
      <c r="I64" s="175"/>
      <c r="J64" s="81">
        <f t="shared" si="7"/>
        <v>0</v>
      </c>
      <c r="K64" s="80"/>
      <c r="L64" s="186">
        <f t="shared" si="18"/>
        <v>30133.598020689653</v>
      </c>
      <c r="M64" s="130"/>
      <c r="N64" s="87">
        <v>1</v>
      </c>
      <c r="O64" s="122" t="s">
        <v>249</v>
      </c>
      <c r="P64" s="87"/>
      <c r="Q64" s="225"/>
      <c r="R64" s="225">
        <v>11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8.249999999999999E-2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10.9175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25669.747500000001</v>
      </c>
      <c r="G65" s="22"/>
      <c r="L65" s="132"/>
      <c r="M65" s="131"/>
      <c r="N65" s="87">
        <v>2</v>
      </c>
      <c r="O65" s="122" t="s">
        <v>249</v>
      </c>
      <c r="P65" s="87"/>
      <c r="Q65" s="225"/>
      <c r="R65" s="225">
        <v>53.77</v>
      </c>
      <c r="S65" s="225"/>
      <c r="T65" s="87"/>
      <c r="U65" s="189">
        <f t="shared" si="28"/>
        <v>0</v>
      </c>
      <c r="V65" s="189">
        <f t="shared" si="29"/>
        <v>0.40327499999999999</v>
      </c>
      <c r="W65" s="189">
        <f t="shared" si="30"/>
        <v>0</v>
      </c>
      <c r="X65" s="189">
        <f t="shared" si="31"/>
        <v>0</v>
      </c>
      <c r="Y65" s="189">
        <f t="shared" si="32"/>
        <v>53.366725000000002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249</v>
      </c>
      <c r="P66" s="87"/>
      <c r="Q66" s="225"/>
      <c r="R66" s="225"/>
      <c r="S66" s="225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174</v>
      </c>
      <c r="P67" s="87"/>
      <c r="Q67" s="225"/>
      <c r="R67" s="225"/>
      <c r="S67" s="225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25380.71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174</v>
      </c>
      <c r="P68" s="87"/>
      <c r="Q68" s="225"/>
      <c r="R68" s="225"/>
      <c r="S68" s="225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25647.43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64.77000000000001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0.48577499999999996</v>
      </c>
      <c r="W69" s="192">
        <f t="shared" si="34"/>
        <v>0</v>
      </c>
      <c r="X69" s="192">
        <f t="shared" si="34"/>
        <v>0</v>
      </c>
      <c r="Y69" s="192">
        <f t="shared" si="34"/>
        <v>64.284225000000006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25380.71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225">
        <v>31</v>
      </c>
      <c r="Q70" s="225">
        <v>2001</v>
      </c>
      <c r="R70" s="236">
        <v>238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1.7849999999999999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236.215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22.317500000001019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217</v>
      </c>
      <c r="P71" s="225">
        <v>187</v>
      </c>
      <c r="Q71" s="225">
        <v>2001</v>
      </c>
      <c r="R71" s="221">
        <v>1642.13</v>
      </c>
      <c r="S71" s="87"/>
      <c r="T71" s="87"/>
      <c r="U71" s="189">
        <f t="shared" si="35"/>
        <v>0</v>
      </c>
      <c r="V71" s="189">
        <f t="shared" si="36"/>
        <v>12.315975</v>
      </c>
      <c r="W71" s="189">
        <f t="shared" si="37"/>
        <v>0</v>
      </c>
      <c r="X71" s="189">
        <f t="shared" si="38"/>
        <v>0</v>
      </c>
      <c r="Y71" s="189">
        <f t="shared" si="39"/>
        <v>1629.8140250000001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217</v>
      </c>
      <c r="P72" s="225">
        <v>186</v>
      </c>
      <c r="Q72" s="225">
        <v>2001</v>
      </c>
      <c r="R72" s="236">
        <v>278.49</v>
      </c>
      <c r="S72" s="87"/>
      <c r="T72" s="87"/>
      <c r="U72" s="189">
        <f t="shared" si="35"/>
        <v>0</v>
      </c>
      <c r="V72" s="189">
        <f t="shared" si="36"/>
        <v>2.0886749999999998</v>
      </c>
      <c r="W72" s="189">
        <f t="shared" si="37"/>
        <v>0</v>
      </c>
      <c r="X72" s="189">
        <f t="shared" si="38"/>
        <v>0</v>
      </c>
      <c r="Y72" s="189">
        <f t="shared" si="39"/>
        <v>276.40132499999999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248</v>
      </c>
      <c r="P73" s="87"/>
      <c r="Q73" s="87"/>
      <c r="R73" s="13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61" t="s">
        <v>258</v>
      </c>
      <c r="P74" s="87"/>
      <c r="Q74" s="87"/>
      <c r="R74" s="222">
        <v>365</v>
      </c>
      <c r="S74" s="87"/>
      <c r="T74" s="87"/>
      <c r="U74" s="189">
        <f t="shared" si="35"/>
        <v>0</v>
      </c>
      <c r="V74" s="189">
        <f t="shared" si="36"/>
        <v>2.7374999999999998</v>
      </c>
      <c r="W74" s="189">
        <f t="shared" si="37"/>
        <v>0</v>
      </c>
      <c r="X74" s="189">
        <f t="shared" si="38"/>
        <v>0</v>
      </c>
      <c r="Y74" s="189">
        <f t="shared" si="39"/>
        <v>362.26249999999999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2523.62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18.927150000000001</v>
      </c>
      <c r="W75" s="192">
        <f t="shared" si="42"/>
        <v>0</v>
      </c>
      <c r="X75" s="192">
        <f t="shared" si="42"/>
        <v>0</v>
      </c>
      <c r="Y75" s="192">
        <f t="shared" si="42"/>
        <v>2504.6928499999999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243.56</v>
      </c>
      <c r="R78" s="82">
        <v>7.4999999999999997E-3</v>
      </c>
      <c r="S78" s="216">
        <f>+(P78+Q78)*R78</f>
        <v>1.8267</v>
      </c>
      <c r="T78" s="219">
        <f>+(P78+Q78)-S78</f>
        <v>241.73330000000001</v>
      </c>
      <c r="U78" s="211">
        <v>161.88999999999999</v>
      </c>
      <c r="V78" s="112"/>
      <c r="W78" s="113">
        <v>1.4999999999999999E-2</v>
      </c>
      <c r="X78" s="217">
        <f>+(U78+V78)*W78</f>
        <v>2.4283499999999996</v>
      </c>
      <c r="Y78" s="217">
        <f>+(U78+V78)-X78</f>
        <v>159.46164999999999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>
        <v>117.83</v>
      </c>
      <c r="Q79" s="137">
        <v>122.9</v>
      </c>
      <c r="R79" s="82">
        <v>7.4999999999999997E-3</v>
      </c>
      <c r="S79" s="216">
        <f t="shared" ref="S79:S97" si="44">+(P79+Q79)*R79</f>
        <v>1.8054750000000002</v>
      </c>
      <c r="T79" s="219">
        <f t="shared" ref="T79:T97" si="45">+(P79+Q79)-S79</f>
        <v>238.92452500000002</v>
      </c>
      <c r="U79" s="211">
        <v>76.13</v>
      </c>
      <c r="V79" s="112"/>
      <c r="W79" s="113">
        <v>1.4999999999999999E-2</v>
      </c>
      <c r="X79" s="217">
        <f t="shared" ref="X79:X97" si="46">+(U79+V79)*W79</f>
        <v>1.1419499999999998</v>
      </c>
      <c r="Y79" s="217">
        <f t="shared" ref="Y79:Y97" si="47">+(U79+V79)-X79</f>
        <v>74.988050000000001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v>58.12</v>
      </c>
      <c r="Q80" s="137"/>
      <c r="R80" s="82">
        <v>7.4999999999999997E-3</v>
      </c>
      <c r="S80" s="216">
        <f t="shared" si="44"/>
        <v>0.43589999999999995</v>
      </c>
      <c r="T80" s="219">
        <f t="shared" si="45"/>
        <v>57.684100000000001</v>
      </c>
      <c r="U80" s="211">
        <v>45.14</v>
      </c>
      <c r="V80" s="112"/>
      <c r="W80" s="113">
        <v>1.4999999999999999E-2</v>
      </c>
      <c r="X80" s="217">
        <f t="shared" si="46"/>
        <v>0.67710000000000004</v>
      </c>
      <c r="Y80" s="217">
        <f t="shared" si="47"/>
        <v>44.462899999999998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>
        <v>222.57</v>
      </c>
      <c r="Q81" s="87">
        <v>54.9</v>
      </c>
      <c r="R81" s="82">
        <v>7.4999999999999997E-3</v>
      </c>
      <c r="S81" s="216">
        <f t="shared" si="44"/>
        <v>2.0810249999999999</v>
      </c>
      <c r="T81" s="219">
        <f t="shared" si="45"/>
        <v>275.38897499999996</v>
      </c>
      <c r="U81" s="211">
        <v>23</v>
      </c>
      <c r="V81" s="112"/>
      <c r="W81" s="113">
        <v>1.4999999999999999E-2</v>
      </c>
      <c r="X81" s="217">
        <f t="shared" si="46"/>
        <v>0.34499999999999997</v>
      </c>
      <c r="Y81" s="217">
        <f t="shared" si="47"/>
        <v>22.655000000000001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>
        <v>80.52</v>
      </c>
      <c r="Q82" s="137">
        <v>102.62</v>
      </c>
      <c r="R82" s="82">
        <v>7.4999999999999997E-3</v>
      </c>
      <c r="S82" s="216">
        <f t="shared" si="44"/>
        <v>1.3735499999999998</v>
      </c>
      <c r="T82" s="219">
        <f t="shared" si="45"/>
        <v>181.76644999999999</v>
      </c>
      <c r="U82" s="211">
        <v>114.1</v>
      </c>
      <c r="V82" s="112"/>
      <c r="W82" s="113">
        <v>1.4999999999999999E-2</v>
      </c>
      <c r="X82" s="217">
        <f t="shared" si="46"/>
        <v>1.7114999999999998</v>
      </c>
      <c r="Y82" s="217">
        <f t="shared" si="47"/>
        <v>112.38849999999999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>
        <v>71.14</v>
      </c>
      <c r="V83" s="112"/>
      <c r="W83" s="113">
        <v>1.4999999999999999E-2</v>
      </c>
      <c r="X83" s="196">
        <f t="shared" si="46"/>
        <v>1.0670999999999999</v>
      </c>
      <c r="Y83" s="217">
        <f t="shared" si="47"/>
        <v>70.072900000000004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268.14</v>
      </c>
      <c r="Q84" s="87">
        <v>15</v>
      </c>
      <c r="R84" s="82">
        <v>7.4999999999999997E-3</v>
      </c>
      <c r="S84" s="194">
        <f t="shared" si="44"/>
        <v>2.1235499999999998</v>
      </c>
      <c r="T84" s="219">
        <f t="shared" si="45"/>
        <v>281.01644999999996</v>
      </c>
      <c r="U84" s="112">
        <v>226.44</v>
      </c>
      <c r="V84" s="112"/>
      <c r="W84" s="113">
        <v>1.4999999999999999E-2</v>
      </c>
      <c r="X84" s="196">
        <f t="shared" si="46"/>
        <v>3.3965999999999998</v>
      </c>
      <c r="Y84" s="217">
        <f t="shared" si="47"/>
        <v>223.04339999999999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673.84</v>
      </c>
      <c r="Q85" s="87">
        <v>13.75</v>
      </c>
      <c r="R85" s="82">
        <v>7.4999999999999997E-3</v>
      </c>
      <c r="S85" s="194">
        <f t="shared" si="44"/>
        <v>5.1569250000000002</v>
      </c>
      <c r="T85" s="219">
        <f t="shared" si="45"/>
        <v>682.43307500000003</v>
      </c>
      <c r="U85" s="112">
        <v>91.12</v>
      </c>
      <c r="V85" s="112"/>
      <c r="W85" s="113">
        <v>1.4999999999999999E-2</v>
      </c>
      <c r="X85" s="196">
        <f t="shared" si="46"/>
        <v>1.3668</v>
      </c>
      <c r="Y85" s="217">
        <f t="shared" si="47"/>
        <v>89.753200000000007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219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217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>
        <v>366.63</v>
      </c>
      <c r="Q87" s="87">
        <v>140.80000000000001</v>
      </c>
      <c r="R87" s="82">
        <v>7.4999999999999997E-3</v>
      </c>
      <c r="S87" s="194">
        <f t="shared" si="44"/>
        <v>3.8057249999999998</v>
      </c>
      <c r="T87" s="194">
        <f t="shared" si="45"/>
        <v>503.62427500000001</v>
      </c>
      <c r="U87" s="112">
        <v>233.62</v>
      </c>
      <c r="V87" s="112"/>
      <c r="W87" s="113">
        <v>1.4999999999999999E-2</v>
      </c>
      <c r="X87" s="196">
        <f t="shared" si="46"/>
        <v>3.5042999999999997</v>
      </c>
      <c r="Y87" s="196">
        <f t="shared" si="47"/>
        <v>230.1157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1787.65</v>
      </c>
      <c r="Q98" s="195">
        <f>SUM(Q78:Q97)</f>
        <v>693.53</v>
      </c>
      <c r="R98" s="111"/>
      <c r="S98" s="195">
        <f>SUM(S78:S97)</f>
        <v>18.60885</v>
      </c>
      <c r="T98" s="195">
        <f>SUM(T78:T97)</f>
        <v>2462.5711499999998</v>
      </c>
      <c r="U98" s="114">
        <f>SUM(U78:U97)</f>
        <v>1042.58</v>
      </c>
      <c r="V98" s="114">
        <f>SUM(V78:V97)</f>
        <v>0</v>
      </c>
      <c r="W98" s="112"/>
      <c r="X98" s="197">
        <f>SUM(X78:X97)</f>
        <v>15.6387</v>
      </c>
      <c r="Y98" s="197">
        <f>SUM(Y78:Y97)</f>
        <v>1026.9413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405.45</v>
      </c>
    </row>
    <row r="102" spans="14:30" x14ac:dyDescent="0.25">
      <c r="N102" s="85"/>
      <c r="P102" s="218">
        <f>P79+U79+Q79</f>
        <v>316.86</v>
      </c>
    </row>
    <row r="103" spans="14:30" x14ac:dyDescent="0.25">
      <c r="N103" s="85"/>
      <c r="P103" s="218">
        <f>P80+Q80+U80</f>
        <v>103.25999999999999</v>
      </c>
    </row>
    <row r="104" spans="14:30" x14ac:dyDescent="0.25">
      <c r="N104" s="85"/>
      <c r="P104" s="218">
        <f>P81+U81+Q81</f>
        <v>300.46999999999997</v>
      </c>
    </row>
    <row r="105" spans="14:30" x14ac:dyDescent="0.25">
      <c r="N105" s="85"/>
      <c r="P105" s="218">
        <f t="shared" ref="P105:P110" si="51">P82+Q82+U82</f>
        <v>297.24</v>
      </c>
    </row>
    <row r="106" spans="14:30" x14ac:dyDescent="0.25">
      <c r="N106" s="85"/>
      <c r="P106" s="246">
        <f t="shared" si="51"/>
        <v>71.14</v>
      </c>
    </row>
    <row r="107" spans="14:30" x14ac:dyDescent="0.25">
      <c r="N107" s="85"/>
      <c r="P107" s="246">
        <f t="shared" si="51"/>
        <v>509.58</v>
      </c>
    </row>
    <row r="108" spans="14:30" x14ac:dyDescent="0.25">
      <c r="N108" s="85"/>
      <c r="P108" s="246">
        <f t="shared" si="51"/>
        <v>778.71</v>
      </c>
    </row>
    <row r="109" spans="14:30" x14ac:dyDescent="0.25">
      <c r="N109" s="85"/>
      <c r="P109" s="233">
        <f t="shared" si="51"/>
        <v>0</v>
      </c>
    </row>
    <row r="110" spans="14:30" x14ac:dyDescent="0.25">
      <c r="N110" s="85"/>
      <c r="P110" s="85">
        <f t="shared" si="51"/>
        <v>741.05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1" zoomScale="90" zoomScaleNormal="90" workbookViewId="0">
      <selection activeCell="R73" sqref="R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18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233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44770</v>
      </c>
      <c r="D6" s="85" t="s">
        <v>22</v>
      </c>
      <c r="E6" s="8" t="s">
        <v>288</v>
      </c>
      <c r="F6" s="9"/>
      <c r="G6" s="9"/>
    </row>
    <row r="8" spans="1:28" x14ac:dyDescent="0.25">
      <c r="A8" s="7" t="s">
        <v>75</v>
      </c>
      <c r="B8" s="108">
        <v>5.77</v>
      </c>
      <c r="C8" s="85" t="s">
        <v>92</v>
      </c>
      <c r="D8" s="108"/>
    </row>
    <row r="9" spans="1:28" x14ac:dyDescent="0.25">
      <c r="A9" s="7" t="s">
        <v>76</v>
      </c>
      <c r="B9" s="108">
        <v>5.78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1377.5</v>
      </c>
      <c r="C12" s="15"/>
      <c r="D12" s="56"/>
      <c r="E12" s="16"/>
      <c r="F12" s="56"/>
      <c r="G12" s="56"/>
      <c r="H12" s="17"/>
      <c r="I12" s="83">
        <v>1377.5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199</v>
      </c>
      <c r="Q12" s="158">
        <v>11</v>
      </c>
      <c r="R12" s="159">
        <v>797.5</v>
      </c>
      <c r="S12" s="160"/>
      <c r="T12" s="160">
        <v>19.32</v>
      </c>
      <c r="U12" s="189">
        <f>((T12/U$10)*U$9)</f>
        <v>0.83275862068965523</v>
      </c>
      <c r="V12" s="189">
        <f>R12*V$10</f>
        <v>5.9812500000000002</v>
      </c>
      <c r="W12" s="189">
        <f>+S12*V$10</f>
        <v>0</v>
      </c>
      <c r="X12" s="189">
        <f>+T12*X$10</f>
        <v>0.48300000000000004</v>
      </c>
      <c r="Y12" s="189">
        <f>R12-V12</f>
        <v>791.51874999999995</v>
      </c>
      <c r="Z12" s="189">
        <f>S12-W12</f>
        <v>0</v>
      </c>
      <c r="AA12" s="189">
        <f>T12-U12-X12</f>
        <v>18.004241379310344</v>
      </c>
      <c r="AB12" s="156"/>
    </row>
    <row r="13" spans="1:28" ht="15.75" x14ac:dyDescent="0.25">
      <c r="A13" s="86" t="s">
        <v>74</v>
      </c>
      <c r="B13" s="89">
        <v>1000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1000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200</v>
      </c>
      <c r="Q13" s="158">
        <v>11</v>
      </c>
      <c r="R13" s="159">
        <v>1900.86</v>
      </c>
      <c r="S13" s="160"/>
      <c r="T13" s="161">
        <v>81.430000000000007</v>
      </c>
      <c r="U13" s="189">
        <f t="shared" ref="U13:U41" si="2">((T13/U$10)*U$9)</f>
        <v>3.5099137931034492</v>
      </c>
      <c r="V13" s="189">
        <f t="shared" ref="V13:V41" si="3">R13*V$10</f>
        <v>14.256449999999999</v>
      </c>
      <c r="W13" s="189">
        <f t="shared" ref="W13:W41" si="4">+S13*V$10</f>
        <v>0</v>
      </c>
      <c r="X13" s="189">
        <f t="shared" ref="X13:X41" si="5">+T13*X$10</f>
        <v>2.0357500000000002</v>
      </c>
      <c r="Y13" s="189">
        <f t="shared" ref="Y13:Z41" si="6">R13-V13</f>
        <v>1886.6035499999998</v>
      </c>
      <c r="Z13" s="189">
        <f t="shared" si="6"/>
        <v>0</v>
      </c>
      <c r="AA13" s="189">
        <f t="shared" ref="AA13:AA41" si="7">T13-U13-X13</f>
        <v>75.884336206896563</v>
      </c>
      <c r="AB13" s="156"/>
    </row>
    <row r="14" spans="1:28" ht="15.75" x14ac:dyDescent="0.25">
      <c r="A14" s="86" t="s">
        <v>81</v>
      </c>
      <c r="B14" s="57">
        <f>B13*B8</f>
        <v>5770</v>
      </c>
      <c r="C14" s="15"/>
      <c r="D14" s="56"/>
      <c r="E14" s="16"/>
      <c r="F14" s="56"/>
      <c r="G14" s="56"/>
      <c r="H14" s="17"/>
      <c r="I14" s="83"/>
      <c r="J14" s="81">
        <f t="shared" si="0"/>
        <v>5770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583</v>
      </c>
      <c r="Q14" s="158">
        <v>2</v>
      </c>
      <c r="R14" s="159">
        <v>942.43</v>
      </c>
      <c r="S14" s="160"/>
      <c r="T14" s="161"/>
      <c r="U14" s="189">
        <f t="shared" si="2"/>
        <v>0</v>
      </c>
      <c r="V14" s="189">
        <f t="shared" si="3"/>
        <v>7.0682249999999991</v>
      </c>
      <c r="W14" s="189">
        <f t="shared" si="4"/>
        <v>0</v>
      </c>
      <c r="X14" s="189">
        <f t="shared" si="5"/>
        <v>0</v>
      </c>
      <c r="Y14" s="189">
        <f t="shared" si="6"/>
        <v>935.36177499999997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823</v>
      </c>
      <c r="C15" s="15"/>
      <c r="D15" s="56"/>
      <c r="E15" s="16"/>
      <c r="F15" s="56"/>
      <c r="G15" s="56"/>
      <c r="H15" s="17"/>
      <c r="I15" s="83"/>
      <c r="J15" s="81">
        <f t="shared" si="0"/>
        <v>823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563</v>
      </c>
      <c r="Q15" s="158">
        <v>4</v>
      </c>
      <c r="R15" s="159">
        <v>549.34</v>
      </c>
      <c r="S15" s="160"/>
      <c r="T15" s="161">
        <v>28.34</v>
      </c>
      <c r="U15" s="189">
        <f t="shared" si="2"/>
        <v>1.2215517241379312</v>
      </c>
      <c r="V15" s="189">
        <f t="shared" si="3"/>
        <v>4.12005</v>
      </c>
      <c r="W15" s="189">
        <f t="shared" si="4"/>
        <v>0</v>
      </c>
      <c r="X15" s="189">
        <f t="shared" si="5"/>
        <v>0.70850000000000002</v>
      </c>
      <c r="Y15" s="189">
        <f t="shared" si="6"/>
        <v>545.21995000000004</v>
      </c>
      <c r="Z15" s="189">
        <f t="shared" si="6"/>
        <v>0</v>
      </c>
      <c r="AA15" s="189">
        <f t="shared" si="7"/>
        <v>26.409948275862067</v>
      </c>
      <c r="AB15" s="156"/>
    </row>
    <row r="16" spans="1:28" ht="15.75" x14ac:dyDescent="0.25">
      <c r="A16" s="86" t="s">
        <v>81</v>
      </c>
      <c r="B16" s="57">
        <f>B15*B9</f>
        <v>4756.9400000000005</v>
      </c>
      <c r="C16" s="15"/>
      <c r="D16" s="56"/>
      <c r="E16" s="16"/>
      <c r="F16" s="56"/>
      <c r="G16" s="56"/>
      <c r="H16" s="17"/>
      <c r="I16" s="83"/>
      <c r="J16" s="81">
        <f t="shared" si="0"/>
        <v>4756.9400000000005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564</v>
      </c>
      <c r="Q16" s="158">
        <v>4</v>
      </c>
      <c r="R16" s="159">
        <v>1632.09</v>
      </c>
      <c r="S16" s="160"/>
      <c r="T16" s="161">
        <v>19.53</v>
      </c>
      <c r="U16" s="189">
        <f t="shared" si="2"/>
        <v>0.84181034482758632</v>
      </c>
      <c r="V16" s="189">
        <f t="shared" si="3"/>
        <v>12.240675</v>
      </c>
      <c r="W16" s="189">
        <f t="shared" si="4"/>
        <v>0</v>
      </c>
      <c r="X16" s="189">
        <f t="shared" si="5"/>
        <v>0.48825000000000007</v>
      </c>
      <c r="Y16" s="189">
        <f t="shared" si="6"/>
        <v>1619.8493249999999</v>
      </c>
      <c r="Z16" s="189">
        <f t="shared" si="6"/>
        <v>0</v>
      </c>
      <c r="AA16" s="189">
        <f t="shared" si="7"/>
        <v>18.199939655172415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555</v>
      </c>
      <c r="Q17" s="158">
        <v>14</v>
      </c>
      <c r="R17" s="159">
        <v>1020.78</v>
      </c>
      <c r="S17" s="160"/>
      <c r="T17" s="161"/>
      <c r="U17" s="189">
        <f t="shared" si="2"/>
        <v>0</v>
      </c>
      <c r="V17" s="189">
        <f t="shared" si="3"/>
        <v>7.6558499999999992</v>
      </c>
      <c r="W17" s="189">
        <f t="shared" si="4"/>
        <v>0</v>
      </c>
      <c r="X17" s="189">
        <f t="shared" si="5"/>
        <v>0</v>
      </c>
      <c r="Y17" s="189">
        <f t="shared" si="6"/>
        <v>1013.12415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649</v>
      </c>
      <c r="Q18" s="158">
        <v>18</v>
      </c>
      <c r="R18" s="159">
        <v>1132.8900000000001</v>
      </c>
      <c r="S18" s="160"/>
      <c r="T18" s="161">
        <v>14.64</v>
      </c>
      <c r="U18" s="189">
        <f t="shared" si="2"/>
        <v>0.63103448275862073</v>
      </c>
      <c r="V18" s="189">
        <f t="shared" si="3"/>
        <v>8.4966749999999998</v>
      </c>
      <c r="W18" s="189">
        <f t="shared" si="4"/>
        <v>0</v>
      </c>
      <c r="X18" s="189">
        <f t="shared" si="5"/>
        <v>0.36600000000000005</v>
      </c>
      <c r="Y18" s="189">
        <f t="shared" si="6"/>
        <v>1124.393325</v>
      </c>
      <c r="Z18" s="189">
        <f t="shared" si="6"/>
        <v>0</v>
      </c>
      <c r="AA18" s="189">
        <f t="shared" si="7"/>
        <v>13.642965517241381</v>
      </c>
      <c r="AB18" s="156"/>
    </row>
    <row r="19" spans="1:28" ht="15.75" x14ac:dyDescent="0.25">
      <c r="A19" s="93" t="s">
        <v>79</v>
      </c>
      <c r="B19" s="97">
        <f>+B13+B15+B17</f>
        <v>1823</v>
      </c>
      <c r="C19" s="95"/>
      <c r="D19" s="94"/>
      <c r="E19" s="96"/>
      <c r="F19" s="94"/>
      <c r="G19" s="94"/>
      <c r="H19" s="98"/>
      <c r="I19" s="99">
        <v>1823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651</v>
      </c>
      <c r="Q19" s="158">
        <v>18</v>
      </c>
      <c r="R19" s="159">
        <v>348.97</v>
      </c>
      <c r="S19" s="160"/>
      <c r="T19" s="161"/>
      <c r="U19" s="189">
        <f t="shared" si="2"/>
        <v>0</v>
      </c>
      <c r="V19" s="189">
        <f t="shared" si="3"/>
        <v>2.6172750000000002</v>
      </c>
      <c r="W19" s="189">
        <f t="shared" si="4"/>
        <v>0</v>
      </c>
      <c r="X19" s="189">
        <f t="shared" si="5"/>
        <v>0</v>
      </c>
      <c r="Y19" s="189">
        <f t="shared" si="6"/>
        <v>346.35272500000002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10526.94</v>
      </c>
      <c r="C20" s="95"/>
      <c r="D20" s="94"/>
      <c r="E20" s="96"/>
      <c r="F20" s="94"/>
      <c r="G20" s="94"/>
      <c r="H20" s="98"/>
      <c r="I20" s="99">
        <v>10536.94</v>
      </c>
      <c r="J20" s="185">
        <f t="shared" si="0"/>
        <v>-10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650</v>
      </c>
      <c r="Q20" s="158">
        <v>18</v>
      </c>
      <c r="R20" s="159">
        <v>494.13</v>
      </c>
      <c r="S20" s="160"/>
      <c r="T20" s="161">
        <v>26.09</v>
      </c>
      <c r="U20" s="189">
        <f t="shared" si="2"/>
        <v>1.1245689655172415</v>
      </c>
      <c r="V20" s="189">
        <f t="shared" si="3"/>
        <v>3.705975</v>
      </c>
      <c r="W20" s="189">
        <f t="shared" si="4"/>
        <v>0</v>
      </c>
      <c r="X20" s="189">
        <f t="shared" si="5"/>
        <v>0.65225</v>
      </c>
      <c r="Y20" s="189">
        <f t="shared" si="6"/>
        <v>490.42402499999997</v>
      </c>
      <c r="Z20" s="189">
        <f t="shared" si="6"/>
        <v>0</v>
      </c>
      <c r="AA20" s="189">
        <f t="shared" si="7"/>
        <v>24.31318103448276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/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14.13</v>
      </c>
      <c r="C37" s="100"/>
      <c r="D37" s="66"/>
      <c r="E37" s="67"/>
      <c r="F37" s="66"/>
      <c r="G37" s="66"/>
      <c r="H37" s="102"/>
      <c r="I37" s="79"/>
      <c r="J37" s="81">
        <f t="shared" si="0"/>
        <v>14.13</v>
      </c>
      <c r="K37" s="80"/>
      <c r="L37" s="186">
        <f>K37-B37</f>
        <v>-14.13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81.530100000000004</v>
      </c>
      <c r="C38" s="100"/>
      <c r="D38" s="66"/>
      <c r="E38" s="67"/>
      <c r="F38" s="66"/>
      <c r="G38" s="66"/>
      <c r="H38" s="102"/>
      <c r="I38" s="79"/>
      <c r="J38" s="81">
        <f t="shared" si="0"/>
        <v>81.530100000000004</v>
      </c>
      <c r="K38" s="80"/>
      <c r="L38" s="186">
        <f>K38-B38</f>
        <v>-81.530100000000004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>
        <v>31.97</v>
      </c>
      <c r="C39" s="100"/>
      <c r="D39" s="66"/>
      <c r="E39" s="67"/>
      <c r="F39" s="66"/>
      <c r="G39" s="66"/>
      <c r="H39" s="102"/>
      <c r="I39" s="79"/>
      <c r="J39" s="81">
        <f t="shared" si="0"/>
        <v>31.97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184.78659999999999</v>
      </c>
      <c r="C40" s="100"/>
      <c r="D40" s="66"/>
      <c r="E40" s="67"/>
      <c r="F40" s="66"/>
      <c r="G40" s="66"/>
      <c r="H40" s="102"/>
      <c r="I40" s="79"/>
      <c r="J40" s="81">
        <f t="shared" si="0"/>
        <v>184.78659999999999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8818.989999999998</v>
      </c>
      <c r="S42" s="190">
        <f t="shared" si="8"/>
        <v>0</v>
      </c>
      <c r="T42" s="190">
        <f t="shared" si="8"/>
        <v>189.35</v>
      </c>
      <c r="U42" s="190">
        <f t="shared" si="8"/>
        <v>8.161637931034484</v>
      </c>
      <c r="V42" s="190">
        <f t="shared" si="8"/>
        <v>66.142425000000003</v>
      </c>
      <c r="W42" s="190">
        <f t="shared" si="8"/>
        <v>0</v>
      </c>
      <c r="X42" s="190">
        <f t="shared" si="8"/>
        <v>4.7337500000000006</v>
      </c>
      <c r="Y42" s="190">
        <f t="shared" si="8"/>
        <v>8752.8475749999998</v>
      </c>
      <c r="Z42" s="190">
        <f t="shared" si="8"/>
        <v>0</v>
      </c>
      <c r="AA42" s="190">
        <f t="shared" si="8"/>
        <v>176.45461206896553</v>
      </c>
      <c r="AB42" s="166"/>
    </row>
    <row r="43" spans="1:28" ht="15.75" x14ac:dyDescent="0.25">
      <c r="A43" s="93" t="s">
        <v>101</v>
      </c>
      <c r="B43" s="97">
        <f>+B37+B39+B41</f>
        <v>46.1</v>
      </c>
      <c r="C43" s="95"/>
      <c r="D43" s="94"/>
      <c r="E43" s="96"/>
      <c r="F43" s="94"/>
      <c r="G43" s="94"/>
      <c r="H43" s="98"/>
      <c r="I43" s="99">
        <v>46.21</v>
      </c>
      <c r="J43" s="185">
        <f t="shared" si="0"/>
        <v>-0.10999999999999943</v>
      </c>
      <c r="K43" s="99"/>
      <c r="L43" s="187">
        <f>K43-B43</f>
        <v>-46.1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266.31669999999997</v>
      </c>
      <c r="C44" s="95"/>
      <c r="D44" s="94"/>
      <c r="E44" s="96"/>
      <c r="F44" s="94"/>
      <c r="G44" s="94"/>
      <c r="H44" s="98"/>
      <c r="I44" s="99"/>
      <c r="J44" s="185">
        <f t="shared" si="0"/>
        <v>266.31669999999997</v>
      </c>
      <c r="K44" s="99"/>
      <c r="L44" s="187">
        <f>K44-B44</f>
        <v>-266.31669999999997</v>
      </c>
      <c r="M44" s="107"/>
      <c r="N44" s="104">
        <v>2</v>
      </c>
      <c r="O44" s="167" t="s">
        <v>69</v>
      </c>
      <c r="P44" s="158"/>
      <c r="Q44" s="158"/>
      <c r="R44" s="160">
        <v>294.45999999999998</v>
      </c>
      <c r="S44" s="160"/>
      <c r="T44" s="160">
        <v>31.34</v>
      </c>
      <c r="U44" s="189">
        <f t="shared" si="9"/>
        <v>1.3508620689655173</v>
      </c>
      <c r="V44" s="189">
        <f t="shared" si="10"/>
        <v>2.2084499999999996</v>
      </c>
      <c r="W44" s="189">
        <f t="shared" si="11"/>
        <v>0</v>
      </c>
      <c r="X44" s="189">
        <f t="shared" si="12"/>
        <v>0.78350000000000009</v>
      </c>
      <c r="Y44" s="189">
        <f t="shared" si="13"/>
        <v>292.25154999999995</v>
      </c>
      <c r="Z44" s="189">
        <f t="shared" si="13"/>
        <v>0</v>
      </c>
      <c r="AA44" s="189">
        <f t="shared" si="14"/>
        <v>29.205637931034481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1121.51</v>
      </c>
      <c r="S45" s="160">
        <v>18.100000000000001</v>
      </c>
      <c r="T45" s="160">
        <v>32.99</v>
      </c>
      <c r="U45" s="189">
        <f t="shared" si="9"/>
        <v>1.4219827586206899</v>
      </c>
      <c r="V45" s="189">
        <f t="shared" si="10"/>
        <v>8.4113249999999997</v>
      </c>
      <c r="W45" s="189">
        <f t="shared" si="11"/>
        <v>0.13575000000000001</v>
      </c>
      <c r="X45" s="189">
        <f t="shared" si="12"/>
        <v>0.82475000000000009</v>
      </c>
      <c r="Y45" s="189">
        <f t="shared" si="13"/>
        <v>1113.098675</v>
      </c>
      <c r="Z45" s="189">
        <f t="shared" si="13"/>
        <v>17.96425</v>
      </c>
      <c r="AA45" s="189">
        <f t="shared" si="14"/>
        <v>30.743267241379311</v>
      </c>
      <c r="AB45" s="156"/>
    </row>
    <row r="46" spans="1:28" ht="15.75" x14ac:dyDescent="0.25">
      <c r="A46" s="115" t="s">
        <v>27</v>
      </c>
      <c r="B46" s="117">
        <f>R42</f>
        <v>8818.989999999998</v>
      </c>
      <c r="C46" s="116">
        <v>7.4999999999999997E-3</v>
      </c>
      <c r="D46" s="117">
        <f>B46*C46</f>
        <v>66.142424999999989</v>
      </c>
      <c r="E46" s="172">
        <v>0</v>
      </c>
      <c r="F46" s="117">
        <f t="shared" ref="F46:F50" si="15">D46*E46</f>
        <v>0</v>
      </c>
      <c r="G46" s="117">
        <f t="shared" ref="G46:G51" si="16">B46-D46-F46</f>
        <v>8752.847574999998</v>
      </c>
      <c r="H46" s="173">
        <f>B$6+1</f>
        <v>44771</v>
      </c>
      <c r="I46" s="174">
        <v>8818.98</v>
      </c>
      <c r="J46" s="81">
        <f t="shared" si="0"/>
        <v>9.9999999983992893E-3</v>
      </c>
      <c r="K46" s="80"/>
      <c r="L46" s="186">
        <f t="shared" ref="L46:L64" si="17">+G46-K46</f>
        <v>8752.847574999998</v>
      </c>
      <c r="M46" s="107"/>
      <c r="N46" s="104">
        <v>4</v>
      </c>
      <c r="O46" s="167" t="s">
        <v>69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1415.97</v>
      </c>
      <c r="C47" s="116">
        <v>7.4999999999999997E-3</v>
      </c>
      <c r="D47" s="117">
        <f t="shared" ref="D47:D50" si="18">B47*C47</f>
        <v>10.619775000000001</v>
      </c>
      <c r="E47" s="172">
        <v>0</v>
      </c>
      <c r="F47" s="117">
        <f t="shared" si="15"/>
        <v>0</v>
      </c>
      <c r="G47" s="117">
        <f t="shared" si="16"/>
        <v>1405.3502250000001</v>
      </c>
      <c r="H47" s="173">
        <f>B$6+1</f>
        <v>44771</v>
      </c>
      <c r="I47" s="175">
        <v>1498.31</v>
      </c>
      <c r="J47" s="81">
        <f t="shared" si="0"/>
        <v>-82.339999999999918</v>
      </c>
      <c r="K47" s="80"/>
      <c r="L47" s="186">
        <f t="shared" si="17"/>
        <v>1405.3502250000001</v>
      </c>
      <c r="M47" s="107"/>
      <c r="N47" s="104">
        <v>5</v>
      </c>
      <c r="O47" s="167" t="s">
        <v>69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390.75</v>
      </c>
      <c r="C48" s="116">
        <v>1.4999999999999999E-2</v>
      </c>
      <c r="D48" s="117">
        <f t="shared" si="18"/>
        <v>5.8612500000000001</v>
      </c>
      <c r="E48" s="172">
        <v>0</v>
      </c>
      <c r="F48" s="117">
        <f t="shared" si="15"/>
        <v>0</v>
      </c>
      <c r="G48" s="117">
        <f t="shared" si="16"/>
        <v>384.88875000000002</v>
      </c>
      <c r="H48" s="173">
        <f t="shared" ref="H48:H61" si="19">B$6+1</f>
        <v>44771</v>
      </c>
      <c r="I48" s="176">
        <v>390.75</v>
      </c>
      <c r="J48" s="81">
        <f t="shared" si="0"/>
        <v>0</v>
      </c>
      <c r="K48" s="80"/>
      <c r="L48" s="186">
        <f t="shared" si="17"/>
        <v>384.88875000000002</v>
      </c>
      <c r="M48" s="107"/>
      <c r="N48" s="104">
        <v>6</v>
      </c>
      <c r="O48" s="167" t="s">
        <v>69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3310.5600000000004</v>
      </c>
      <c r="C49" s="116">
        <v>7.4999999999999997E-3</v>
      </c>
      <c r="D49" s="117">
        <f t="shared" si="18"/>
        <v>24.829200000000004</v>
      </c>
      <c r="E49" s="172">
        <v>0</v>
      </c>
      <c r="F49" s="117">
        <f t="shared" si="15"/>
        <v>0</v>
      </c>
      <c r="G49" s="117">
        <f t="shared" si="16"/>
        <v>3285.7308000000003</v>
      </c>
      <c r="H49" s="173">
        <f t="shared" si="19"/>
        <v>44771</v>
      </c>
      <c r="I49" s="176">
        <v>3310.66</v>
      </c>
      <c r="J49" s="81">
        <f t="shared" si="0"/>
        <v>-9.9999999999454303E-2</v>
      </c>
      <c r="K49" s="80"/>
      <c r="L49" s="186">
        <f t="shared" si="17"/>
        <v>3285.7308000000003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1976.42</v>
      </c>
      <c r="C50" s="116">
        <v>7.4999999999999997E-3</v>
      </c>
      <c r="D50" s="117">
        <f t="shared" si="18"/>
        <v>14.82315</v>
      </c>
      <c r="E50" s="172">
        <v>0</v>
      </c>
      <c r="F50" s="117">
        <f t="shared" si="15"/>
        <v>0</v>
      </c>
      <c r="G50" s="117">
        <f t="shared" si="16"/>
        <v>1961.5968500000001</v>
      </c>
      <c r="H50" s="173">
        <f t="shared" si="19"/>
        <v>44771</v>
      </c>
      <c r="I50" s="175">
        <v>2620.2199999999998</v>
      </c>
      <c r="J50" s="81">
        <f t="shared" si="0"/>
        <v>-643.79999999999973</v>
      </c>
      <c r="K50" s="80"/>
      <c r="L50" s="186">
        <f>K50-G50</f>
        <v>-1961.5968500000001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643.90000000000009</v>
      </c>
      <c r="C51" s="116">
        <v>1.4999999999999999E-2</v>
      </c>
      <c r="D51" s="117">
        <f>+B51*C51</f>
        <v>9.6585000000000019</v>
      </c>
      <c r="E51" s="172">
        <v>0</v>
      </c>
      <c r="F51" s="117">
        <f>D51*E51</f>
        <v>0</v>
      </c>
      <c r="G51" s="117">
        <f t="shared" si="16"/>
        <v>634.24150000000009</v>
      </c>
      <c r="H51" s="173">
        <f t="shared" si="19"/>
        <v>44771</v>
      </c>
      <c r="I51" s="175"/>
      <c r="J51" s="81">
        <f t="shared" si="0"/>
        <v>643.90000000000009</v>
      </c>
      <c r="K51" s="80"/>
      <c r="L51" s="186">
        <f t="shared" si="17"/>
        <v>634.24150000000009</v>
      </c>
      <c r="M51" s="107"/>
      <c r="N51" s="104">
        <v>9</v>
      </c>
      <c r="O51" s="167" t="s">
        <v>69</v>
      </c>
      <c r="P51" s="153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189.35</v>
      </c>
      <c r="C52" s="116">
        <v>2.5000000000000001E-2</v>
      </c>
      <c r="D52" s="117">
        <f>B52*C52</f>
        <v>4.7337499999999997</v>
      </c>
      <c r="E52" s="172">
        <v>0.05</v>
      </c>
      <c r="F52" s="117">
        <f>(B52/E$10)*E52</f>
        <v>8.1616379310344822</v>
      </c>
      <c r="G52" s="117">
        <f>B52-D52-F52</f>
        <v>176.45461206896553</v>
      </c>
      <c r="H52" s="188">
        <f t="shared" si="19"/>
        <v>44771</v>
      </c>
      <c r="I52" s="176">
        <v>189.35</v>
      </c>
      <c r="J52" s="81">
        <f t="shared" si="0"/>
        <v>0</v>
      </c>
      <c r="K52" s="80"/>
      <c r="L52" s="186">
        <f t="shared" si="17"/>
        <v>176.45461206896553</v>
      </c>
      <c r="M52" s="107"/>
      <c r="N52" s="104">
        <v>10</v>
      </c>
      <c r="O52" s="167" t="s">
        <v>69</v>
      </c>
      <c r="P52" s="168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64.33</v>
      </c>
      <c r="C53" s="116">
        <v>2.5000000000000001E-2</v>
      </c>
      <c r="D53" s="117">
        <f t="shared" ref="D53:D56" si="20">B53*C53</f>
        <v>1.60825</v>
      </c>
      <c r="E53" s="172">
        <v>0.05</v>
      </c>
      <c r="F53" s="117">
        <f t="shared" ref="F53:F56" si="21">(B53/E$10)*E53</f>
        <v>2.7728448275862072</v>
      </c>
      <c r="G53" s="117">
        <f t="shared" ref="G53:G58" si="22">B53-D53-F53</f>
        <v>59.948905172413795</v>
      </c>
      <c r="H53" s="188">
        <f t="shared" si="19"/>
        <v>44771</v>
      </c>
      <c r="I53" s="176"/>
      <c r="J53" s="81">
        <f t="shared" si="0"/>
        <v>64.33</v>
      </c>
      <c r="K53" s="80"/>
      <c r="L53" s="186">
        <f t="shared" si="17"/>
        <v>59.948905172413795</v>
      </c>
      <c r="M53" s="107"/>
      <c r="N53" s="104">
        <v>11</v>
      </c>
      <c r="O53" s="167" t="s">
        <v>69</v>
      </c>
      <c r="P53" s="153"/>
      <c r="Q53" s="158"/>
      <c r="R53" s="160"/>
      <c r="S53" s="160"/>
      <c r="T53" s="160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55.1</v>
      </c>
      <c r="C56" s="116">
        <v>2.5000000000000001E-2</v>
      </c>
      <c r="D56" s="117">
        <f t="shared" si="20"/>
        <v>1.3775000000000002</v>
      </c>
      <c r="E56" s="172">
        <v>0.05</v>
      </c>
      <c r="F56" s="117">
        <f t="shared" si="21"/>
        <v>2.3750000000000004</v>
      </c>
      <c r="G56" s="117">
        <f t="shared" si="22"/>
        <v>51.347500000000004</v>
      </c>
      <c r="H56" s="173">
        <f t="shared" si="19"/>
        <v>44771</v>
      </c>
      <c r="I56" s="176">
        <v>55.1</v>
      </c>
      <c r="J56" s="81">
        <f t="shared" si="0"/>
        <v>0</v>
      </c>
      <c r="K56" s="80"/>
      <c r="L56" s="186">
        <f t="shared" si="17"/>
        <v>51.347500000000004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18.100000000000001</v>
      </c>
      <c r="C58" s="116">
        <v>5.3E-3</v>
      </c>
      <c r="D58" s="117">
        <f>B58*C58</f>
        <v>9.5930000000000001E-2</v>
      </c>
      <c r="E58" s="172">
        <v>0</v>
      </c>
      <c r="F58" s="117">
        <f>D58*E58</f>
        <v>0</v>
      </c>
      <c r="G58" s="117">
        <f t="shared" si="22"/>
        <v>18.004070000000002</v>
      </c>
      <c r="H58" s="173">
        <f>B$6+5</f>
        <v>44775</v>
      </c>
      <c r="I58" s="175"/>
      <c r="J58" s="81">
        <f t="shared" si="0"/>
        <v>18.100000000000001</v>
      </c>
      <c r="K58" s="80"/>
      <c r="L58" s="186">
        <f t="shared" si="17"/>
        <v>18.004070000000002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139.74972999999997</v>
      </c>
      <c r="E61" s="177"/>
      <c r="F61" s="57">
        <f>SUM(F46:F58)</f>
        <v>13.309482758620689</v>
      </c>
      <c r="G61" s="57">
        <f>SUM(G46:G58)</f>
        <v>16730.410787241373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16730.410787241373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1415.97</v>
      </c>
      <c r="S63" s="191">
        <f>SUM(S43:S62)</f>
        <v>18.100000000000001</v>
      </c>
      <c r="T63" s="191">
        <f>SUM(T43:T62)</f>
        <v>64.33</v>
      </c>
      <c r="U63" s="191">
        <f t="shared" ref="U63:X63" si="25">SUM(U43:U62)</f>
        <v>2.7728448275862072</v>
      </c>
      <c r="V63" s="191">
        <f t="shared" si="25"/>
        <v>10.619774999999999</v>
      </c>
      <c r="W63" s="191">
        <f t="shared" si="25"/>
        <v>0.13575000000000001</v>
      </c>
      <c r="X63" s="191">
        <f t="shared" si="25"/>
        <v>1.6082500000000002</v>
      </c>
      <c r="Y63" s="191">
        <f>SUM(Y43:Y62)</f>
        <v>1405.3502249999999</v>
      </c>
      <c r="Z63" s="191">
        <f t="shared" ref="Z63:AA63" si="26">SUM(Z43:Z62)</f>
        <v>17.96425</v>
      </c>
      <c r="AA63" s="191">
        <f t="shared" si="26"/>
        <v>59.948905172413788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33460.821574482747</v>
      </c>
      <c r="H64" s="184"/>
      <c r="I64" s="175"/>
      <c r="J64" s="81">
        <f t="shared" si="0"/>
        <v>0</v>
      </c>
      <c r="K64" s="80"/>
      <c r="L64" s="186">
        <f t="shared" si="17"/>
        <v>33460.821574482747</v>
      </c>
      <c r="M64" s="130"/>
      <c r="N64" s="87">
        <v>1</v>
      </c>
      <c r="O64" s="122" t="s">
        <v>234</v>
      </c>
      <c r="P64" s="87"/>
      <c r="Q64" s="225" t="s">
        <v>290</v>
      </c>
      <c r="R64" s="225">
        <f>22+24.41</f>
        <v>46.41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0.34807499999999997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46.061924999999995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29054.226699999999</v>
      </c>
      <c r="G65" s="22"/>
      <c r="L65" s="132"/>
      <c r="M65" s="131"/>
      <c r="N65" s="87">
        <v>2</v>
      </c>
      <c r="O65" s="122" t="s">
        <v>234</v>
      </c>
      <c r="P65" s="87"/>
      <c r="Q65" s="225">
        <v>9587</v>
      </c>
      <c r="R65" s="221">
        <f>36.47+74.32+63.58+88.72</f>
        <v>263.09000000000003</v>
      </c>
      <c r="S65" s="225"/>
      <c r="T65" s="87"/>
      <c r="U65" s="189">
        <f t="shared" si="27"/>
        <v>0</v>
      </c>
      <c r="V65" s="189">
        <f t="shared" si="28"/>
        <v>1.9731750000000001</v>
      </c>
      <c r="W65" s="189">
        <f t="shared" si="29"/>
        <v>0</v>
      </c>
      <c r="X65" s="189">
        <f t="shared" si="30"/>
        <v>0</v>
      </c>
      <c r="Y65" s="189">
        <f t="shared" si="31"/>
        <v>261.11682500000001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234</v>
      </c>
      <c r="P66" s="87"/>
      <c r="Q66" s="225">
        <v>3739</v>
      </c>
      <c r="R66" s="225">
        <v>7.2</v>
      </c>
      <c r="S66" s="225"/>
      <c r="T66" s="87"/>
      <c r="U66" s="189">
        <f t="shared" si="27"/>
        <v>0</v>
      </c>
      <c r="V66" s="189">
        <f t="shared" si="28"/>
        <v>5.3999999999999999E-2</v>
      </c>
      <c r="W66" s="189">
        <f t="shared" si="29"/>
        <v>0</v>
      </c>
      <c r="X66" s="189">
        <f t="shared" si="30"/>
        <v>0</v>
      </c>
      <c r="Y66" s="189">
        <f t="shared" si="31"/>
        <v>7.1459999999999999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234</v>
      </c>
      <c r="P67" s="87"/>
      <c r="Q67" s="225">
        <v>1123</v>
      </c>
      <c r="R67" s="225">
        <v>27.35</v>
      </c>
      <c r="S67" s="225"/>
      <c r="T67" s="87"/>
      <c r="U67" s="189">
        <f t="shared" si="27"/>
        <v>0</v>
      </c>
      <c r="V67" s="189">
        <f t="shared" si="28"/>
        <v>0.205125</v>
      </c>
      <c r="W67" s="189">
        <f t="shared" si="29"/>
        <v>0</v>
      </c>
      <c r="X67" s="189">
        <f t="shared" si="30"/>
        <v>0</v>
      </c>
      <c r="Y67" s="189">
        <f t="shared" si="31"/>
        <v>27.144875000000003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28678.77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234</v>
      </c>
      <c r="P68" s="87"/>
      <c r="Q68" s="225" t="s">
        <v>289</v>
      </c>
      <c r="R68" s="225">
        <f>23.81+22.89</f>
        <v>46.7</v>
      </c>
      <c r="S68" s="225"/>
      <c r="T68" s="87"/>
      <c r="U68" s="189">
        <f t="shared" si="27"/>
        <v>0</v>
      </c>
      <c r="V68" s="189">
        <f t="shared" si="28"/>
        <v>0.35025000000000001</v>
      </c>
      <c r="W68" s="189">
        <f t="shared" si="29"/>
        <v>0</v>
      </c>
      <c r="X68" s="189">
        <f t="shared" si="30"/>
        <v>0</v>
      </c>
      <c r="Y68" s="189">
        <f t="shared" si="31"/>
        <v>46.34975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28972.33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390.75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2.930625</v>
      </c>
      <c r="W69" s="192">
        <f t="shared" si="33"/>
        <v>0</v>
      </c>
      <c r="X69" s="192">
        <f t="shared" si="33"/>
        <v>0</v>
      </c>
      <c r="Y69" s="192">
        <f t="shared" si="33"/>
        <v>387.81937500000004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B69-B68</f>
        <v>293.56000000000131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230</v>
      </c>
      <c r="P70" s="225">
        <v>181</v>
      </c>
      <c r="Q70" s="225">
        <v>2001</v>
      </c>
      <c r="R70" s="221">
        <v>67.209999999999994</v>
      </c>
      <c r="S70" s="225"/>
      <c r="T70" s="225">
        <v>55.1</v>
      </c>
      <c r="U70" s="189">
        <f t="shared" ref="U70:U74" si="34">((T70/U$10)*U$9)</f>
        <v>2.3750000000000004</v>
      </c>
      <c r="V70" s="189">
        <f t="shared" ref="V70:V74" si="35">R70*V$10</f>
        <v>0.50407499999999994</v>
      </c>
      <c r="W70" s="189">
        <f t="shared" ref="W70:W74" si="36">+S70*V$10</f>
        <v>0</v>
      </c>
      <c r="X70" s="189">
        <f t="shared" ref="X70:X74" si="37">+T70*X$10</f>
        <v>1.3775000000000002</v>
      </c>
      <c r="Y70" s="189">
        <f t="shared" ref="Y70:Z74" si="38">R70-V70</f>
        <v>66.705924999999993</v>
      </c>
      <c r="Z70" s="189">
        <f t="shared" si="38"/>
        <v>0</v>
      </c>
      <c r="AA70" s="189">
        <f t="shared" ref="AA70:AA74" si="39">T70-U70-X70</f>
        <v>51.347500000000004</v>
      </c>
      <c r="AB70" s="87"/>
    </row>
    <row r="71" spans="1:30" ht="28.5" customHeight="1" thickBot="1" x14ac:dyDescent="0.3">
      <c r="A71" s="25" t="s">
        <v>56</v>
      </c>
      <c r="B71" s="70">
        <f>B65-B69</f>
        <v>81.896699999997509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230</v>
      </c>
      <c r="P71" s="225">
        <v>182</v>
      </c>
      <c r="Q71" s="225">
        <v>2001</v>
      </c>
      <c r="R71" s="221">
        <v>105.54</v>
      </c>
      <c r="S71" s="225"/>
      <c r="T71" s="225"/>
      <c r="U71" s="189">
        <f t="shared" si="34"/>
        <v>0</v>
      </c>
      <c r="V71" s="189">
        <f t="shared" si="35"/>
        <v>0.79154999999999998</v>
      </c>
      <c r="W71" s="189">
        <f t="shared" si="36"/>
        <v>0</v>
      </c>
      <c r="X71" s="189">
        <f t="shared" si="37"/>
        <v>0</v>
      </c>
      <c r="Y71" s="189">
        <f t="shared" si="38"/>
        <v>104.74845000000001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230</v>
      </c>
      <c r="P72" s="225">
        <v>33</v>
      </c>
      <c r="Q72" s="225">
        <v>2001</v>
      </c>
      <c r="R72" s="221">
        <v>1471.92</v>
      </c>
      <c r="S72" s="225"/>
      <c r="T72" s="221"/>
      <c r="U72" s="189">
        <f t="shared" si="34"/>
        <v>0</v>
      </c>
      <c r="V72" s="189">
        <f t="shared" si="35"/>
        <v>11.039400000000001</v>
      </c>
      <c r="W72" s="189">
        <f t="shared" si="36"/>
        <v>0</v>
      </c>
      <c r="X72" s="189">
        <f t="shared" si="37"/>
        <v>0</v>
      </c>
      <c r="Y72" s="189">
        <f t="shared" si="38"/>
        <v>1460.8806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230</v>
      </c>
      <c r="P73" s="225">
        <v>188</v>
      </c>
      <c r="Q73" s="225">
        <v>2001</v>
      </c>
      <c r="R73" s="221">
        <v>1665.89</v>
      </c>
      <c r="S73" s="225"/>
      <c r="T73" s="221"/>
      <c r="U73" s="189">
        <f t="shared" si="34"/>
        <v>0</v>
      </c>
      <c r="V73" s="189">
        <f t="shared" si="35"/>
        <v>12.494175</v>
      </c>
      <c r="W73" s="189">
        <f t="shared" si="36"/>
        <v>0</v>
      </c>
      <c r="X73" s="189">
        <f t="shared" si="37"/>
        <v>0</v>
      </c>
      <c r="Y73" s="189">
        <f t="shared" si="38"/>
        <v>1653.3958250000001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1"/>
      <c r="S74" s="225"/>
      <c r="T74" s="22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3310.5600000000004</v>
      </c>
      <c r="S75" s="192"/>
      <c r="T75" s="192">
        <f>SUM(T70:T74)</f>
        <v>55.1</v>
      </c>
      <c r="U75" s="192">
        <f>SUM(U70:U74)</f>
        <v>2.3750000000000004</v>
      </c>
      <c r="V75" s="192">
        <f t="shared" ref="V75:AA75" si="41">SUM(V70:V74)</f>
        <v>24.8292</v>
      </c>
      <c r="W75" s="192">
        <f t="shared" si="41"/>
        <v>0</v>
      </c>
      <c r="X75" s="192">
        <f t="shared" si="41"/>
        <v>1.3775000000000002</v>
      </c>
      <c r="Y75" s="192">
        <f t="shared" si="41"/>
        <v>3285.7308000000003</v>
      </c>
      <c r="Z75" s="192">
        <f t="shared" si="41"/>
        <v>0</v>
      </c>
      <c r="AA75" s="193">
        <f t="shared" si="41"/>
        <v>51.347500000000004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>
        <f>146.86+10.46+186.38</f>
        <v>343.70000000000005</v>
      </c>
      <c r="R78" s="82">
        <v>7.4999999999999997E-3</v>
      </c>
      <c r="S78" s="194">
        <f>+(P78+Q78)*R78</f>
        <v>2.5777500000000004</v>
      </c>
      <c r="T78" s="219">
        <f>+(P78+Q78)-S78</f>
        <v>341.12225000000007</v>
      </c>
      <c r="U78" s="112">
        <f>38.84+30.2</f>
        <v>69.040000000000006</v>
      </c>
      <c r="V78" s="112"/>
      <c r="W78" s="113">
        <v>1.4999999999999999E-2</v>
      </c>
      <c r="X78" s="196">
        <f>+(U78+V78)*W78</f>
        <v>1.0356000000000001</v>
      </c>
      <c r="Y78" s="217">
        <f>+(U78+V78)-X78</f>
        <v>68.004400000000004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17.76+157.63+7.05</f>
        <v>182.44</v>
      </c>
      <c r="R79" s="82">
        <v>7.4999999999999997E-3</v>
      </c>
      <c r="S79" s="194">
        <f t="shared" ref="S79:S97" si="43">+(P79+Q79)*R79</f>
        <v>1.3682999999999998</v>
      </c>
      <c r="T79" s="219">
        <f t="shared" ref="T79:T97" si="44">+(P79+Q79)-S79</f>
        <v>181.07169999999999</v>
      </c>
      <c r="U79" s="211">
        <f>53.3+56.62</f>
        <v>109.91999999999999</v>
      </c>
      <c r="V79" s="112"/>
      <c r="W79" s="113">
        <v>1.4999999999999999E-2</v>
      </c>
      <c r="X79" s="196">
        <f t="shared" ref="X79:X97" si="45">+(U79+V79)*W79</f>
        <v>1.6487999999999998</v>
      </c>
      <c r="Y79" s="217">
        <f t="shared" ref="Y79:Y97" si="46">+(U79+V79)-X79</f>
        <v>108.27119999999999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>
        <f>142.67+9.23+305.69+31.68</f>
        <v>489.27</v>
      </c>
      <c r="R80" s="82">
        <v>7.4999999999999997E-3</v>
      </c>
      <c r="S80" s="194">
        <f t="shared" si="43"/>
        <v>3.6695249999999997</v>
      </c>
      <c r="T80" s="219">
        <f t="shared" si="44"/>
        <v>485.60047499999996</v>
      </c>
      <c r="U80" s="211">
        <f>112.8+125.2</f>
        <v>238</v>
      </c>
      <c r="V80" s="112"/>
      <c r="W80" s="113">
        <v>1.4999999999999999E-2</v>
      </c>
      <c r="X80" s="196">
        <f t="shared" si="45"/>
        <v>3.57</v>
      </c>
      <c r="Y80" s="254">
        <f t="shared" si="46"/>
        <v>234.43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506.07+71.41</f>
        <v>577.48</v>
      </c>
      <c r="R81" s="82">
        <v>7.4999999999999997E-3</v>
      </c>
      <c r="S81" s="194">
        <f t="shared" si="43"/>
        <v>4.3311000000000002</v>
      </c>
      <c r="T81" s="219">
        <f t="shared" si="44"/>
        <v>573.14890000000003</v>
      </c>
      <c r="U81" s="211">
        <v>138.25</v>
      </c>
      <c r="V81" s="112"/>
      <c r="W81" s="113">
        <v>1.4999999999999999E-2</v>
      </c>
      <c r="X81" s="196">
        <f t="shared" si="45"/>
        <v>2.07375</v>
      </c>
      <c r="Y81" s="254">
        <f t="shared" si="46"/>
        <v>136.17625000000001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87"/>
      <c r="Q82" s="87">
        <f>363.25+20.28</f>
        <v>383.53</v>
      </c>
      <c r="R82" s="82">
        <v>7.4999999999999997E-3</v>
      </c>
      <c r="S82" s="194">
        <f t="shared" si="43"/>
        <v>2.8764749999999997</v>
      </c>
      <c r="T82" s="219">
        <f t="shared" si="44"/>
        <v>380.65352499999995</v>
      </c>
      <c r="U82" s="112">
        <v>88.69</v>
      </c>
      <c r="V82" s="112"/>
      <c r="W82" s="113">
        <v>1.4999999999999999E-2</v>
      </c>
      <c r="X82" s="196">
        <f t="shared" si="45"/>
        <v>1.3303499999999999</v>
      </c>
      <c r="Y82" s="235">
        <f t="shared" si="46"/>
        <v>87.359650000000002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3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3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1976.42</v>
      </c>
      <c r="R98" s="111"/>
      <c r="S98" s="195">
        <f>SUM(S78:S97)</f>
        <v>14.823149999999998</v>
      </c>
      <c r="T98" s="195">
        <f>SUM(T78:T97)</f>
        <v>1961.5968500000001</v>
      </c>
      <c r="U98" s="114">
        <f>SUM(U78:U97)</f>
        <v>643.90000000000009</v>
      </c>
      <c r="V98" s="114">
        <f>SUM(V78:V97)</f>
        <v>0</v>
      </c>
      <c r="W98" s="112"/>
      <c r="X98" s="197">
        <f>SUM(X78:X97)</f>
        <v>9.6585000000000001</v>
      </c>
      <c r="Y98" s="197">
        <f>SUM(Y78:Y97)</f>
        <v>634.24149999999997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412.74000000000007</v>
      </c>
      <c r="Q101" s="84"/>
    </row>
    <row r="102" spans="14:30" x14ac:dyDescent="0.25">
      <c r="N102" s="85"/>
      <c r="P102" s="215">
        <f>P79+Q79+U79</f>
        <v>292.36</v>
      </c>
      <c r="Q102" s="84"/>
    </row>
    <row r="103" spans="14:30" x14ac:dyDescent="0.25">
      <c r="N103" s="85"/>
      <c r="P103" s="215">
        <f t="shared" ref="P103:P109" si="50">P80+Q80+U80</f>
        <v>727.27</v>
      </c>
      <c r="Q103" s="84"/>
    </row>
    <row r="104" spans="14:30" x14ac:dyDescent="0.25">
      <c r="N104" s="85"/>
      <c r="P104" s="215">
        <f t="shared" si="50"/>
        <v>715.73</v>
      </c>
      <c r="Q104" s="84"/>
    </row>
    <row r="105" spans="14:30" x14ac:dyDescent="0.25">
      <c r="N105" s="85"/>
      <c r="P105" s="246">
        <f t="shared" si="50"/>
        <v>472.21999999999997</v>
      </c>
      <c r="Q105" s="84"/>
    </row>
    <row r="106" spans="14:30" x14ac:dyDescent="0.25">
      <c r="N106" s="85"/>
      <c r="P106" s="218">
        <f t="shared" si="50"/>
        <v>0</v>
      </c>
      <c r="Q106" s="84"/>
    </row>
    <row r="107" spans="14:30" x14ac:dyDescent="0.25">
      <c r="N107" s="85"/>
      <c r="P107" s="218">
        <f>P84+Q84+U84</f>
        <v>0</v>
      </c>
      <c r="Q107" s="84"/>
    </row>
    <row r="108" spans="14:30" x14ac:dyDescent="0.25">
      <c r="N108" s="85"/>
      <c r="P108" s="84">
        <f>P85+Q85+U85</f>
        <v>0</v>
      </c>
      <c r="Q108" s="84"/>
    </row>
    <row r="109" spans="14:30" x14ac:dyDescent="0.25">
      <c r="N109" s="85"/>
      <c r="P109" s="218">
        <f t="shared" si="50"/>
        <v>0</v>
      </c>
      <c r="Q109" s="84"/>
    </row>
    <row r="110" spans="14:30" x14ac:dyDescent="0.25">
      <c r="N110" s="85"/>
      <c r="P110" s="246">
        <f>P87+Q87+U87</f>
        <v>0</v>
      </c>
      <c r="Q110" s="84"/>
    </row>
    <row r="111" spans="14:30" x14ac:dyDescent="0.25">
      <c r="N111" s="85"/>
      <c r="P111" s="85">
        <f>P88+Q88+U88</f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41" zoomScale="90" zoomScaleNormal="90" workbookViewId="0">
      <selection activeCell="I42" sqref="I4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44771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>
        <v>5.87</v>
      </c>
    </row>
    <row r="9" spans="1:28" x14ac:dyDescent="0.25">
      <c r="A9" s="7" t="s">
        <v>76</v>
      </c>
      <c r="B9" s="108">
        <v>5.78</v>
      </c>
      <c r="C9" s="85" t="s">
        <v>93</v>
      </c>
      <c r="D9" s="108">
        <v>5.91</v>
      </c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1919.5</v>
      </c>
      <c r="C12" s="15"/>
      <c r="D12" s="56"/>
      <c r="E12" s="16"/>
      <c r="F12" s="56"/>
      <c r="G12" s="56"/>
      <c r="H12" s="17"/>
      <c r="I12" s="83">
        <v>1919.5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202</v>
      </c>
      <c r="Q12" s="158">
        <v>11</v>
      </c>
      <c r="R12" s="159">
        <v>2431.9299999999998</v>
      </c>
      <c r="S12" s="160"/>
      <c r="T12" s="160">
        <v>42.03</v>
      </c>
      <c r="U12" s="189">
        <f>((T12/U$10)*U$9)</f>
        <v>1.811637931034483</v>
      </c>
      <c r="V12" s="189">
        <f>R12*V$10</f>
        <v>18.239474999999999</v>
      </c>
      <c r="W12" s="189">
        <f>+S12*V$10</f>
        <v>0</v>
      </c>
      <c r="X12" s="189">
        <f>+T12*X$10</f>
        <v>1.0507500000000001</v>
      </c>
      <c r="Y12" s="189">
        <f>R12-V12</f>
        <v>2413.690525</v>
      </c>
      <c r="Z12" s="189">
        <f>S12-W12</f>
        <v>0</v>
      </c>
      <c r="AA12" s="189">
        <f>T12-U12-X12</f>
        <v>39.167612068965518</v>
      </c>
      <c r="AB12" s="156"/>
    </row>
    <row r="13" spans="1:28" ht="15.75" x14ac:dyDescent="0.25">
      <c r="A13" s="86" t="s">
        <v>74</v>
      </c>
      <c r="B13" s="89">
        <v>1497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1497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201</v>
      </c>
      <c r="Q13" s="158">
        <v>11</v>
      </c>
      <c r="R13" s="159">
        <v>3905.9</v>
      </c>
      <c r="S13" s="160"/>
      <c r="T13" s="161">
        <v>48.3</v>
      </c>
      <c r="U13" s="189">
        <f t="shared" ref="U13:U41" si="2">((T13/U$10)*U$9)</f>
        <v>2.0818965517241383</v>
      </c>
      <c r="V13" s="189">
        <f t="shared" ref="V13:V41" si="3">R13*V$10</f>
        <v>29.294249999999998</v>
      </c>
      <c r="W13" s="189">
        <f t="shared" ref="W13:W41" si="4">+S13*V$10</f>
        <v>0</v>
      </c>
      <c r="X13" s="189">
        <f t="shared" ref="X13:X41" si="5">+T13*X$10</f>
        <v>1.2075</v>
      </c>
      <c r="Y13" s="189">
        <f t="shared" ref="Y13:Z41" si="6">R13-V13</f>
        <v>3876.6057500000002</v>
      </c>
      <c r="Z13" s="189">
        <f t="shared" si="6"/>
        <v>0</v>
      </c>
      <c r="AA13" s="189">
        <f t="shared" ref="AA13:AA41" si="7">T13-U13-X13</f>
        <v>45.010603448275859</v>
      </c>
      <c r="AB13" s="156"/>
    </row>
    <row r="14" spans="1:28" ht="15.75" x14ac:dyDescent="0.25">
      <c r="A14" s="86" t="s">
        <v>81</v>
      </c>
      <c r="B14" s="57">
        <f>B13*B8</f>
        <v>8667.6299999999992</v>
      </c>
      <c r="C14" s="15"/>
      <c r="D14" s="56"/>
      <c r="E14" s="16"/>
      <c r="F14" s="56"/>
      <c r="G14" s="56"/>
      <c r="H14" s="17"/>
      <c r="I14" s="83"/>
      <c r="J14" s="81">
        <f t="shared" si="0"/>
        <v>8667.6299999999992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584</v>
      </c>
      <c r="Q14" s="158">
        <v>2</v>
      </c>
      <c r="R14" s="159">
        <v>1011.18</v>
      </c>
      <c r="S14" s="160"/>
      <c r="T14" s="161">
        <v>70.47</v>
      </c>
      <c r="U14" s="189">
        <f t="shared" si="2"/>
        <v>3.0375000000000001</v>
      </c>
      <c r="V14" s="189">
        <f t="shared" si="3"/>
        <v>7.5838499999999991</v>
      </c>
      <c r="W14" s="189">
        <f t="shared" si="4"/>
        <v>0</v>
      </c>
      <c r="X14" s="189">
        <f t="shared" si="5"/>
        <v>1.7617500000000001</v>
      </c>
      <c r="Y14" s="189">
        <f t="shared" si="6"/>
        <v>1003.59615</v>
      </c>
      <c r="Z14" s="189">
        <f t="shared" si="6"/>
        <v>0</v>
      </c>
      <c r="AA14" s="189">
        <f t="shared" si="7"/>
        <v>65.670749999999998</v>
      </c>
      <c r="AB14" s="156"/>
    </row>
    <row r="15" spans="1:28" ht="15.75" x14ac:dyDescent="0.25">
      <c r="A15" s="86" t="s">
        <v>77</v>
      </c>
      <c r="B15" s="56">
        <v>790</v>
      </c>
      <c r="C15" s="15"/>
      <c r="D15" s="56"/>
      <c r="E15" s="16"/>
      <c r="F15" s="56"/>
      <c r="G15" s="56"/>
      <c r="H15" s="17"/>
      <c r="I15" s="83"/>
      <c r="J15" s="81">
        <f t="shared" si="0"/>
        <v>790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566</v>
      </c>
      <c r="Q15" s="158">
        <v>4</v>
      </c>
      <c r="R15" s="159">
        <v>2453.44</v>
      </c>
      <c r="S15" s="160"/>
      <c r="T15" s="161">
        <v>142.56</v>
      </c>
      <c r="U15" s="189">
        <f t="shared" si="2"/>
        <v>6.1448275862068975</v>
      </c>
      <c r="V15" s="189">
        <f t="shared" si="3"/>
        <v>18.4008</v>
      </c>
      <c r="W15" s="189">
        <f t="shared" si="4"/>
        <v>0</v>
      </c>
      <c r="X15" s="189">
        <f t="shared" si="5"/>
        <v>3.5640000000000001</v>
      </c>
      <c r="Y15" s="189">
        <f t="shared" si="6"/>
        <v>2435.0392000000002</v>
      </c>
      <c r="Z15" s="189">
        <f t="shared" si="6"/>
        <v>0</v>
      </c>
      <c r="AA15" s="189">
        <f t="shared" si="7"/>
        <v>132.85117241379311</v>
      </c>
      <c r="AB15" s="156"/>
    </row>
    <row r="16" spans="1:28" ht="15.75" x14ac:dyDescent="0.25">
      <c r="A16" s="86" t="s">
        <v>81</v>
      </c>
      <c r="B16" s="57">
        <f>B15*B9</f>
        <v>4566.2</v>
      </c>
      <c r="C16" s="15"/>
      <c r="D16" s="56"/>
      <c r="E16" s="16"/>
      <c r="F16" s="56"/>
      <c r="G16" s="56"/>
      <c r="H16" s="17"/>
      <c r="I16" s="83"/>
      <c r="J16" s="81">
        <f t="shared" si="0"/>
        <v>4566.2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565</v>
      </c>
      <c r="Q16" s="158">
        <v>4</v>
      </c>
      <c r="R16" s="159">
        <v>924.31</v>
      </c>
      <c r="S16" s="160"/>
      <c r="T16" s="161">
        <v>20.75</v>
      </c>
      <c r="U16" s="189">
        <f t="shared" si="2"/>
        <v>0.89439655172413812</v>
      </c>
      <c r="V16" s="189">
        <f t="shared" si="3"/>
        <v>6.9323249999999996</v>
      </c>
      <c r="W16" s="189">
        <f t="shared" si="4"/>
        <v>0</v>
      </c>
      <c r="X16" s="189">
        <f t="shared" si="5"/>
        <v>0.51875000000000004</v>
      </c>
      <c r="Y16" s="189">
        <f t="shared" si="6"/>
        <v>917.37767499999995</v>
      </c>
      <c r="Z16" s="189">
        <f t="shared" si="6"/>
        <v>0</v>
      </c>
      <c r="AA16" s="189">
        <f t="shared" si="7"/>
        <v>19.336853448275861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556</v>
      </c>
      <c r="Q17" s="158">
        <v>14</v>
      </c>
      <c r="R17" s="159">
        <v>393.7</v>
      </c>
      <c r="S17" s="160"/>
      <c r="T17" s="161"/>
      <c r="U17" s="189">
        <f t="shared" si="2"/>
        <v>0</v>
      </c>
      <c r="V17" s="189">
        <f t="shared" si="3"/>
        <v>2.95275</v>
      </c>
      <c r="W17" s="189">
        <f t="shared" si="4"/>
        <v>0</v>
      </c>
      <c r="X17" s="189">
        <f t="shared" si="5"/>
        <v>0</v>
      </c>
      <c r="Y17" s="189">
        <f t="shared" si="6"/>
        <v>390.74725000000001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557</v>
      </c>
      <c r="Q18" s="158">
        <v>14</v>
      </c>
      <c r="R18" s="159">
        <v>2148.1999999999998</v>
      </c>
      <c r="S18" s="160"/>
      <c r="T18" s="161"/>
      <c r="U18" s="189">
        <f t="shared" si="2"/>
        <v>0</v>
      </c>
      <c r="V18" s="189">
        <f t="shared" si="3"/>
        <v>16.111499999999999</v>
      </c>
      <c r="W18" s="189">
        <f t="shared" si="4"/>
        <v>0</v>
      </c>
      <c r="X18" s="189">
        <f t="shared" si="5"/>
        <v>0</v>
      </c>
      <c r="Y18" s="189">
        <f t="shared" si="6"/>
        <v>2132.0884999999998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2287</v>
      </c>
      <c r="C19" s="95"/>
      <c r="D19" s="94"/>
      <c r="E19" s="96"/>
      <c r="F19" s="94"/>
      <c r="G19" s="94"/>
      <c r="H19" s="98"/>
      <c r="I19" s="99">
        <v>2287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652</v>
      </c>
      <c r="Q19" s="158">
        <v>18</v>
      </c>
      <c r="R19" s="159">
        <v>1397.77</v>
      </c>
      <c r="S19" s="160"/>
      <c r="T19" s="161"/>
      <c r="U19" s="189">
        <f t="shared" si="2"/>
        <v>0</v>
      </c>
      <c r="V19" s="189">
        <f t="shared" si="3"/>
        <v>10.483274999999999</v>
      </c>
      <c r="W19" s="189">
        <f t="shared" si="4"/>
        <v>0</v>
      </c>
      <c r="X19" s="189">
        <f t="shared" si="5"/>
        <v>0</v>
      </c>
      <c r="Y19" s="189">
        <f t="shared" si="6"/>
        <v>1387.2867249999999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13233.829999999998</v>
      </c>
      <c r="C20" s="95"/>
      <c r="D20" s="94"/>
      <c r="E20" s="96"/>
      <c r="F20" s="94"/>
      <c r="G20" s="94"/>
      <c r="H20" s="98"/>
      <c r="I20" s="99">
        <v>13241.73</v>
      </c>
      <c r="J20" s="185">
        <f t="shared" si="0"/>
        <v>-7.9000000000014552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653</v>
      </c>
      <c r="Q20" s="158">
        <v>18</v>
      </c>
      <c r="R20" s="159">
        <v>2131.81</v>
      </c>
      <c r="S20" s="160"/>
      <c r="T20" s="161">
        <v>5.21</v>
      </c>
      <c r="U20" s="189">
        <f t="shared" si="2"/>
        <v>0.22456896551724143</v>
      </c>
      <c r="V20" s="189">
        <f t="shared" si="3"/>
        <v>15.988574999999999</v>
      </c>
      <c r="W20" s="189">
        <f t="shared" si="4"/>
        <v>0</v>
      </c>
      <c r="X20" s="189">
        <f t="shared" si="5"/>
        <v>0.13025</v>
      </c>
      <c r="Y20" s="189">
        <f t="shared" si="6"/>
        <v>2115.8214250000001</v>
      </c>
      <c r="Z20" s="189">
        <f t="shared" si="6"/>
        <v>0</v>
      </c>
      <c r="AA20" s="189">
        <f t="shared" si="7"/>
        <v>4.855181034482758</v>
      </c>
      <c r="AB20" s="156"/>
    </row>
    <row r="21" spans="1:28" ht="15.75" x14ac:dyDescent="0.25">
      <c r="A21" s="86" t="s">
        <v>82</v>
      </c>
      <c r="B21" s="89">
        <v>2</v>
      </c>
      <c r="C21" s="100"/>
      <c r="D21" s="66"/>
      <c r="E21" s="67"/>
      <c r="F21" s="66"/>
      <c r="G21" s="66"/>
      <c r="H21" s="102"/>
      <c r="I21" s="79"/>
      <c r="J21" s="81">
        <f t="shared" si="0"/>
        <v>2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11.74</v>
      </c>
      <c r="C22" s="100"/>
      <c r="D22" s="66"/>
      <c r="E22" s="67"/>
      <c r="F22" s="66"/>
      <c r="G22" s="66"/>
      <c r="H22" s="102"/>
      <c r="I22" s="79"/>
      <c r="J22" s="81">
        <f t="shared" si="0"/>
        <v>11.74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>
        <v>3</v>
      </c>
      <c r="C23" s="100"/>
      <c r="D23" s="66"/>
      <c r="E23" s="67"/>
      <c r="F23" s="66"/>
      <c r="G23" s="66"/>
      <c r="H23" s="102"/>
      <c r="I23" s="79"/>
      <c r="J23" s="81">
        <f t="shared" si="0"/>
        <v>3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17.73</v>
      </c>
      <c r="C24" s="100"/>
      <c r="D24" s="66"/>
      <c r="E24" s="67"/>
      <c r="F24" s="66"/>
      <c r="G24" s="66"/>
      <c r="H24" s="102"/>
      <c r="I24" s="79"/>
      <c r="J24" s="81">
        <f t="shared" si="0"/>
        <v>17.73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29.47</v>
      </c>
      <c r="C28" s="95"/>
      <c r="D28" s="94"/>
      <c r="E28" s="96"/>
      <c r="F28" s="94"/>
      <c r="G28" s="94"/>
      <c r="H28" s="98"/>
      <c r="I28" s="99">
        <v>29.55</v>
      </c>
      <c r="J28" s="185">
        <f t="shared" si="0"/>
        <v>-8.0000000000001847E-2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55.46</v>
      </c>
      <c r="C29" s="100"/>
      <c r="D29" s="66"/>
      <c r="E29" s="67"/>
      <c r="F29" s="66"/>
      <c r="G29" s="66"/>
      <c r="H29" s="102"/>
      <c r="I29" s="79"/>
      <c r="J29" s="81">
        <f t="shared" si="0"/>
        <v>55.46</v>
      </c>
      <c r="K29" s="80"/>
      <c r="L29" s="186">
        <f>K29-B29</f>
        <v>-55.46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321.11340000000001</v>
      </c>
      <c r="C30" s="100"/>
      <c r="D30" s="66"/>
      <c r="E30" s="67"/>
      <c r="F30" s="66"/>
      <c r="G30" s="66"/>
      <c r="H30" s="102"/>
      <c r="I30" s="79"/>
      <c r="J30" s="81">
        <f t="shared" si="0"/>
        <v>321.11340000000001</v>
      </c>
      <c r="K30" s="80"/>
      <c r="L30" s="186">
        <f>K30-B30</f>
        <v>-321.11340000000001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55.46</v>
      </c>
      <c r="C35" s="95"/>
      <c r="D35" s="94"/>
      <c r="E35" s="96"/>
      <c r="F35" s="94"/>
      <c r="G35" s="94"/>
      <c r="H35" s="98"/>
      <c r="I35" s="99">
        <v>55.46</v>
      </c>
      <c r="J35" s="185">
        <f t="shared" si="0"/>
        <v>0</v>
      </c>
      <c r="K35" s="99"/>
      <c r="L35" s="187">
        <f t="shared" ref="L35:L40" si="8">K35-B35</f>
        <v>-55.46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321.11340000000001</v>
      </c>
      <c r="C36" s="95"/>
      <c r="D36" s="94"/>
      <c r="E36" s="96"/>
      <c r="F36" s="94"/>
      <c r="G36" s="94"/>
      <c r="H36" s="98"/>
      <c r="I36" s="99"/>
      <c r="J36" s="185">
        <f t="shared" si="0"/>
        <v>321.11340000000001</v>
      </c>
      <c r="K36" s="99"/>
      <c r="L36" s="187">
        <f t="shared" si="8"/>
        <v>-321.11340000000001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47.97</v>
      </c>
      <c r="C37" s="100"/>
      <c r="D37" s="66"/>
      <c r="E37" s="67"/>
      <c r="F37" s="66"/>
      <c r="G37" s="66"/>
      <c r="H37" s="102"/>
      <c r="I37" s="79"/>
      <c r="J37" s="81">
        <f t="shared" si="0"/>
        <v>47.97</v>
      </c>
      <c r="K37" s="80"/>
      <c r="L37" s="186">
        <f t="shared" si="8"/>
        <v>-47.97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277.74630000000002</v>
      </c>
      <c r="C38" s="100"/>
      <c r="D38" s="66"/>
      <c r="E38" s="67"/>
      <c r="F38" s="66"/>
      <c r="G38" s="66"/>
      <c r="H38" s="102"/>
      <c r="I38" s="79"/>
      <c r="J38" s="81">
        <f t="shared" si="0"/>
        <v>277.74630000000002</v>
      </c>
      <c r="K38" s="80"/>
      <c r="L38" s="186">
        <f t="shared" si="8"/>
        <v>-277.74630000000002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9">SUM(R12:R41)</f>
        <v>16798.240000000002</v>
      </c>
      <c r="S42" s="190">
        <f t="shared" si="9"/>
        <v>0</v>
      </c>
      <c r="T42" s="190">
        <f t="shared" si="9"/>
        <v>329.32</v>
      </c>
      <c r="U42" s="190">
        <f t="shared" si="9"/>
        <v>14.194827586206898</v>
      </c>
      <c r="V42" s="190">
        <f t="shared" si="9"/>
        <v>125.98679999999999</v>
      </c>
      <c r="W42" s="190">
        <f t="shared" si="9"/>
        <v>0</v>
      </c>
      <c r="X42" s="190">
        <f t="shared" si="9"/>
        <v>8.2330000000000005</v>
      </c>
      <c r="Y42" s="190">
        <f t="shared" si="9"/>
        <v>16672.253199999999</v>
      </c>
      <c r="Z42" s="190">
        <f t="shared" si="9"/>
        <v>0</v>
      </c>
      <c r="AA42" s="190">
        <f t="shared" si="9"/>
        <v>306.89217241379311</v>
      </c>
      <c r="AB42" s="166"/>
    </row>
    <row r="43" spans="1:28" ht="15.75" x14ac:dyDescent="0.25">
      <c r="A43" s="93" t="s">
        <v>101</v>
      </c>
      <c r="B43" s="97">
        <f>+B37+B39+B41</f>
        <v>47.97</v>
      </c>
      <c r="C43" s="95"/>
      <c r="D43" s="94"/>
      <c r="E43" s="96"/>
      <c r="F43" s="94"/>
      <c r="G43" s="94"/>
      <c r="H43" s="98"/>
      <c r="I43" s="99">
        <v>47.97</v>
      </c>
      <c r="J43" s="185">
        <f t="shared" si="0"/>
        <v>0</v>
      </c>
      <c r="K43" s="99"/>
      <c r="L43" s="187">
        <f>K43-B43</f>
        <v>-47.97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60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277.74630000000002</v>
      </c>
      <c r="C44" s="95"/>
      <c r="D44" s="94"/>
      <c r="E44" s="96"/>
      <c r="F44" s="94"/>
      <c r="G44" s="94"/>
      <c r="H44" s="98"/>
      <c r="I44" s="99">
        <v>277.75</v>
      </c>
      <c r="J44" s="185">
        <f t="shared" si="0"/>
        <v>-3.6999999999807187E-3</v>
      </c>
      <c r="K44" s="99"/>
      <c r="L44" s="187">
        <f>K44-B44</f>
        <v>-277.74630000000002</v>
      </c>
      <c r="M44" s="107"/>
      <c r="N44" s="104">
        <v>2</v>
      </c>
      <c r="O44" s="167" t="s">
        <v>69</v>
      </c>
      <c r="P44" s="158"/>
      <c r="Q44" s="158"/>
      <c r="R44" s="160">
        <v>756.21</v>
      </c>
      <c r="S44" s="160"/>
      <c r="T44" s="160"/>
      <c r="U44" s="189">
        <f t="shared" si="10"/>
        <v>0</v>
      </c>
      <c r="V44" s="189">
        <f t="shared" si="11"/>
        <v>5.6715749999999998</v>
      </c>
      <c r="W44" s="189">
        <f t="shared" si="12"/>
        <v>0</v>
      </c>
      <c r="X44" s="189">
        <f t="shared" si="13"/>
        <v>0</v>
      </c>
      <c r="Y44" s="189">
        <f t="shared" si="14"/>
        <v>750.53842500000007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1999.24</v>
      </c>
      <c r="S45" s="160"/>
      <c r="T45" s="160">
        <v>50</v>
      </c>
      <c r="U45" s="189">
        <f t="shared" si="10"/>
        <v>2.1551724137931036</v>
      </c>
      <c r="V45" s="189">
        <f t="shared" si="11"/>
        <v>14.994299999999999</v>
      </c>
      <c r="W45" s="189">
        <f t="shared" si="12"/>
        <v>0</v>
      </c>
      <c r="X45" s="189">
        <f t="shared" si="13"/>
        <v>1.25</v>
      </c>
      <c r="Y45" s="189">
        <f t="shared" si="14"/>
        <v>1984.2456999999999</v>
      </c>
      <c r="Z45" s="189">
        <f t="shared" si="14"/>
        <v>0</v>
      </c>
      <c r="AA45" s="189">
        <f t="shared" si="15"/>
        <v>46.594827586206897</v>
      </c>
      <c r="AB45" s="156"/>
    </row>
    <row r="46" spans="1:28" ht="15.75" x14ac:dyDescent="0.25">
      <c r="A46" s="115" t="s">
        <v>27</v>
      </c>
      <c r="B46" s="117">
        <f>R42</f>
        <v>16798.240000000002</v>
      </c>
      <c r="C46" s="116">
        <v>7.4999999999999997E-3</v>
      </c>
      <c r="D46" s="117">
        <f>B46*C46</f>
        <v>125.9868</v>
      </c>
      <c r="E46" s="172">
        <v>0</v>
      </c>
      <c r="F46" s="117">
        <f t="shared" ref="F46:F50" si="16">D46*E46</f>
        <v>0</v>
      </c>
      <c r="G46" s="117">
        <f t="shared" ref="G46:G51" si="17">B46-D46-F46</f>
        <v>16672.253200000003</v>
      </c>
      <c r="H46" s="173">
        <f>B$6+1</f>
        <v>44772</v>
      </c>
      <c r="I46" s="174">
        <v>13538.14</v>
      </c>
      <c r="J46" s="81">
        <f t="shared" si="0"/>
        <v>3260.1000000000022</v>
      </c>
      <c r="K46" s="80"/>
      <c r="L46" s="186">
        <f t="shared" ref="L46:L64" si="18">+G46-K46</f>
        <v>16672.253200000003</v>
      </c>
      <c r="M46" s="107"/>
      <c r="N46" s="104">
        <v>4</v>
      </c>
      <c r="O46" s="167" t="s">
        <v>69</v>
      </c>
      <c r="P46" s="153"/>
      <c r="Q46" s="158"/>
      <c r="R46" s="160"/>
      <c r="S46" s="160"/>
      <c r="T46" s="160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2755.45</v>
      </c>
      <c r="C47" s="116">
        <v>7.4999999999999997E-3</v>
      </c>
      <c r="D47" s="117">
        <f t="shared" ref="D47:D50" si="19">B47*C47</f>
        <v>20.665874999999996</v>
      </c>
      <c r="E47" s="172">
        <v>0</v>
      </c>
      <c r="F47" s="117">
        <f t="shared" si="16"/>
        <v>0</v>
      </c>
      <c r="G47" s="117">
        <f t="shared" si="17"/>
        <v>2734.7841249999997</v>
      </c>
      <c r="H47" s="173">
        <f>B$6+1</f>
        <v>44772</v>
      </c>
      <c r="I47" s="175">
        <v>2755.45</v>
      </c>
      <c r="J47" s="81">
        <f t="shared" si="0"/>
        <v>0</v>
      </c>
      <c r="K47" s="80"/>
      <c r="L47" s="186">
        <f t="shared" si="18"/>
        <v>2734.7841249999997</v>
      </c>
      <c r="M47" s="107"/>
      <c r="N47" s="104">
        <v>5</v>
      </c>
      <c r="O47" s="167" t="s">
        <v>69</v>
      </c>
      <c r="P47" s="153"/>
      <c r="Q47" s="158"/>
      <c r="R47" s="160"/>
      <c r="S47" s="160"/>
      <c r="T47" s="160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170</v>
      </c>
      <c r="B48" s="117">
        <f>R69</f>
        <v>125.03</v>
      </c>
      <c r="C48" s="116">
        <v>1.4999999999999999E-2</v>
      </c>
      <c r="D48" s="117">
        <f t="shared" si="19"/>
        <v>1.8754499999999998</v>
      </c>
      <c r="E48" s="172">
        <v>0</v>
      </c>
      <c r="F48" s="117">
        <f t="shared" si="16"/>
        <v>0</v>
      </c>
      <c r="G48" s="117">
        <f t="shared" si="17"/>
        <v>123.15455</v>
      </c>
      <c r="H48" s="173">
        <f t="shared" ref="H48:H61" si="20">B$6+1</f>
        <v>44772</v>
      </c>
      <c r="I48" s="176">
        <v>125.03</v>
      </c>
      <c r="J48" s="81">
        <f t="shared" si="0"/>
        <v>0</v>
      </c>
      <c r="K48" s="80"/>
      <c r="L48" s="186">
        <f t="shared" si="18"/>
        <v>123.15455</v>
      </c>
      <c r="M48" s="107"/>
      <c r="N48" s="104">
        <v>6</v>
      </c>
      <c r="O48" s="167" t="s">
        <v>69</v>
      </c>
      <c r="P48" s="153"/>
      <c r="Q48" s="158"/>
      <c r="R48" s="160"/>
      <c r="S48" s="160"/>
      <c r="T48" s="160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237</v>
      </c>
      <c r="B49" s="117">
        <f>R75</f>
        <v>4326.8900000000003</v>
      </c>
      <c r="C49" s="116">
        <v>7.4999999999999997E-3</v>
      </c>
      <c r="D49" s="117">
        <f t="shared" si="19"/>
        <v>32.451675000000002</v>
      </c>
      <c r="E49" s="172">
        <v>0</v>
      </c>
      <c r="F49" s="117">
        <f t="shared" si="16"/>
        <v>0</v>
      </c>
      <c r="G49" s="117">
        <f t="shared" si="17"/>
        <v>4294.4383250000001</v>
      </c>
      <c r="H49" s="173">
        <f t="shared" si="20"/>
        <v>44772</v>
      </c>
      <c r="I49" s="176">
        <v>4326.8900000000003</v>
      </c>
      <c r="J49" s="81">
        <f t="shared" si="0"/>
        <v>0</v>
      </c>
      <c r="K49" s="80"/>
      <c r="L49" s="186">
        <f t="shared" si="18"/>
        <v>4294.4383250000001</v>
      </c>
      <c r="M49" s="107"/>
      <c r="N49" s="104">
        <v>7</v>
      </c>
      <c r="O49" s="167" t="s">
        <v>69</v>
      </c>
      <c r="P49" s="153"/>
      <c r="Q49" s="158"/>
      <c r="R49" s="160"/>
      <c r="S49" s="160"/>
      <c r="T49" s="160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2922.35</v>
      </c>
      <c r="C50" s="116">
        <v>7.4999999999999997E-3</v>
      </c>
      <c r="D50" s="117">
        <f t="shared" si="19"/>
        <v>21.917624999999997</v>
      </c>
      <c r="E50" s="172">
        <v>0</v>
      </c>
      <c r="F50" s="117">
        <f t="shared" si="16"/>
        <v>0</v>
      </c>
      <c r="G50" s="117">
        <f t="shared" si="17"/>
        <v>2900.4323749999999</v>
      </c>
      <c r="H50" s="173">
        <f t="shared" si="20"/>
        <v>44772</v>
      </c>
      <c r="I50" s="175">
        <v>4106.3100000000004</v>
      </c>
      <c r="J50" s="81">
        <f>B50-I50</f>
        <v>-1183.9600000000005</v>
      </c>
      <c r="K50" s="80"/>
      <c r="L50" s="186">
        <f t="shared" si="18"/>
        <v>2900.4323749999999</v>
      </c>
      <c r="M50" s="107"/>
      <c r="N50" s="104">
        <v>8</v>
      </c>
      <c r="O50" s="167" t="s">
        <v>69</v>
      </c>
      <c r="P50" s="153"/>
      <c r="Q50" s="158"/>
      <c r="R50" s="160"/>
      <c r="S50" s="160"/>
      <c r="T50" s="160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1184.46</v>
      </c>
      <c r="C51" s="116">
        <v>1.4999999999999999E-2</v>
      </c>
      <c r="D51" s="117">
        <f>+B51*C51</f>
        <v>17.7669</v>
      </c>
      <c r="E51" s="172">
        <v>0</v>
      </c>
      <c r="F51" s="117">
        <f>D51*E51</f>
        <v>0</v>
      </c>
      <c r="G51" s="117">
        <f t="shared" si="17"/>
        <v>1166.6931</v>
      </c>
      <c r="H51" s="173">
        <f t="shared" si="20"/>
        <v>44772</v>
      </c>
      <c r="I51" s="175"/>
      <c r="J51" s="81">
        <f t="shared" si="0"/>
        <v>1184.46</v>
      </c>
      <c r="K51" s="80"/>
      <c r="L51" s="186">
        <f t="shared" si="18"/>
        <v>1166.6931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329.32</v>
      </c>
      <c r="C52" s="116">
        <v>2.5000000000000001E-2</v>
      </c>
      <c r="D52" s="117">
        <f>B52*C52</f>
        <v>8.2330000000000005</v>
      </c>
      <c r="E52" s="172">
        <v>0.05</v>
      </c>
      <c r="F52" s="117">
        <f>(B52/E$10)*E52</f>
        <v>14.194827586206898</v>
      </c>
      <c r="G52" s="117">
        <f>B52-D52-F52</f>
        <v>306.89217241379311</v>
      </c>
      <c r="H52" s="188">
        <f t="shared" si="20"/>
        <v>44772</v>
      </c>
      <c r="I52" s="176">
        <v>329.32</v>
      </c>
      <c r="J52" s="81">
        <f t="shared" si="0"/>
        <v>0</v>
      </c>
      <c r="K52" s="80"/>
      <c r="L52" s="186">
        <f t="shared" si="18"/>
        <v>306.89217241379311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50</v>
      </c>
      <c r="C53" s="116">
        <v>2.5000000000000001E-2</v>
      </c>
      <c r="D53" s="117">
        <f t="shared" ref="D53:D56" si="21">B53*C53</f>
        <v>1.25</v>
      </c>
      <c r="E53" s="172">
        <v>0.05</v>
      </c>
      <c r="F53" s="117">
        <f t="shared" ref="F53:F56" si="22">(B53/E$10)*E53</f>
        <v>2.1551724137931036</v>
      </c>
      <c r="G53" s="117">
        <f t="shared" ref="G53:G58" si="23">B53-D53-F53</f>
        <v>46.594827586206897</v>
      </c>
      <c r="H53" s="188">
        <f t="shared" si="20"/>
        <v>44772</v>
      </c>
      <c r="I53" s="176">
        <v>50</v>
      </c>
      <c r="J53" s="81">
        <f t="shared" si="0"/>
        <v>0</v>
      </c>
      <c r="K53" s="80"/>
      <c r="L53" s="186">
        <f t="shared" si="18"/>
        <v>46.594827586206897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44772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44772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212</v>
      </c>
      <c r="B56" s="117">
        <f>T75</f>
        <v>367.64</v>
      </c>
      <c r="C56" s="116">
        <v>2.5000000000000001E-2</v>
      </c>
      <c r="D56" s="117">
        <f t="shared" si="21"/>
        <v>9.1910000000000007</v>
      </c>
      <c r="E56" s="172">
        <v>0.05</v>
      </c>
      <c r="F56" s="117">
        <f t="shared" si="22"/>
        <v>15.846551724137932</v>
      </c>
      <c r="G56" s="117">
        <f t="shared" si="23"/>
        <v>342.60244827586206</v>
      </c>
      <c r="H56" s="173">
        <f t="shared" si="20"/>
        <v>44772</v>
      </c>
      <c r="I56" s="176">
        <v>367.64</v>
      </c>
      <c r="J56" s="81">
        <f t="shared" si="0"/>
        <v>0</v>
      </c>
      <c r="K56" s="80"/>
      <c r="L56" s="186">
        <f t="shared" si="18"/>
        <v>342.60244827586206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239.33832499999997</v>
      </c>
      <c r="E61" s="177"/>
      <c r="F61" s="57">
        <f>SUM(F46:F58)</f>
        <v>32.196551724137933</v>
      </c>
      <c r="G61" s="57">
        <f>SUM(G46:G58)</f>
        <v>28587.845123275863</v>
      </c>
      <c r="H61" s="173">
        <f t="shared" si="20"/>
        <v>44772</v>
      </c>
      <c r="I61" s="175"/>
      <c r="J61" s="81">
        <f t="shared" si="0"/>
        <v>0</v>
      </c>
      <c r="K61" s="80"/>
      <c r="L61" s="186">
        <f t="shared" si="18"/>
        <v>28587.845123275863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2755.45</v>
      </c>
      <c r="S63" s="191">
        <f>SUM(S43:S62)</f>
        <v>0</v>
      </c>
      <c r="T63" s="191">
        <f>SUM(T43:T62)</f>
        <v>50</v>
      </c>
      <c r="U63" s="191">
        <f t="shared" ref="U63:X63" si="26">SUM(U43:U62)</f>
        <v>2.1551724137931036</v>
      </c>
      <c r="V63" s="191">
        <f t="shared" si="26"/>
        <v>20.665875</v>
      </c>
      <c r="W63" s="191">
        <f t="shared" si="26"/>
        <v>0</v>
      </c>
      <c r="X63" s="191">
        <f t="shared" si="26"/>
        <v>1.25</v>
      </c>
      <c r="Y63" s="191">
        <f>SUM(Y43:Y62)</f>
        <v>2734.7841250000001</v>
      </c>
      <c r="Z63" s="191">
        <f t="shared" ref="Z63:AA63" si="27">SUM(Z43:Z62)</f>
        <v>0</v>
      </c>
      <c r="AA63" s="191">
        <f t="shared" si="27"/>
        <v>46.594827586206897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57175.690246551727</v>
      </c>
      <c r="H64" s="184"/>
      <c r="I64" s="175"/>
      <c r="J64" s="81">
        <f t="shared" si="0"/>
        <v>0</v>
      </c>
      <c r="K64" s="80"/>
      <c r="L64" s="186">
        <f t="shared" si="18"/>
        <v>57175.690246551727</v>
      </c>
      <c r="M64" s="130"/>
      <c r="N64" s="87">
        <v>1</v>
      </c>
      <c r="O64" s="122" t="s">
        <v>211</v>
      </c>
      <c r="P64" s="225"/>
      <c r="Q64" s="225">
        <v>7779</v>
      </c>
      <c r="R64" s="225">
        <v>25.31</v>
      </c>
      <c r="S64" s="225"/>
      <c r="T64" s="87"/>
      <c r="U64" s="189">
        <f t="shared" ref="U64:U68" si="28">((T64/U$10)*U$9)</f>
        <v>0</v>
      </c>
      <c r="V64" s="189">
        <f t="shared" ref="V64:V68" si="29">R64*V$10</f>
        <v>0.18982499999999999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25.120175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44641.039699999994</v>
      </c>
      <c r="G65" s="22"/>
      <c r="L65" s="132"/>
      <c r="M65" s="131"/>
      <c r="N65" s="87">
        <v>2</v>
      </c>
      <c r="O65" s="122" t="s">
        <v>211</v>
      </c>
      <c r="P65" s="225"/>
      <c r="Q65" s="225">
        <v>2055</v>
      </c>
      <c r="R65" s="221">
        <v>43.19</v>
      </c>
      <c r="S65" s="225"/>
      <c r="T65" s="87"/>
      <c r="U65" s="189">
        <f t="shared" si="28"/>
        <v>0</v>
      </c>
      <c r="V65" s="189">
        <f t="shared" si="29"/>
        <v>0.32392499999999996</v>
      </c>
      <c r="W65" s="189">
        <f t="shared" si="30"/>
        <v>0</v>
      </c>
      <c r="X65" s="189">
        <f t="shared" si="31"/>
        <v>0</v>
      </c>
      <c r="Y65" s="189">
        <f t="shared" si="32"/>
        <v>42.866074999999995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211</v>
      </c>
      <c r="P66" s="225"/>
      <c r="Q66" s="225">
        <v>8885</v>
      </c>
      <c r="R66" s="225">
        <v>23.22</v>
      </c>
      <c r="S66" s="225"/>
      <c r="T66" s="87"/>
      <c r="U66" s="189">
        <f t="shared" si="28"/>
        <v>0</v>
      </c>
      <c r="V66" s="189">
        <f t="shared" si="29"/>
        <v>0.17414999999999997</v>
      </c>
      <c r="W66" s="189">
        <f t="shared" si="30"/>
        <v>0</v>
      </c>
      <c r="X66" s="189">
        <f t="shared" si="31"/>
        <v>0</v>
      </c>
      <c r="Y66" s="189">
        <f t="shared" si="32"/>
        <v>23.045849999999998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211</v>
      </c>
      <c r="P67" s="225"/>
      <c r="Q67" s="225">
        <v>4491</v>
      </c>
      <c r="R67" s="225">
        <v>11.27</v>
      </c>
      <c r="S67" s="225"/>
      <c r="T67" s="87"/>
      <c r="U67" s="189">
        <f t="shared" si="28"/>
        <v>0</v>
      </c>
      <c r="V67" s="189">
        <f t="shared" si="29"/>
        <v>8.4524999999999989E-2</v>
      </c>
      <c r="W67" s="189">
        <f t="shared" si="30"/>
        <v>0</v>
      </c>
      <c r="X67" s="189">
        <f t="shared" si="31"/>
        <v>0</v>
      </c>
      <c r="Y67" s="189">
        <f t="shared" si="32"/>
        <v>11.185475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41466.720000000001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211</v>
      </c>
      <c r="P68" s="225"/>
      <c r="Q68" s="225">
        <v>1787</v>
      </c>
      <c r="R68" s="221">
        <v>22.04</v>
      </c>
      <c r="S68" s="225"/>
      <c r="T68" s="87"/>
      <c r="U68" s="189">
        <f t="shared" si="28"/>
        <v>0</v>
      </c>
      <c r="V68" s="189">
        <f t="shared" si="29"/>
        <v>0.16529999999999997</v>
      </c>
      <c r="W68" s="189">
        <f t="shared" si="30"/>
        <v>0</v>
      </c>
      <c r="X68" s="189">
        <f t="shared" si="31"/>
        <v>0</v>
      </c>
      <c r="Y68" s="189">
        <f t="shared" si="32"/>
        <v>21.874700000000001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41086.949999999997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125.03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0.93772499999999992</v>
      </c>
      <c r="W69" s="192">
        <f t="shared" si="34"/>
        <v>0</v>
      </c>
      <c r="X69" s="192">
        <f t="shared" si="34"/>
        <v>0</v>
      </c>
      <c r="Y69" s="192">
        <f t="shared" si="34"/>
        <v>124.092275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379.77000000000407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184</v>
      </c>
      <c r="Q70" s="225">
        <v>2001</v>
      </c>
      <c r="R70" s="221">
        <v>160.16999999999999</v>
      </c>
      <c r="S70" s="225"/>
      <c r="T70" s="225"/>
      <c r="U70" s="189">
        <f t="shared" ref="U70:U74" si="35">((T70/U$10)*U$9)</f>
        <v>0</v>
      </c>
      <c r="V70" s="189">
        <f t="shared" ref="V70:V74" si="36">R70*V$10</f>
        <v>1.2012749999999999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158.96872499999998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3174.3196999999927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210</v>
      </c>
      <c r="P71" s="225">
        <v>183</v>
      </c>
      <c r="Q71" s="225">
        <v>2001</v>
      </c>
      <c r="R71" s="221">
        <v>402.55</v>
      </c>
      <c r="S71" s="225"/>
      <c r="T71" s="225"/>
      <c r="U71" s="189">
        <f t="shared" si="35"/>
        <v>0</v>
      </c>
      <c r="V71" s="189">
        <f t="shared" si="36"/>
        <v>3.0191249999999998</v>
      </c>
      <c r="W71" s="189">
        <f t="shared" si="37"/>
        <v>0</v>
      </c>
      <c r="X71" s="189">
        <f t="shared" si="38"/>
        <v>0</v>
      </c>
      <c r="Y71" s="189">
        <f t="shared" si="39"/>
        <v>399.53087500000004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>
        <v>35</v>
      </c>
      <c r="Q72" s="225">
        <v>2001</v>
      </c>
      <c r="R72" s="221">
        <v>1059.44</v>
      </c>
      <c r="S72" s="221"/>
      <c r="T72" s="225">
        <v>202.46</v>
      </c>
      <c r="U72" s="189">
        <f t="shared" si="35"/>
        <v>8.7267241379310345</v>
      </c>
      <c r="V72" s="189">
        <f t="shared" si="36"/>
        <v>7.9458000000000002</v>
      </c>
      <c r="W72" s="189" t="e">
        <f>+#REF!*V$10</f>
        <v>#REF!</v>
      </c>
      <c r="X72" s="189">
        <f t="shared" si="38"/>
        <v>5.0615000000000006</v>
      </c>
      <c r="Y72" s="189">
        <f t="shared" si="39"/>
        <v>1051.4942000000001</v>
      </c>
      <c r="Z72" s="189" t="e">
        <f>#REF!-W72</f>
        <v>#REF!</v>
      </c>
      <c r="AA72" s="189">
        <f t="shared" si="40"/>
        <v>188.67177586206898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>
        <v>189</v>
      </c>
      <c r="Q73" s="225">
        <v>2001</v>
      </c>
      <c r="R73" s="85">
        <v>2060.9299999999998</v>
      </c>
      <c r="S73" s="225"/>
      <c r="T73" s="225">
        <v>165.18</v>
      </c>
      <c r="U73" s="189">
        <f t="shared" si="35"/>
        <v>7.1198275862068972</v>
      </c>
      <c r="V73" s="189">
        <f>S72*V$10</f>
        <v>0</v>
      </c>
      <c r="W73" s="189">
        <f t="shared" si="37"/>
        <v>0</v>
      </c>
      <c r="X73" s="189">
        <f t="shared" si="38"/>
        <v>4.1295000000000002</v>
      </c>
      <c r="Y73" s="189">
        <f>S72-V73</f>
        <v>0</v>
      </c>
      <c r="Z73" s="189">
        <f t="shared" si="39"/>
        <v>0</v>
      </c>
      <c r="AA73" s="189">
        <f t="shared" si="40"/>
        <v>153.9306724137931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225">
        <v>188</v>
      </c>
      <c r="Q74" s="225">
        <v>2001</v>
      </c>
      <c r="R74" s="221">
        <v>643.79999999999995</v>
      </c>
      <c r="S74" s="225"/>
      <c r="T74" s="225"/>
      <c r="U74" s="189">
        <f t="shared" si="35"/>
        <v>0</v>
      </c>
      <c r="V74" s="189">
        <f t="shared" si="36"/>
        <v>4.8284999999999991</v>
      </c>
      <c r="W74" s="189">
        <f t="shared" si="37"/>
        <v>0</v>
      </c>
      <c r="X74" s="189">
        <f t="shared" si="38"/>
        <v>0</v>
      </c>
      <c r="Y74" s="189">
        <f t="shared" si="39"/>
        <v>638.97149999999999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4326.8900000000003</v>
      </c>
      <c r="S75" s="192"/>
      <c r="T75" s="192">
        <f>SUM(T70:T74)</f>
        <v>367.64</v>
      </c>
      <c r="U75" s="192">
        <f>SUM(U70:U74)</f>
        <v>15.846551724137932</v>
      </c>
      <c r="V75" s="192">
        <f t="shared" ref="V75:AA75" si="42">SUM(V70:V74)</f>
        <v>16.994699999999998</v>
      </c>
      <c r="W75" s="192" t="e">
        <f t="shared" si="42"/>
        <v>#REF!</v>
      </c>
      <c r="X75" s="192">
        <f t="shared" si="42"/>
        <v>9.1910000000000007</v>
      </c>
      <c r="Y75" s="192">
        <f t="shared" si="42"/>
        <v>2248.9653000000003</v>
      </c>
      <c r="Z75" s="192" t="e">
        <f t="shared" si="42"/>
        <v>#REF!</v>
      </c>
      <c r="AA75" s="193">
        <f t="shared" si="42"/>
        <v>342.60244827586212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f>190.39+203.42+85.74+16.83</f>
        <v>496.37999999999994</v>
      </c>
      <c r="R78" s="82">
        <v>7.4999999999999997E-3</v>
      </c>
      <c r="S78" s="194">
        <f>+(P78+Q78)*R78</f>
        <v>3.7228499999999993</v>
      </c>
      <c r="T78" s="219">
        <f>+(P78+Q78)-S78</f>
        <v>492.65714999999994</v>
      </c>
      <c r="U78" s="211">
        <f>163.29+50.2</f>
        <v>213.49</v>
      </c>
      <c r="V78" s="112"/>
      <c r="W78" s="113">
        <v>1.4999999999999999E-2</v>
      </c>
      <c r="X78" s="196">
        <f>+(U78+V78)*W78</f>
        <v>3.20235</v>
      </c>
      <c r="Y78" s="217">
        <f>+(U78+V78)-X78</f>
        <v>210.28765000000001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>
        <f>491.53+184.56+109.77+35.38</f>
        <v>821.2399999999999</v>
      </c>
      <c r="R79" s="82">
        <v>7.4999999999999997E-3</v>
      </c>
      <c r="S79" s="194">
        <f t="shared" ref="S79:S97" si="44">+(P79+Q79)*R79</f>
        <v>6.1592999999999991</v>
      </c>
      <c r="T79" s="219">
        <f t="shared" ref="T79:T97" si="45">+(P79+Q79)-S79</f>
        <v>815.08069999999987</v>
      </c>
      <c r="U79" s="211">
        <f>79.21+94.68</f>
        <v>173.89</v>
      </c>
      <c r="V79" s="112"/>
      <c r="W79" s="113">
        <v>1.4999999999999999E-2</v>
      </c>
      <c r="X79" s="196">
        <f t="shared" ref="X79:X97" si="46">+(U79+V79)*W79</f>
        <v>2.6083499999999997</v>
      </c>
      <c r="Y79" s="217">
        <f t="shared" ref="Y79:Y97" si="47">+(U79+V79)-X79</f>
        <v>171.28164999999998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>
        <f>277.6+14.03+70.22</f>
        <v>361.85</v>
      </c>
      <c r="R80" s="82">
        <v>7.4999999999999997E-3</v>
      </c>
      <c r="S80" s="194">
        <f t="shared" si="44"/>
        <v>2.7138750000000003</v>
      </c>
      <c r="T80" s="219">
        <f t="shared" si="45"/>
        <v>359.13612500000005</v>
      </c>
      <c r="U80" s="211">
        <f>86.06+105.56</f>
        <v>191.62</v>
      </c>
      <c r="V80" s="112"/>
      <c r="W80" s="113">
        <v>1.4999999999999999E-2</v>
      </c>
      <c r="X80" s="196">
        <f t="shared" si="46"/>
        <v>2.8742999999999999</v>
      </c>
      <c r="Y80" s="217">
        <f t="shared" si="47"/>
        <v>188.7457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>
        <f>512.8+219.26+17.23</f>
        <v>749.29</v>
      </c>
      <c r="R81" s="82">
        <v>7.4999999999999997E-3</v>
      </c>
      <c r="S81" s="194">
        <f t="shared" si="44"/>
        <v>5.6196749999999991</v>
      </c>
      <c r="T81" s="219">
        <f t="shared" si="45"/>
        <v>743.67032499999993</v>
      </c>
      <c r="U81" s="211">
        <f>183.45+67.67</f>
        <v>251.12</v>
      </c>
      <c r="V81" s="112"/>
      <c r="W81" s="113">
        <v>1.4999999999999999E-2</v>
      </c>
      <c r="X81" s="196">
        <f t="shared" si="46"/>
        <v>3.7667999999999999</v>
      </c>
      <c r="Y81" s="217">
        <f t="shared" si="47"/>
        <v>247.35320000000002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137"/>
      <c r="Q82" s="87">
        <f>484.94+8.65</f>
        <v>493.59</v>
      </c>
      <c r="R82" s="82">
        <v>7.4999999999999997E-3</v>
      </c>
      <c r="S82" s="194">
        <f t="shared" si="44"/>
        <v>3.7019249999999997</v>
      </c>
      <c r="T82" s="219">
        <f t="shared" si="45"/>
        <v>489.88807499999996</v>
      </c>
      <c r="U82" s="211">
        <v>354.34</v>
      </c>
      <c r="V82" s="112"/>
      <c r="W82" s="113">
        <v>1.4999999999999999E-2</v>
      </c>
      <c r="X82" s="196">
        <f t="shared" si="46"/>
        <v>5.3150999999999993</v>
      </c>
      <c r="Y82" s="217">
        <f t="shared" si="47"/>
        <v>349.0249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2922.35</v>
      </c>
      <c r="R98" s="111"/>
      <c r="S98" s="195">
        <f>SUM(S78:S97)</f>
        <v>21.917624999999997</v>
      </c>
      <c r="T98" s="195">
        <f>SUM(T78:T97)</f>
        <v>2900.4323749999994</v>
      </c>
      <c r="U98" s="114">
        <f>SUM(U78:U97)</f>
        <v>1184.46</v>
      </c>
      <c r="V98" s="114">
        <f>SUM(V78:V97)</f>
        <v>0</v>
      </c>
      <c r="W98" s="112"/>
      <c r="X98" s="197">
        <f>SUM(X78:X97)</f>
        <v>17.7669</v>
      </c>
      <c r="Y98" s="197">
        <f>SUM(Y78:Y97)</f>
        <v>1166.6931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  <c r="R100" s="84"/>
    </row>
    <row r="101" spans="14:30" x14ac:dyDescent="0.25">
      <c r="N101" s="85"/>
      <c r="P101" s="84"/>
      <c r="Q101" s="233">
        <f>P78+Q78+U78</f>
        <v>709.86999999999989</v>
      </c>
      <c r="R101" s="84"/>
    </row>
    <row r="102" spans="14:30" x14ac:dyDescent="0.25">
      <c r="N102" s="85"/>
      <c r="P102" s="84"/>
      <c r="Q102" s="233">
        <f>P79+Q79+U79</f>
        <v>995.12999999999988</v>
      </c>
      <c r="R102" s="84"/>
    </row>
    <row r="103" spans="14:30" x14ac:dyDescent="0.25">
      <c r="N103" s="85"/>
      <c r="P103" s="84"/>
      <c r="Q103" s="233">
        <f>P80+U80+Q80</f>
        <v>553.47</v>
      </c>
      <c r="R103" s="84"/>
    </row>
    <row r="104" spans="14:30" x14ac:dyDescent="0.25">
      <c r="N104" s="85"/>
      <c r="P104" s="84"/>
      <c r="Q104" s="233">
        <f>P81+Q81+U81</f>
        <v>1000.41</v>
      </c>
      <c r="R104" s="84"/>
    </row>
    <row r="105" spans="14:30" x14ac:dyDescent="0.25">
      <c r="N105" s="85"/>
      <c r="P105" s="84"/>
      <c r="Q105" s="233">
        <f>P82+U82+Q82</f>
        <v>847.93</v>
      </c>
      <c r="R105" s="84"/>
    </row>
    <row r="106" spans="14:30" x14ac:dyDescent="0.25">
      <c r="N106" s="85"/>
      <c r="P106" s="84"/>
      <c r="Q106" s="233">
        <f>P83+Q83+U83</f>
        <v>0</v>
      </c>
      <c r="R106" s="84"/>
    </row>
    <row r="107" spans="14:30" x14ac:dyDescent="0.25">
      <c r="N107" s="85"/>
      <c r="P107" s="84"/>
      <c r="Q107" s="84">
        <f>P84+Q84+U84</f>
        <v>0</v>
      </c>
      <c r="R107" s="84"/>
    </row>
    <row r="108" spans="14:30" x14ac:dyDescent="0.25">
      <c r="N108" s="85"/>
      <c r="P108" s="84"/>
      <c r="Q108" s="84">
        <f>P85+Q85+U85</f>
        <v>0</v>
      </c>
      <c r="R108" s="84"/>
    </row>
    <row r="109" spans="14:30" x14ac:dyDescent="0.25">
      <c r="N109" s="85"/>
      <c r="P109" s="84"/>
      <c r="Q109" s="84">
        <f>P86+Q86+U86</f>
        <v>0</v>
      </c>
      <c r="R109" s="84"/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0" zoomScale="90" zoomScaleNormal="90" workbookViewId="0">
      <selection activeCell="D71" sqref="D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250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44772</v>
      </c>
      <c r="D6" s="85" t="s">
        <v>22</v>
      </c>
      <c r="E6" s="8" t="s">
        <v>288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1931</v>
      </c>
      <c r="C12" s="15"/>
      <c r="D12" s="56"/>
      <c r="E12" s="16"/>
      <c r="F12" s="56"/>
      <c r="G12" s="56"/>
      <c r="H12" s="17"/>
      <c r="I12" s="83">
        <v>1931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194</v>
      </c>
      <c r="P12" s="158">
        <v>203</v>
      </c>
      <c r="Q12" s="158">
        <v>11</v>
      </c>
      <c r="R12" s="159">
        <v>1836.18</v>
      </c>
      <c r="S12" s="160"/>
      <c r="T12" s="160">
        <v>37.81</v>
      </c>
      <c r="U12" s="189">
        <f>((T12/U$10)*U$9)</f>
        <v>1.6297413793103452</v>
      </c>
      <c r="V12" s="189">
        <f>R12*V$10</f>
        <v>13.77135</v>
      </c>
      <c r="W12" s="189">
        <f>+S12*V$10</f>
        <v>0</v>
      </c>
      <c r="X12" s="189">
        <f>+T12*X$10</f>
        <v>0.94525000000000015</v>
      </c>
      <c r="Y12" s="189">
        <f>R12-V12</f>
        <v>1822.4086500000001</v>
      </c>
      <c r="Z12" s="189">
        <f>S12-W12</f>
        <v>0</v>
      </c>
      <c r="AA12" s="189">
        <f>T12-U12-X12</f>
        <v>35.235008620689655</v>
      </c>
      <c r="AB12" s="156"/>
    </row>
    <row r="13" spans="1:28" ht="15.75" x14ac:dyDescent="0.25">
      <c r="A13" s="86" t="s">
        <v>74</v>
      </c>
      <c r="B13" s="89">
        <v>2589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2589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204</v>
      </c>
      <c r="Q13" s="158">
        <v>11</v>
      </c>
      <c r="R13" s="159">
        <v>139.25</v>
      </c>
      <c r="S13" s="160"/>
      <c r="T13" s="161">
        <v>48.36</v>
      </c>
      <c r="U13" s="189">
        <f t="shared" ref="U13:U41" si="2">((T13/U$10)*U$9)</f>
        <v>2.0844827586206898</v>
      </c>
      <c r="V13" s="189">
        <f t="shared" ref="V13:V41" si="3">R13*V$10</f>
        <v>1.0443750000000001</v>
      </c>
      <c r="W13" s="189">
        <f t="shared" ref="W13:W41" si="4">+S13*V$10</f>
        <v>0</v>
      </c>
      <c r="X13" s="189">
        <f t="shared" ref="X13:X41" si="5">+T13*X$10</f>
        <v>1.2090000000000001</v>
      </c>
      <c r="Y13" s="189">
        <f t="shared" ref="Y13:Z41" si="6">R13-V13</f>
        <v>138.205625</v>
      </c>
      <c r="Z13" s="189">
        <f t="shared" si="6"/>
        <v>0</v>
      </c>
      <c r="AA13" s="189">
        <f t="shared" ref="AA13:AA41" si="7">T13-U13-X13</f>
        <v>45.066517241379309</v>
      </c>
      <c r="AB13" s="156"/>
    </row>
    <row r="14" spans="1:28" ht="15.75" x14ac:dyDescent="0.25">
      <c r="A14" s="86" t="s">
        <v>81</v>
      </c>
      <c r="B14" s="57">
        <f>B13*B8</f>
        <v>14990.31</v>
      </c>
      <c r="C14" s="15"/>
      <c r="D14" s="56"/>
      <c r="E14" s="16"/>
      <c r="F14" s="56"/>
      <c r="G14" s="56"/>
      <c r="H14" s="17"/>
      <c r="I14" s="83"/>
      <c r="J14" s="81">
        <f t="shared" si="0"/>
        <v>14990.31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>
        <v>585</v>
      </c>
      <c r="Q14" s="158">
        <v>2</v>
      </c>
      <c r="R14" s="159">
        <v>1400.06</v>
      </c>
      <c r="S14" s="160"/>
      <c r="T14" s="161">
        <v>164.49</v>
      </c>
      <c r="U14" s="189">
        <f t="shared" si="2"/>
        <v>7.0900862068965527</v>
      </c>
      <c r="V14" s="189">
        <f t="shared" si="3"/>
        <v>10.500449999999999</v>
      </c>
      <c r="W14" s="189">
        <f t="shared" si="4"/>
        <v>0</v>
      </c>
      <c r="X14" s="189">
        <f t="shared" si="5"/>
        <v>4.1122500000000004</v>
      </c>
      <c r="Y14" s="189">
        <f t="shared" si="6"/>
        <v>1389.5595499999999</v>
      </c>
      <c r="Z14" s="189">
        <f t="shared" si="6"/>
        <v>0</v>
      </c>
      <c r="AA14" s="189">
        <f t="shared" si="7"/>
        <v>153.28766379310346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>
        <v>568</v>
      </c>
      <c r="Q15" s="158">
        <v>4</v>
      </c>
      <c r="R15" s="159">
        <v>1655.35</v>
      </c>
      <c r="S15" s="160"/>
      <c r="T15" s="161"/>
      <c r="U15" s="189">
        <f t="shared" si="2"/>
        <v>0</v>
      </c>
      <c r="V15" s="189">
        <f t="shared" si="3"/>
        <v>12.415125</v>
      </c>
      <c r="W15" s="189">
        <f t="shared" si="4"/>
        <v>0</v>
      </c>
      <c r="X15" s="189">
        <f t="shared" si="5"/>
        <v>0</v>
      </c>
      <c r="Y15" s="189">
        <f t="shared" si="6"/>
        <v>1642.9348749999999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>
        <v>567</v>
      </c>
      <c r="Q16" s="158">
        <v>4</v>
      </c>
      <c r="R16" s="159">
        <v>2149.06</v>
      </c>
      <c r="S16" s="160"/>
      <c r="T16" s="161">
        <v>111.72</v>
      </c>
      <c r="U16" s="189">
        <f t="shared" si="2"/>
        <v>4.815517241379311</v>
      </c>
      <c r="V16" s="189">
        <f t="shared" si="3"/>
        <v>16.11795</v>
      </c>
      <c r="W16" s="189">
        <f t="shared" si="4"/>
        <v>0</v>
      </c>
      <c r="X16" s="189">
        <f t="shared" si="5"/>
        <v>2.7930000000000001</v>
      </c>
      <c r="Y16" s="189">
        <f t="shared" si="6"/>
        <v>2132.9420500000001</v>
      </c>
      <c r="Z16" s="189">
        <f t="shared" si="6"/>
        <v>0</v>
      </c>
      <c r="AA16" s="189">
        <f t="shared" si="7"/>
        <v>104.11148275862068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>
        <v>558</v>
      </c>
      <c r="Q17" s="158">
        <v>14</v>
      </c>
      <c r="R17" s="159">
        <v>217.79</v>
      </c>
      <c r="S17" s="160"/>
      <c r="T17" s="161"/>
      <c r="U17" s="189">
        <f t="shared" si="2"/>
        <v>0</v>
      </c>
      <c r="V17" s="189">
        <f t="shared" si="3"/>
        <v>1.6334249999999999</v>
      </c>
      <c r="W17" s="189">
        <f t="shared" si="4"/>
        <v>0</v>
      </c>
      <c r="X17" s="189">
        <f t="shared" si="5"/>
        <v>0</v>
      </c>
      <c r="Y17" s="189">
        <f t="shared" si="6"/>
        <v>216.156575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>
        <v>559</v>
      </c>
      <c r="Q18" s="158">
        <v>14</v>
      </c>
      <c r="R18" s="159">
        <v>3163.1</v>
      </c>
      <c r="S18" s="160"/>
      <c r="T18" s="161">
        <v>22.36</v>
      </c>
      <c r="U18" s="189">
        <f t="shared" si="2"/>
        <v>0.96379310344827607</v>
      </c>
      <c r="V18" s="189">
        <f t="shared" si="3"/>
        <v>23.72325</v>
      </c>
      <c r="W18" s="189">
        <f t="shared" si="4"/>
        <v>0</v>
      </c>
      <c r="X18" s="189">
        <f t="shared" si="5"/>
        <v>0.55900000000000005</v>
      </c>
      <c r="Y18" s="189">
        <f t="shared" si="6"/>
        <v>3139.3767499999999</v>
      </c>
      <c r="Z18" s="189">
        <f t="shared" si="6"/>
        <v>0</v>
      </c>
      <c r="AA18" s="189">
        <f t="shared" si="7"/>
        <v>20.837206896551724</v>
      </c>
      <c r="AB18" s="156"/>
    </row>
    <row r="19" spans="1:28" ht="15.75" x14ac:dyDescent="0.25">
      <c r="A19" s="93" t="s">
        <v>79</v>
      </c>
      <c r="B19" s="97">
        <f>+B13+B15+B17</f>
        <v>2589</v>
      </c>
      <c r="C19" s="95"/>
      <c r="D19" s="94"/>
      <c r="E19" s="96"/>
      <c r="F19" s="94"/>
      <c r="G19" s="94"/>
      <c r="H19" s="98"/>
      <c r="I19" s="99">
        <v>2589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654</v>
      </c>
      <c r="Q19" s="158">
        <v>18</v>
      </c>
      <c r="R19" s="159">
        <v>374.49</v>
      </c>
      <c r="S19" s="160"/>
      <c r="T19" s="161">
        <v>41.73</v>
      </c>
      <c r="U19" s="189">
        <f t="shared" si="2"/>
        <v>1.7987068965517243</v>
      </c>
      <c r="V19" s="189">
        <f t="shared" si="3"/>
        <v>2.808675</v>
      </c>
      <c r="W19" s="189">
        <f t="shared" si="4"/>
        <v>0</v>
      </c>
      <c r="X19" s="189">
        <f t="shared" si="5"/>
        <v>1.04325</v>
      </c>
      <c r="Y19" s="189">
        <f t="shared" si="6"/>
        <v>371.68132500000002</v>
      </c>
      <c r="Z19" s="189">
        <f t="shared" si="6"/>
        <v>0</v>
      </c>
      <c r="AA19" s="189">
        <f t="shared" si="7"/>
        <v>38.888043103448275</v>
      </c>
      <c r="AB19" s="156"/>
    </row>
    <row r="20" spans="1:28" ht="15.75" x14ac:dyDescent="0.25">
      <c r="A20" s="93" t="s">
        <v>80</v>
      </c>
      <c r="B20" s="97">
        <f>+B14+B16+B18</f>
        <v>14990.31</v>
      </c>
      <c r="C20" s="95"/>
      <c r="D20" s="94"/>
      <c r="E20" s="96"/>
      <c r="F20" s="94"/>
      <c r="G20" s="94"/>
      <c r="H20" s="98"/>
      <c r="I20" s="99">
        <v>14990.31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655</v>
      </c>
      <c r="Q20" s="158">
        <v>18</v>
      </c>
      <c r="R20" s="159">
        <v>1588.05</v>
      </c>
      <c r="S20" s="160"/>
      <c r="T20" s="161">
        <v>129.58000000000001</v>
      </c>
      <c r="U20" s="189">
        <f t="shared" si="2"/>
        <v>5.5853448275862085</v>
      </c>
      <c r="V20" s="189">
        <f t="shared" si="3"/>
        <v>11.910374999999998</v>
      </c>
      <c r="W20" s="189">
        <f t="shared" si="4"/>
        <v>0</v>
      </c>
      <c r="X20" s="189">
        <f t="shared" si="5"/>
        <v>3.2395000000000005</v>
      </c>
      <c r="Y20" s="189">
        <f t="shared" si="6"/>
        <v>1576.139625</v>
      </c>
      <c r="Z20" s="189">
        <f t="shared" si="6"/>
        <v>0</v>
      </c>
      <c r="AA20" s="189">
        <f t="shared" si="7"/>
        <v>120.75515517241379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69.459999999999994</v>
      </c>
      <c r="C29" s="100"/>
      <c r="D29" s="66"/>
      <c r="E29" s="67"/>
      <c r="F29" s="66"/>
      <c r="G29" s="66"/>
      <c r="H29" s="102"/>
      <c r="I29" s="79"/>
      <c r="J29" s="81">
        <f t="shared" si="0"/>
        <v>69.459999999999994</v>
      </c>
      <c r="K29" s="80"/>
      <c r="L29" s="186">
        <f>K29-B29</f>
        <v>-69.459999999999994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402.17339999999996</v>
      </c>
      <c r="C30" s="100"/>
      <c r="D30" s="66"/>
      <c r="E30" s="67"/>
      <c r="F30" s="66"/>
      <c r="G30" s="66"/>
      <c r="H30" s="102"/>
      <c r="I30" s="79"/>
      <c r="J30" s="81">
        <f t="shared" si="0"/>
        <v>402.17339999999996</v>
      </c>
      <c r="K30" s="80"/>
      <c r="L30" s="186">
        <f>K30-B30</f>
        <v>-402.17339999999996</v>
      </c>
      <c r="M30" s="107"/>
      <c r="N30" s="104">
        <v>19</v>
      </c>
      <c r="O30" s="152" t="s">
        <v>68</v>
      </c>
      <c r="P30" s="158"/>
      <c r="Q30" s="158"/>
      <c r="R30" s="159"/>
      <c r="S30" s="160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69.459999999999994</v>
      </c>
      <c r="C35" s="95"/>
      <c r="D35" s="94"/>
      <c r="E35" s="96"/>
      <c r="F35" s="94"/>
      <c r="G35" s="94"/>
      <c r="H35" s="98"/>
      <c r="I35" s="99">
        <v>69.459999999999994</v>
      </c>
      <c r="J35" s="185">
        <f t="shared" si="0"/>
        <v>0</v>
      </c>
      <c r="K35" s="99"/>
      <c r="L35" s="187">
        <f>K35-B35</f>
        <v>-69.459999999999994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402.17339999999996</v>
      </c>
      <c r="C36" s="95"/>
      <c r="D36" s="94"/>
      <c r="E36" s="96"/>
      <c r="F36" s="94"/>
      <c r="G36" s="94"/>
      <c r="H36" s="98"/>
      <c r="I36" s="99"/>
      <c r="J36" s="185">
        <f t="shared" si="0"/>
        <v>402.17339999999996</v>
      </c>
      <c r="K36" s="99"/>
      <c r="L36" s="187">
        <f>K36-B36</f>
        <v>-402.17339999999996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38.090000000000003</v>
      </c>
      <c r="C37" s="100"/>
      <c r="D37" s="66"/>
      <c r="E37" s="67"/>
      <c r="F37" s="66"/>
      <c r="G37" s="66"/>
      <c r="H37" s="102"/>
      <c r="I37" s="79"/>
      <c r="J37" s="81">
        <f t="shared" si="0"/>
        <v>38.090000000000003</v>
      </c>
      <c r="K37" s="80"/>
      <c r="L37" s="186">
        <f>K37-B37</f>
        <v>-38.090000000000003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220.54110000000003</v>
      </c>
      <c r="C38" s="100"/>
      <c r="D38" s="66"/>
      <c r="E38" s="67"/>
      <c r="F38" s="66"/>
      <c r="G38" s="66"/>
      <c r="H38" s="102"/>
      <c r="I38" s="79"/>
      <c r="J38" s="81">
        <f t="shared" si="0"/>
        <v>220.54110000000003</v>
      </c>
      <c r="K38" s="80"/>
      <c r="L38" s="186">
        <f>K38-B38</f>
        <v>-220.54110000000003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12523.329999999998</v>
      </c>
      <c r="S42" s="190">
        <f t="shared" si="8"/>
        <v>0</v>
      </c>
      <c r="T42" s="190">
        <f t="shared" si="8"/>
        <v>556.05000000000007</v>
      </c>
      <c r="U42" s="190">
        <f t="shared" si="8"/>
        <v>23.967672413793107</v>
      </c>
      <c r="V42" s="190">
        <f t="shared" si="8"/>
        <v>93.924975000000003</v>
      </c>
      <c r="W42" s="190">
        <f t="shared" si="8"/>
        <v>0</v>
      </c>
      <c r="X42" s="190">
        <f t="shared" si="8"/>
        <v>13.901250000000001</v>
      </c>
      <c r="Y42" s="190">
        <f t="shared" si="8"/>
        <v>12429.405025</v>
      </c>
      <c r="Z42" s="190">
        <f t="shared" si="8"/>
        <v>0</v>
      </c>
      <c r="AA42" s="190">
        <f t="shared" si="8"/>
        <v>518.18107758620692</v>
      </c>
      <c r="AB42" s="166"/>
    </row>
    <row r="43" spans="1:28" ht="15.75" x14ac:dyDescent="0.25">
      <c r="A43" s="93" t="s">
        <v>101</v>
      </c>
      <c r="B43" s="97">
        <f>+B37+B39+B41</f>
        <v>38.090000000000003</v>
      </c>
      <c r="C43" s="95"/>
      <c r="D43" s="94"/>
      <c r="E43" s="96"/>
      <c r="F43" s="94"/>
      <c r="G43" s="94"/>
      <c r="H43" s="98"/>
      <c r="I43" s="99">
        <v>38.097999999999999</v>
      </c>
      <c r="J43" s="185">
        <f t="shared" si="0"/>
        <v>-7.9999999999955662E-3</v>
      </c>
      <c r="K43" s="99"/>
      <c r="L43" s="187">
        <f>K43-B43</f>
        <v>-38.090000000000003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220.54110000000003</v>
      </c>
      <c r="C44" s="95"/>
      <c r="D44" s="94"/>
      <c r="E44" s="96"/>
      <c r="F44" s="94"/>
      <c r="G44" s="94"/>
      <c r="H44" s="98"/>
      <c r="I44" s="99"/>
      <c r="J44" s="185">
        <f t="shared" si="0"/>
        <v>220.54110000000003</v>
      </c>
      <c r="K44" s="99"/>
      <c r="L44" s="187">
        <f>K44-B44</f>
        <v>-220.54110000000003</v>
      </c>
      <c r="M44" s="107"/>
      <c r="N44" s="104">
        <v>2</v>
      </c>
      <c r="O44" s="167" t="s">
        <v>69</v>
      </c>
      <c r="P44" s="158"/>
      <c r="Q44" s="158"/>
      <c r="R44" s="160">
        <v>1617.17</v>
      </c>
      <c r="S44" s="160"/>
      <c r="T44" s="155">
        <f>51.78+35.49</f>
        <v>87.27000000000001</v>
      </c>
      <c r="U44" s="189">
        <f t="shared" si="9"/>
        <v>3.7616379310344836</v>
      </c>
      <c r="V44" s="189">
        <f t="shared" si="10"/>
        <v>12.128775000000001</v>
      </c>
      <c r="W44" s="189">
        <f t="shared" si="11"/>
        <v>0</v>
      </c>
      <c r="X44" s="189">
        <f t="shared" si="12"/>
        <v>2.1817500000000005</v>
      </c>
      <c r="Y44" s="189">
        <f t="shared" si="13"/>
        <v>1605.0412250000002</v>
      </c>
      <c r="Z44" s="189">
        <f t="shared" si="13"/>
        <v>0</v>
      </c>
      <c r="AA44" s="189">
        <f t="shared" si="14"/>
        <v>81.326612068965531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1071.93</v>
      </c>
      <c r="S45" s="160"/>
      <c r="T45" s="155"/>
      <c r="U45" s="189">
        <f t="shared" si="9"/>
        <v>0</v>
      </c>
      <c r="V45" s="189">
        <f t="shared" si="10"/>
        <v>8.0394749999999995</v>
      </c>
      <c r="W45" s="189">
        <f t="shared" si="11"/>
        <v>0</v>
      </c>
      <c r="X45" s="189">
        <f t="shared" si="12"/>
        <v>0</v>
      </c>
      <c r="Y45" s="189">
        <f t="shared" si="13"/>
        <v>1063.890525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12523.329999999998</v>
      </c>
      <c r="C46" s="116">
        <v>7.4999999999999997E-3</v>
      </c>
      <c r="D46" s="117">
        <f>B46*C46</f>
        <v>93.924974999999989</v>
      </c>
      <c r="E46" s="172">
        <v>0</v>
      </c>
      <c r="F46" s="117">
        <f t="shared" ref="F46:F50" si="15">D46*E46</f>
        <v>0</v>
      </c>
      <c r="G46" s="117">
        <f t="shared" ref="G46:G51" si="16">B46-D46-F46</f>
        <v>12429.405024999998</v>
      </c>
      <c r="H46" s="173">
        <f>B$6+1</f>
        <v>44773</v>
      </c>
      <c r="I46" s="174">
        <v>13595.86</v>
      </c>
      <c r="J46" s="81">
        <f t="shared" si="0"/>
        <v>-1072.5300000000025</v>
      </c>
      <c r="K46" s="80"/>
      <c r="L46" s="186">
        <f t="shared" ref="L46:L64" si="17">+G46-K46</f>
        <v>12429.405024999998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2689.1000000000004</v>
      </c>
      <c r="C47" s="116">
        <v>7.4999999999999997E-3</v>
      </c>
      <c r="D47" s="117">
        <f t="shared" ref="D47:D50" si="18">B47*C47</f>
        <v>20.16825</v>
      </c>
      <c r="E47" s="172">
        <v>0</v>
      </c>
      <c r="F47" s="117">
        <f t="shared" si="15"/>
        <v>0</v>
      </c>
      <c r="G47" s="117">
        <f t="shared" si="16"/>
        <v>2668.9317500000002</v>
      </c>
      <c r="H47" s="173">
        <f>B$6+1</f>
        <v>44773</v>
      </c>
      <c r="I47" s="175">
        <v>1617.17</v>
      </c>
      <c r="J47" s="81">
        <f t="shared" si="0"/>
        <v>1071.9300000000003</v>
      </c>
      <c r="K47" s="80"/>
      <c r="L47" s="186">
        <f t="shared" si="17"/>
        <v>2668.9317500000002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69.61</v>
      </c>
      <c r="C48" s="116">
        <v>7.4999999999999997E-3</v>
      </c>
      <c r="D48" s="117">
        <f t="shared" si="18"/>
        <v>0.52207499999999996</v>
      </c>
      <c r="E48" s="172">
        <v>0</v>
      </c>
      <c r="F48" s="117">
        <f t="shared" si="15"/>
        <v>0</v>
      </c>
      <c r="G48" s="117">
        <f t="shared" si="16"/>
        <v>69.087924999999998</v>
      </c>
      <c r="H48" s="173">
        <f t="shared" ref="H48:H61" si="19">B$6+1</f>
        <v>44773</v>
      </c>
      <c r="I48" s="176">
        <v>69.61</v>
      </c>
      <c r="J48" s="81">
        <f t="shared" si="0"/>
        <v>0</v>
      </c>
      <c r="K48" s="80"/>
      <c r="L48" s="186">
        <f t="shared" si="17"/>
        <v>69.087924999999998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187</v>
      </c>
      <c r="B49" s="117">
        <f>R75</f>
        <v>6050.3700000000008</v>
      </c>
      <c r="C49" s="116">
        <v>7.4999999999999997E-3</v>
      </c>
      <c r="D49" s="117">
        <f t="shared" si="18"/>
        <v>45.377775000000007</v>
      </c>
      <c r="E49" s="172">
        <v>0</v>
      </c>
      <c r="F49" s="117">
        <f t="shared" si="15"/>
        <v>0</v>
      </c>
      <c r="G49" s="117">
        <f t="shared" si="16"/>
        <v>6004.9922250000009</v>
      </c>
      <c r="H49" s="173">
        <f t="shared" si="19"/>
        <v>44773</v>
      </c>
      <c r="I49" s="176">
        <v>6050.37</v>
      </c>
      <c r="J49" s="81">
        <f t="shared" si="0"/>
        <v>0</v>
      </c>
      <c r="K49" s="80"/>
      <c r="L49" s="186">
        <f t="shared" si="17"/>
        <v>6004.9922250000009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2384.2399999999998</v>
      </c>
      <c r="C50" s="116">
        <v>7.4999999999999997E-3</v>
      </c>
      <c r="D50" s="117">
        <f t="shared" si="18"/>
        <v>17.881799999999998</v>
      </c>
      <c r="E50" s="172">
        <v>0</v>
      </c>
      <c r="F50" s="117">
        <f t="shared" si="15"/>
        <v>0</v>
      </c>
      <c r="G50" s="117">
        <f t="shared" si="16"/>
        <v>2366.3581999999997</v>
      </c>
      <c r="H50" s="173">
        <f t="shared" si="19"/>
        <v>44773</v>
      </c>
      <c r="I50" s="175">
        <v>2669.91</v>
      </c>
      <c r="J50" s="81">
        <f t="shared" si="0"/>
        <v>-285.67000000000007</v>
      </c>
      <c r="K50" s="80"/>
      <c r="L50" s="186">
        <f t="shared" si="17"/>
        <v>2366.3581999999997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296.85000000000002</v>
      </c>
      <c r="C51" s="116">
        <v>1.4999999999999999E-2</v>
      </c>
      <c r="D51" s="117">
        <f>+B51*C51</f>
        <v>4.45275</v>
      </c>
      <c r="E51" s="172">
        <v>0</v>
      </c>
      <c r="F51" s="117">
        <f>D51*E51</f>
        <v>0</v>
      </c>
      <c r="G51" s="117">
        <f t="shared" si="16"/>
        <v>292.39725000000004</v>
      </c>
      <c r="H51" s="173">
        <f t="shared" si="19"/>
        <v>44773</v>
      </c>
      <c r="I51" s="175"/>
      <c r="J51" s="81">
        <f t="shared" si="0"/>
        <v>296.85000000000002</v>
      </c>
      <c r="K51" s="80"/>
      <c r="L51" s="186">
        <f t="shared" si="17"/>
        <v>292.39725000000004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556.05000000000007</v>
      </c>
      <c r="C52" s="116">
        <v>2.5000000000000001E-2</v>
      </c>
      <c r="D52" s="117">
        <f>B52*C52</f>
        <v>13.901250000000003</v>
      </c>
      <c r="E52" s="172">
        <v>0.05</v>
      </c>
      <c r="F52" s="117">
        <f>(B52/E$10)*E52</f>
        <v>23.96767241379311</v>
      </c>
      <c r="G52" s="117">
        <f>B52-D52-F52</f>
        <v>518.18107758620692</v>
      </c>
      <c r="H52" s="188">
        <f t="shared" si="19"/>
        <v>44773</v>
      </c>
      <c r="I52" s="176">
        <v>556.04999999999995</v>
      </c>
      <c r="J52" s="81">
        <f t="shared" si="0"/>
        <v>0</v>
      </c>
      <c r="K52" s="80"/>
      <c r="L52" s="186">
        <f t="shared" si="17"/>
        <v>518.18107758620692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87.27000000000001</v>
      </c>
      <c r="C53" s="116">
        <v>2.5000000000000001E-2</v>
      </c>
      <c r="D53" s="117">
        <f t="shared" ref="D53:D56" si="20">B53*C53</f>
        <v>2.1817500000000005</v>
      </c>
      <c r="E53" s="172">
        <v>0.05</v>
      </c>
      <c r="F53" s="117">
        <f t="shared" ref="F53:F56" si="21">(B53/E$10)*E53</f>
        <v>3.7616379310344836</v>
      </c>
      <c r="G53" s="117">
        <f t="shared" ref="G53:G58" si="22">B53-D53-F53</f>
        <v>81.326612068965531</v>
      </c>
      <c r="H53" s="188">
        <f t="shared" si="19"/>
        <v>44773</v>
      </c>
      <c r="I53" s="176">
        <v>87.27</v>
      </c>
      <c r="J53" s="81">
        <f t="shared" si="0"/>
        <v>0</v>
      </c>
      <c r="K53" s="80"/>
      <c r="L53" s="186">
        <f t="shared" si="17"/>
        <v>81.326612068965531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45.07</v>
      </c>
      <c r="C56" s="116">
        <v>2.5000000000000001E-2</v>
      </c>
      <c r="D56" s="117">
        <f t="shared" si="20"/>
        <v>1.1267500000000001</v>
      </c>
      <c r="E56" s="172">
        <v>0.05</v>
      </c>
      <c r="F56" s="117">
        <f t="shared" si="21"/>
        <v>1.9426724137931037</v>
      </c>
      <c r="G56" s="117">
        <f t="shared" si="22"/>
        <v>42.000577586206894</v>
      </c>
      <c r="H56" s="173">
        <f t="shared" si="19"/>
        <v>44773</v>
      </c>
      <c r="I56" s="176">
        <v>45.07</v>
      </c>
      <c r="J56" s="81">
        <f t="shared" si="0"/>
        <v>0</v>
      </c>
      <c r="K56" s="80"/>
      <c r="L56" s="186">
        <f t="shared" si="17"/>
        <v>42.000577586206894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199.537375</v>
      </c>
      <c r="E61" s="177"/>
      <c r="F61" s="57">
        <f>SUM(F46:F58)</f>
        <v>29.6719827586207</v>
      </c>
      <c r="G61" s="57">
        <f>SUM(G46:G58)</f>
        <v>24472.680642241379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24472.680642241379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>
        <v>12</v>
      </c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12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2689.1000000000004</v>
      </c>
      <c r="S63" s="191">
        <f>SUM(S43:S62)</f>
        <v>0</v>
      </c>
      <c r="T63" s="191">
        <f>SUM(T43:T62)</f>
        <v>87.27000000000001</v>
      </c>
      <c r="U63" s="191">
        <f t="shared" ref="U63:X63" si="25">SUM(U43:U62)</f>
        <v>3.7616379310344836</v>
      </c>
      <c r="V63" s="191">
        <f t="shared" si="25"/>
        <v>20.16825</v>
      </c>
      <c r="W63" s="191">
        <f t="shared" si="25"/>
        <v>0</v>
      </c>
      <c r="X63" s="191">
        <f t="shared" si="25"/>
        <v>2.1817500000000005</v>
      </c>
      <c r="Y63" s="191">
        <f>SUM(Y43:Y62)</f>
        <v>2668.9317500000002</v>
      </c>
      <c r="Z63" s="191">
        <f t="shared" ref="Z63:AA63" si="26">SUM(Z43:Z62)</f>
        <v>0</v>
      </c>
      <c r="AA63" s="191">
        <f t="shared" si="26"/>
        <v>81.326612068965531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48945.361284482758</v>
      </c>
      <c r="H64" s="184"/>
      <c r="I64" s="175"/>
      <c r="J64" s="81">
        <f t="shared" si="0"/>
        <v>0</v>
      </c>
      <c r="K64" s="80"/>
      <c r="L64" s="186">
        <f t="shared" si="17"/>
        <v>48945.361284482758</v>
      </c>
      <c r="M64" s="130"/>
      <c r="N64" s="87">
        <v>1</v>
      </c>
      <c r="O64" s="122" t="s">
        <v>291</v>
      </c>
      <c r="P64" s="87"/>
      <c r="Q64" s="225">
        <v>9066</v>
      </c>
      <c r="R64" s="225">
        <v>11.83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8.8724999999999998E-2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11.741275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42233.914499999992</v>
      </c>
      <c r="G65" s="22"/>
      <c r="L65" s="132"/>
      <c r="M65" s="131"/>
      <c r="N65" s="87">
        <v>2</v>
      </c>
      <c r="O65" s="122" t="s">
        <v>291</v>
      </c>
      <c r="P65" s="87"/>
      <c r="Q65" s="225">
        <v>7174</v>
      </c>
      <c r="R65" s="225">
        <v>9.27</v>
      </c>
      <c r="S65" s="225"/>
      <c r="T65" s="87"/>
      <c r="U65" s="189">
        <f t="shared" si="27"/>
        <v>0</v>
      </c>
      <c r="V65" s="189">
        <f t="shared" si="28"/>
        <v>6.952499999999999E-2</v>
      </c>
      <c r="W65" s="189">
        <f t="shared" si="29"/>
        <v>0</v>
      </c>
      <c r="X65" s="189">
        <f t="shared" si="30"/>
        <v>0</v>
      </c>
      <c r="Y65" s="189">
        <f t="shared" si="31"/>
        <v>9.2004749999999991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291</v>
      </c>
      <c r="P66" s="87"/>
      <c r="Q66" s="225">
        <v>1768</v>
      </c>
      <c r="R66" s="225">
        <v>48.51</v>
      </c>
      <c r="S66" s="225"/>
      <c r="T66" s="87"/>
      <c r="U66" s="189">
        <f t="shared" si="27"/>
        <v>0</v>
      </c>
      <c r="V66" s="189">
        <f t="shared" si="28"/>
        <v>0.36382499999999995</v>
      </c>
      <c r="W66" s="189">
        <f t="shared" si="29"/>
        <v>0</v>
      </c>
      <c r="X66" s="189">
        <f t="shared" si="30"/>
        <v>0</v>
      </c>
      <c r="Y66" s="189">
        <f t="shared" si="31"/>
        <v>48.146174999999999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291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42114.86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41692.879999999997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195</v>
      </c>
      <c r="O69" s="301"/>
      <c r="P69" s="302"/>
      <c r="Q69" s="302"/>
      <c r="R69" s="192">
        <f>SUM(R64:R68)</f>
        <v>69.61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0.52207499999999996</v>
      </c>
      <c r="W69" s="192">
        <f t="shared" si="33"/>
        <v>0</v>
      </c>
      <c r="X69" s="192">
        <f t="shared" si="33"/>
        <v>0</v>
      </c>
      <c r="Y69" s="192">
        <f t="shared" si="33"/>
        <v>69.087924999999998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421.9800000000032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210</v>
      </c>
      <c r="P70" s="225">
        <v>185</v>
      </c>
      <c r="Q70" s="225">
        <v>2001</v>
      </c>
      <c r="R70" s="221">
        <v>37.42</v>
      </c>
      <c r="S70" s="225"/>
      <c r="T70" s="225"/>
      <c r="U70" s="189">
        <f t="shared" ref="U70:U74" si="34">((T70/U$10)*U$9)</f>
        <v>0</v>
      </c>
      <c r="V70" s="189">
        <f t="shared" ref="V70:V74" si="35">R70*V$10</f>
        <v>0.28065000000000001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37.13935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B65-B68</f>
        <v>119.05449999999109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210</v>
      </c>
      <c r="P71" s="225">
        <v>186</v>
      </c>
      <c r="Q71" s="225">
        <v>2001</v>
      </c>
      <c r="R71" s="221">
        <v>1424.28</v>
      </c>
      <c r="S71" s="225"/>
      <c r="T71" s="225"/>
      <c r="U71" s="189">
        <f t="shared" si="34"/>
        <v>0</v>
      </c>
      <c r="V71" s="189">
        <f t="shared" si="35"/>
        <v>10.6821</v>
      </c>
      <c r="W71" s="189">
        <f t="shared" si="36"/>
        <v>0</v>
      </c>
      <c r="X71" s="189">
        <f t="shared" si="37"/>
        <v>0</v>
      </c>
      <c r="Y71" s="189">
        <f t="shared" si="38"/>
        <v>1413.5979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210</v>
      </c>
      <c r="P72" s="225"/>
      <c r="Q72" s="225"/>
      <c r="R72" s="221">
        <v>516.70000000000005</v>
      </c>
      <c r="S72" s="225"/>
      <c r="T72" s="225">
        <v>13.88</v>
      </c>
      <c r="U72" s="189">
        <f t="shared" si="34"/>
        <v>0.59827586206896555</v>
      </c>
      <c r="V72" s="189">
        <f t="shared" si="35"/>
        <v>3.8752500000000003</v>
      </c>
      <c r="W72" s="189">
        <f t="shared" si="36"/>
        <v>0</v>
      </c>
      <c r="X72" s="189">
        <f t="shared" si="37"/>
        <v>0.34700000000000003</v>
      </c>
      <c r="Y72" s="189">
        <f t="shared" si="38"/>
        <v>512.82474999999999</v>
      </c>
      <c r="Z72" s="189">
        <f t="shared" si="38"/>
        <v>0</v>
      </c>
      <c r="AA72" s="189">
        <f t="shared" si="39"/>
        <v>12.934724137931036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210</v>
      </c>
      <c r="P73" s="225">
        <v>36</v>
      </c>
      <c r="Q73" s="225">
        <v>2001</v>
      </c>
      <c r="R73" s="221">
        <v>1080.95</v>
      </c>
      <c r="S73" s="225"/>
      <c r="T73" s="225"/>
      <c r="U73" s="189">
        <f t="shared" si="34"/>
        <v>0</v>
      </c>
      <c r="V73" s="189">
        <f t="shared" si="35"/>
        <v>8.1071249999999999</v>
      </c>
      <c r="W73" s="189">
        <f t="shared" si="36"/>
        <v>0</v>
      </c>
      <c r="X73" s="189">
        <f t="shared" si="37"/>
        <v>0</v>
      </c>
      <c r="Y73" s="189">
        <f t="shared" si="38"/>
        <v>1072.842875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210</v>
      </c>
      <c r="P74" s="225">
        <v>190</v>
      </c>
      <c r="Q74" s="225">
        <v>2001</v>
      </c>
      <c r="R74" s="221">
        <f>1332.78+1658.24</f>
        <v>2991.02</v>
      </c>
      <c r="S74" s="225"/>
      <c r="T74" s="225">
        <v>31.19</v>
      </c>
      <c r="U74" s="189">
        <f t="shared" si="34"/>
        <v>1.3443965517241381</v>
      </c>
      <c r="V74" s="189">
        <f t="shared" si="35"/>
        <v>22.432649999999999</v>
      </c>
      <c r="W74" s="189">
        <f t="shared" si="36"/>
        <v>0</v>
      </c>
      <c r="X74" s="189">
        <f t="shared" si="37"/>
        <v>0.77975000000000005</v>
      </c>
      <c r="Y74" s="189">
        <f t="shared" si="38"/>
        <v>2968.5873499999998</v>
      </c>
      <c r="Z74" s="189">
        <f t="shared" si="38"/>
        <v>0</v>
      </c>
      <c r="AA74" s="189">
        <f t="shared" si="39"/>
        <v>29.065853448275863</v>
      </c>
      <c r="AB74" s="87"/>
    </row>
    <row r="75" spans="1:30" ht="15.75" x14ac:dyDescent="0.25">
      <c r="N75" s="301" t="s">
        <v>196</v>
      </c>
      <c r="O75" s="301"/>
      <c r="P75" s="302"/>
      <c r="Q75" s="302"/>
      <c r="R75" s="192">
        <f>SUM(R70:R74)</f>
        <v>6050.3700000000008</v>
      </c>
      <c r="S75" s="192"/>
      <c r="T75" s="192">
        <f>SUM(T70:T74)</f>
        <v>45.07</v>
      </c>
      <c r="U75" s="192">
        <f>SUM(U70:U74)</f>
        <v>1.9426724137931037</v>
      </c>
      <c r="V75" s="192">
        <f t="shared" ref="V75:AA75" si="41">SUM(V70:V74)</f>
        <v>45.377775</v>
      </c>
      <c r="W75" s="192">
        <f t="shared" si="41"/>
        <v>0</v>
      </c>
      <c r="X75" s="192">
        <f t="shared" si="41"/>
        <v>1.1267500000000001</v>
      </c>
      <c r="Y75" s="192">
        <f t="shared" si="41"/>
        <v>6004.992225</v>
      </c>
      <c r="Z75" s="192">
        <f t="shared" si="41"/>
        <v>0</v>
      </c>
      <c r="AA75" s="193">
        <f t="shared" si="41"/>
        <v>42.000577586206902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>
        <f>287+8.69+148.07+1.23</f>
        <v>444.99</v>
      </c>
      <c r="R78" s="82">
        <v>7.4999999999999997E-3</v>
      </c>
      <c r="S78" s="216">
        <f>+(P78+Q78)*R78</f>
        <v>3.3374250000000001</v>
      </c>
      <c r="T78" s="219">
        <f>+(P78+Q78)-S78</f>
        <v>441.65257500000001</v>
      </c>
      <c r="U78" s="211">
        <v>63.9</v>
      </c>
      <c r="V78" s="112"/>
      <c r="W78" s="113">
        <v>1.4999999999999999E-2</v>
      </c>
      <c r="X78" s="217">
        <f>+(U78+V78)*W78</f>
        <v>0.95849999999999991</v>
      </c>
      <c r="Y78" s="217">
        <f>+(U78+V78)-X78</f>
        <v>62.941499999999998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>
        <f>174.48+55.45+268.81+93.22</f>
        <v>591.96</v>
      </c>
      <c r="R79" s="82">
        <v>7.4999999999999997E-3</v>
      </c>
      <c r="S79" s="216">
        <f t="shared" ref="S79:S97" si="43">+(P79+Q79)*R79</f>
        <v>4.4397000000000002</v>
      </c>
      <c r="T79" s="219">
        <f t="shared" ref="T79:T97" si="44">+(P79+Q79)-S79</f>
        <v>587.52030000000002</v>
      </c>
      <c r="U79" s="211">
        <f>62.55+43.23</f>
        <v>105.78</v>
      </c>
      <c r="V79" s="112"/>
      <c r="W79" s="113">
        <v>1.4999999999999999E-2</v>
      </c>
      <c r="X79" s="217">
        <f t="shared" ref="X79:X97" si="45">+(U79+V79)*W79</f>
        <v>1.5867</v>
      </c>
      <c r="Y79" s="217">
        <f t="shared" ref="Y79:Y97" si="46">+(U79+V79)-X79</f>
        <v>104.19330000000001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>
        <f>213.75+93.78+121.24+18.8</f>
        <v>447.57</v>
      </c>
      <c r="R80" s="82">
        <v>7.4999999999999997E-3</v>
      </c>
      <c r="S80" s="216">
        <f t="shared" si="43"/>
        <v>3.3567749999999998</v>
      </c>
      <c r="T80" s="219">
        <f t="shared" si="44"/>
        <v>444.21322499999997</v>
      </c>
      <c r="U80" s="211">
        <f>11.58+39.32</f>
        <v>50.9</v>
      </c>
      <c r="V80" s="112"/>
      <c r="W80" s="113">
        <v>1.4999999999999999E-2</v>
      </c>
      <c r="X80" s="217">
        <f t="shared" si="45"/>
        <v>0.76349999999999996</v>
      </c>
      <c r="Y80" s="217">
        <f t="shared" si="46"/>
        <v>50.136499999999998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>
        <f>58.29+384.48+92.98</f>
        <v>535.75</v>
      </c>
      <c r="R81" s="82">
        <v>7.4999999999999997E-3</v>
      </c>
      <c r="S81" s="216">
        <f t="shared" si="43"/>
        <v>4.0181249999999995</v>
      </c>
      <c r="T81" s="219">
        <f t="shared" si="44"/>
        <v>531.73187499999995</v>
      </c>
      <c r="U81" s="211">
        <f>41.35+34.92</f>
        <v>76.27000000000001</v>
      </c>
      <c r="V81" s="112"/>
      <c r="W81" s="113">
        <v>1.4999999999999999E-2</v>
      </c>
      <c r="X81" s="217">
        <f t="shared" si="45"/>
        <v>1.14405</v>
      </c>
      <c r="Y81" s="217">
        <f t="shared" si="46"/>
        <v>75.125950000000017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9</v>
      </c>
      <c r="O82" s="87" t="s">
        <v>110</v>
      </c>
      <c r="P82" s="87"/>
      <c r="Q82" s="87">
        <f>331.09+32.88</f>
        <v>363.96999999999997</v>
      </c>
      <c r="R82" s="82">
        <v>7.4999999999999997E-3</v>
      </c>
      <c r="S82" s="216">
        <f t="shared" si="43"/>
        <v>2.7297749999999996</v>
      </c>
      <c r="T82" s="219">
        <f t="shared" si="44"/>
        <v>361.24022499999995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2384.2399999999998</v>
      </c>
      <c r="R98" s="111"/>
      <c r="S98" s="195">
        <f>SUM(S78:S97)</f>
        <v>17.881799999999998</v>
      </c>
      <c r="T98" s="195">
        <f>SUM(T78:T97)</f>
        <v>2366.3581999999997</v>
      </c>
      <c r="U98" s="114">
        <f>SUM(U78:U97)</f>
        <v>296.85000000000002</v>
      </c>
      <c r="V98" s="114">
        <f>SUM(V78:V97)</f>
        <v>0</v>
      </c>
      <c r="W98" s="112"/>
      <c r="X98" s="197">
        <f>SUM(X78:X97)</f>
        <v>4.45275</v>
      </c>
      <c r="Y98" s="197">
        <f>SUM(Y78:Y97)</f>
        <v>292.39724999999999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3">
        <f>P78+Q78+U78</f>
        <v>508.89</v>
      </c>
      <c r="Q101" s="84"/>
    </row>
    <row r="102" spans="14:30" x14ac:dyDescent="0.25">
      <c r="N102" s="85"/>
      <c r="O102" s="84"/>
      <c r="P102" s="233">
        <f t="shared" ref="P102:P110" si="50">P79+Q79+U79</f>
        <v>697.74</v>
      </c>
      <c r="Q102" s="84"/>
    </row>
    <row r="103" spans="14:30" x14ac:dyDescent="0.25">
      <c r="N103" s="85"/>
      <c r="O103" s="84"/>
      <c r="P103" s="233">
        <f>P80+Q80+U80</f>
        <v>498.46999999999997</v>
      </c>
      <c r="Q103" s="84"/>
    </row>
    <row r="104" spans="14:30" x14ac:dyDescent="0.25">
      <c r="N104" s="85"/>
      <c r="O104" s="84"/>
      <c r="P104" s="233">
        <f t="shared" si="50"/>
        <v>612.02</v>
      </c>
      <c r="Q104" s="84"/>
    </row>
    <row r="105" spans="14:30" x14ac:dyDescent="0.25">
      <c r="N105" s="85"/>
      <c r="O105" s="84"/>
      <c r="P105" s="233">
        <f t="shared" si="50"/>
        <v>363.96999999999997</v>
      </c>
      <c r="Q105" s="84"/>
    </row>
    <row r="106" spans="14:30" x14ac:dyDescent="0.25">
      <c r="N106" s="85"/>
      <c r="O106" s="84"/>
      <c r="P106" s="233">
        <f t="shared" si="50"/>
        <v>0</v>
      </c>
      <c r="Q106" s="84"/>
    </row>
    <row r="107" spans="14:30" x14ac:dyDescent="0.25">
      <c r="N107" s="85"/>
      <c r="O107" s="84"/>
      <c r="P107" s="84">
        <f>P84+Q84+U84</f>
        <v>0</v>
      </c>
      <c r="Q107" s="84"/>
    </row>
    <row r="108" spans="14:30" x14ac:dyDescent="0.25">
      <c r="N108" s="85"/>
      <c r="O108" s="84"/>
      <c r="P108" s="84">
        <f t="shared" si="50"/>
        <v>0</v>
      </c>
      <c r="Q108" s="84"/>
    </row>
    <row r="109" spans="14:30" x14ac:dyDescent="0.25">
      <c r="N109" s="85"/>
      <c r="O109" s="84"/>
      <c r="P109" s="84">
        <f>P86+Q86+U86</f>
        <v>0</v>
      </c>
      <c r="Q109" s="84"/>
    </row>
    <row r="110" spans="14:30" x14ac:dyDescent="0.25">
      <c r="N110" s="85"/>
      <c r="O110" s="84"/>
      <c r="P110" s="84">
        <f t="shared" si="50"/>
        <v>0</v>
      </c>
      <c r="Q110" s="84"/>
    </row>
    <row r="111" spans="14:30" x14ac:dyDescent="0.25">
      <c r="N111" s="85"/>
      <c r="O111" s="84"/>
      <c r="P111" s="84"/>
      <c r="Q111" s="84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A23" zoomScale="90" zoomScaleNormal="90" workbookViewId="0">
      <selection activeCell="I43" sqref="I4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191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/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44773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1699</v>
      </c>
      <c r="C12" s="15"/>
      <c r="D12" s="56"/>
      <c r="E12" s="16"/>
      <c r="F12" s="56"/>
      <c r="G12" s="56"/>
      <c r="H12" s="17"/>
      <c r="I12" s="83">
        <v>1699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>
        <v>205</v>
      </c>
      <c r="Q12" s="158">
        <v>11</v>
      </c>
      <c r="R12" s="159">
        <v>955.23</v>
      </c>
      <c r="S12" s="160"/>
      <c r="T12" s="160">
        <v>83.71</v>
      </c>
      <c r="U12" s="189">
        <f>((T12/U$10)*U$9)</f>
        <v>3.6081896551724135</v>
      </c>
      <c r="V12" s="189">
        <f>R12*V$10</f>
        <v>7.1642250000000001</v>
      </c>
      <c r="W12" s="189">
        <f>+S12*V$10</f>
        <v>0</v>
      </c>
      <c r="X12" s="189">
        <f>+T12*X$10</f>
        <v>2.0927500000000001</v>
      </c>
      <c r="Y12" s="189">
        <f>R12-V12</f>
        <v>948.06577500000003</v>
      </c>
      <c r="Z12" s="189">
        <f>S12-W12</f>
        <v>0</v>
      </c>
      <c r="AA12" s="189">
        <f>T12-U12-X12</f>
        <v>78.009060344827589</v>
      </c>
      <c r="AB12" s="156"/>
    </row>
    <row r="13" spans="1:28" ht="15.75" x14ac:dyDescent="0.25">
      <c r="A13" s="86" t="s">
        <v>74</v>
      </c>
      <c r="B13" s="89">
        <v>2314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2314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3">
        <v>206</v>
      </c>
      <c r="Q13" s="158">
        <v>11</v>
      </c>
      <c r="R13" s="159">
        <v>341.72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2.5629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339.15710000000001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13398.06</v>
      </c>
      <c r="C14" s="15"/>
      <c r="D14" s="56"/>
      <c r="E14" s="16"/>
      <c r="F14" s="56"/>
      <c r="G14" s="56"/>
      <c r="H14" s="17"/>
      <c r="I14" s="83"/>
      <c r="J14" s="81">
        <f t="shared" si="0"/>
        <v>13398.06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>
        <v>586</v>
      </c>
      <c r="Q14" s="158">
        <v>2</v>
      </c>
      <c r="R14" s="159">
        <v>1284.3</v>
      </c>
      <c r="S14" s="160"/>
      <c r="T14" s="161">
        <v>19.989999999999998</v>
      </c>
      <c r="U14" s="189">
        <f t="shared" si="2"/>
        <v>0.86163793103448283</v>
      </c>
      <c r="V14" s="189">
        <f t="shared" si="3"/>
        <v>9.6322499999999991</v>
      </c>
      <c r="W14" s="189">
        <f t="shared" si="4"/>
        <v>0</v>
      </c>
      <c r="X14" s="189">
        <f t="shared" si="5"/>
        <v>0.49974999999999997</v>
      </c>
      <c r="Y14" s="189">
        <f t="shared" si="6"/>
        <v>1274.6677500000001</v>
      </c>
      <c r="Z14" s="189">
        <f t="shared" si="6"/>
        <v>0</v>
      </c>
      <c r="AA14" s="189">
        <f t="shared" si="7"/>
        <v>18.628612068965516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>
        <v>587</v>
      </c>
      <c r="Q15" s="158">
        <v>2</v>
      </c>
      <c r="R15" s="159">
        <v>1521.38</v>
      </c>
      <c r="S15" s="160"/>
      <c r="T15" s="161">
        <v>21.83</v>
      </c>
      <c r="U15" s="189">
        <f t="shared" si="2"/>
        <v>0.94094827586206908</v>
      </c>
      <c r="V15" s="189">
        <f t="shared" si="3"/>
        <v>11.410350000000001</v>
      </c>
      <c r="W15" s="189">
        <f t="shared" si="4"/>
        <v>0</v>
      </c>
      <c r="X15" s="189">
        <f t="shared" si="5"/>
        <v>0.54574999999999996</v>
      </c>
      <c r="Y15" s="189">
        <f t="shared" si="6"/>
        <v>1509.96965</v>
      </c>
      <c r="Z15" s="189">
        <f t="shared" si="6"/>
        <v>0</v>
      </c>
      <c r="AA15" s="189">
        <f t="shared" si="7"/>
        <v>20.34330172413793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>
        <v>569</v>
      </c>
      <c r="Q16" s="158">
        <v>4</v>
      </c>
      <c r="R16" s="159">
        <v>1188.24</v>
      </c>
      <c r="S16" s="160"/>
      <c r="T16" s="161">
        <v>30.51</v>
      </c>
      <c r="U16" s="189">
        <f t="shared" si="2"/>
        <v>1.3150862068965521</v>
      </c>
      <c r="V16" s="189">
        <f t="shared" si="3"/>
        <v>8.9117999999999995</v>
      </c>
      <c r="W16" s="189">
        <f t="shared" si="4"/>
        <v>0</v>
      </c>
      <c r="X16" s="189">
        <f t="shared" si="5"/>
        <v>0.76275000000000004</v>
      </c>
      <c r="Y16" s="189">
        <f t="shared" si="6"/>
        <v>1179.3281999999999</v>
      </c>
      <c r="Z16" s="189">
        <f t="shared" si="6"/>
        <v>0</v>
      </c>
      <c r="AA16" s="189">
        <f t="shared" si="7"/>
        <v>28.432163793103449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>
        <v>570</v>
      </c>
      <c r="Q17" s="158">
        <v>4</v>
      </c>
      <c r="R17" s="159">
        <v>705.17</v>
      </c>
      <c r="S17" s="160"/>
      <c r="T17" s="161"/>
      <c r="U17" s="189">
        <f t="shared" si="2"/>
        <v>0</v>
      </c>
      <c r="V17" s="189">
        <f t="shared" si="3"/>
        <v>5.2887749999999993</v>
      </c>
      <c r="W17" s="189">
        <f t="shared" si="4"/>
        <v>0</v>
      </c>
      <c r="X17" s="189">
        <f t="shared" si="5"/>
        <v>0</v>
      </c>
      <c r="Y17" s="189">
        <f t="shared" si="6"/>
        <v>699.88122499999997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>
        <v>560</v>
      </c>
      <c r="Q18" s="158">
        <v>14</v>
      </c>
      <c r="R18" s="159">
        <v>54.7</v>
      </c>
      <c r="S18" s="160"/>
      <c r="T18" s="161"/>
      <c r="U18" s="189">
        <f t="shared" si="2"/>
        <v>0</v>
      </c>
      <c r="V18" s="189">
        <f t="shared" si="3"/>
        <v>0.41025</v>
      </c>
      <c r="W18" s="189">
        <f t="shared" si="4"/>
        <v>0</v>
      </c>
      <c r="X18" s="189">
        <f t="shared" si="5"/>
        <v>0</v>
      </c>
      <c r="Y18" s="189">
        <f t="shared" si="6"/>
        <v>54.289750000000005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2314</v>
      </c>
      <c r="C19" s="95"/>
      <c r="D19" s="94"/>
      <c r="E19" s="96"/>
      <c r="F19" s="94"/>
      <c r="G19" s="94"/>
      <c r="H19" s="98"/>
      <c r="I19" s="99">
        <v>2314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>
        <v>561</v>
      </c>
      <c r="Q19" s="158">
        <v>14</v>
      </c>
      <c r="R19" s="159">
        <v>1164.27</v>
      </c>
      <c r="S19" s="160"/>
      <c r="T19" s="161"/>
      <c r="U19" s="189">
        <f t="shared" si="2"/>
        <v>0</v>
      </c>
      <c r="V19" s="189">
        <f t="shared" si="3"/>
        <v>8.7320250000000001</v>
      </c>
      <c r="W19" s="189">
        <f t="shared" si="4"/>
        <v>0</v>
      </c>
      <c r="X19" s="189">
        <f t="shared" si="5"/>
        <v>0</v>
      </c>
      <c r="Y19" s="189">
        <f t="shared" si="6"/>
        <v>1155.537975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13398.06</v>
      </c>
      <c r="C20" s="95"/>
      <c r="D20" s="94"/>
      <c r="E20" s="96"/>
      <c r="F20" s="94"/>
      <c r="G20" s="94"/>
      <c r="H20" s="98"/>
      <c r="I20" s="99">
        <v>13398.06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>
        <v>656</v>
      </c>
      <c r="Q20" s="158">
        <v>18</v>
      </c>
      <c r="R20" s="159">
        <v>945.21</v>
      </c>
      <c r="S20" s="160"/>
      <c r="T20" s="161"/>
      <c r="U20" s="189">
        <f t="shared" si="2"/>
        <v>0</v>
      </c>
      <c r="V20" s="189">
        <f t="shared" si="3"/>
        <v>7.0890750000000002</v>
      </c>
      <c r="W20" s="189">
        <f t="shared" si="4"/>
        <v>0</v>
      </c>
      <c r="X20" s="189">
        <f t="shared" si="5"/>
        <v>0</v>
      </c>
      <c r="Y20" s="189">
        <f t="shared" si="6"/>
        <v>938.12092500000006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>
        <v>657</v>
      </c>
      <c r="Q21" s="158">
        <v>18</v>
      </c>
      <c r="R21" s="159">
        <v>1789.4</v>
      </c>
      <c r="S21" s="160"/>
      <c r="T21" s="161">
        <v>16.18</v>
      </c>
      <c r="U21" s="189">
        <f t="shared" si="2"/>
        <v>0.69741379310344831</v>
      </c>
      <c r="V21" s="189">
        <f t="shared" si="3"/>
        <v>13.420500000000001</v>
      </c>
      <c r="W21" s="189">
        <f t="shared" si="4"/>
        <v>0</v>
      </c>
      <c r="X21" s="189">
        <f t="shared" si="5"/>
        <v>0.40450000000000003</v>
      </c>
      <c r="Y21" s="189">
        <f t="shared" si="6"/>
        <v>1775.9795000000001</v>
      </c>
      <c r="Z21" s="189">
        <f t="shared" si="6"/>
        <v>0</v>
      </c>
      <c r="AA21" s="189">
        <f t="shared" si="7"/>
        <v>15.07808620689655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 t="s">
        <v>164</v>
      </c>
      <c r="S27" s="160"/>
      <c r="T27" s="155"/>
      <c r="U27" s="189">
        <f t="shared" si="2"/>
        <v>0</v>
      </c>
      <c r="V27" s="189" t="e">
        <f t="shared" si="3"/>
        <v>#VALUE!</v>
      </c>
      <c r="W27" s="189">
        <f t="shared" si="4"/>
        <v>0</v>
      </c>
      <c r="X27" s="189">
        <f t="shared" si="5"/>
        <v>0</v>
      </c>
      <c r="Y27" s="189" t="e">
        <f t="shared" si="6"/>
        <v>#VALUE!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>
        <v>142.44999999999999</v>
      </c>
      <c r="C29" s="100"/>
      <c r="D29" s="66"/>
      <c r="E29" s="67"/>
      <c r="F29" s="66"/>
      <c r="G29" s="66"/>
      <c r="H29" s="102"/>
      <c r="I29" s="79"/>
      <c r="J29" s="81">
        <f t="shared" si="0"/>
        <v>142.44999999999999</v>
      </c>
      <c r="K29" s="80"/>
      <c r="L29" s="186">
        <f>K29-B29</f>
        <v>-142.44999999999999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824.78549999999996</v>
      </c>
      <c r="C30" s="100"/>
      <c r="D30" s="66"/>
      <c r="E30" s="67"/>
      <c r="F30" s="66"/>
      <c r="G30" s="66"/>
      <c r="H30" s="102"/>
      <c r="I30" s="79"/>
      <c r="J30" s="81">
        <f t="shared" si="0"/>
        <v>824.78549999999996</v>
      </c>
      <c r="K30" s="80"/>
      <c r="L30" s="186">
        <f>K30-B30</f>
        <v>-824.78549999999996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142.44999999999999</v>
      </c>
      <c r="C35" s="95"/>
      <c r="D35" s="94"/>
      <c r="E35" s="96"/>
      <c r="F35" s="94"/>
      <c r="G35" s="94"/>
      <c r="H35" s="98"/>
      <c r="I35" s="99">
        <v>142.44999999999999</v>
      </c>
      <c r="J35" s="185">
        <f t="shared" si="0"/>
        <v>0</v>
      </c>
      <c r="K35" s="99"/>
      <c r="L35" s="187">
        <f>K35-B35</f>
        <v>-142.44999999999999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824.78549999999996</v>
      </c>
      <c r="C36" s="95"/>
      <c r="D36" s="94"/>
      <c r="E36" s="96"/>
      <c r="F36" s="94"/>
      <c r="G36" s="94"/>
      <c r="H36" s="98"/>
      <c r="I36" s="99"/>
      <c r="J36" s="185">
        <f t="shared" si="0"/>
        <v>824.78549999999996</v>
      </c>
      <c r="K36" s="99"/>
      <c r="L36" s="187">
        <f>K36-B36</f>
        <v>-824.78549999999996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>
        <v>20.68</v>
      </c>
      <c r="C37" s="100"/>
      <c r="D37" s="66"/>
      <c r="E37" s="67"/>
      <c r="F37" s="66"/>
      <c r="G37" s="66"/>
      <c r="H37" s="102"/>
      <c r="I37" s="79"/>
      <c r="J37" s="81">
        <f t="shared" si="0"/>
        <v>20.68</v>
      </c>
      <c r="K37" s="80"/>
      <c r="L37" s="186">
        <f>K37-B37</f>
        <v>-20.68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119.7372</v>
      </c>
      <c r="C38" s="100"/>
      <c r="D38" s="66"/>
      <c r="E38" s="67"/>
      <c r="F38" s="66"/>
      <c r="G38" s="66"/>
      <c r="H38" s="102"/>
      <c r="I38" s="79"/>
      <c r="J38" s="81">
        <f t="shared" si="0"/>
        <v>119.7372</v>
      </c>
      <c r="K38" s="80"/>
      <c r="L38" s="186">
        <f>K38-B38</f>
        <v>-119.7372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2" t="s">
        <v>105</v>
      </c>
      <c r="O42" s="313"/>
      <c r="P42" s="313"/>
      <c r="Q42" s="314"/>
      <c r="R42" s="190">
        <f t="shared" ref="R42:AA42" si="8">SUM(R12:R41)</f>
        <v>9949.6200000000008</v>
      </c>
      <c r="S42" s="190">
        <f t="shared" si="8"/>
        <v>0</v>
      </c>
      <c r="T42" s="190">
        <f t="shared" si="8"/>
        <v>172.22</v>
      </c>
      <c r="U42" s="190">
        <f t="shared" si="8"/>
        <v>7.4232758620689658</v>
      </c>
      <c r="V42" s="190" t="e">
        <f t="shared" si="8"/>
        <v>#VALUE!</v>
      </c>
      <c r="W42" s="190">
        <f t="shared" si="8"/>
        <v>0</v>
      </c>
      <c r="X42" s="190">
        <f t="shared" si="8"/>
        <v>4.3055000000000003</v>
      </c>
      <c r="Y42" s="190" t="e">
        <f t="shared" si="8"/>
        <v>#VALUE!</v>
      </c>
      <c r="Z42" s="190">
        <f t="shared" si="8"/>
        <v>0</v>
      </c>
      <c r="AA42" s="190">
        <f t="shared" si="8"/>
        <v>160.49122413793103</v>
      </c>
      <c r="AB42" s="166"/>
    </row>
    <row r="43" spans="1:28" ht="15.75" x14ac:dyDescent="0.25">
      <c r="A43" s="93" t="s">
        <v>101</v>
      </c>
      <c r="B43" s="97">
        <f>+B37+B39+B41</f>
        <v>20.68</v>
      </c>
      <c r="C43" s="95"/>
      <c r="D43" s="94"/>
      <c r="E43" s="96"/>
      <c r="F43" s="94"/>
      <c r="G43" s="94"/>
      <c r="H43" s="98"/>
      <c r="I43" s="99">
        <v>20.68</v>
      </c>
      <c r="J43" s="185">
        <f t="shared" si="0"/>
        <v>0</v>
      </c>
      <c r="K43" s="99"/>
      <c r="L43" s="187">
        <f>K43-B43</f>
        <v>-20.68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119.7372</v>
      </c>
      <c r="C44" s="95"/>
      <c r="D44" s="94"/>
      <c r="E44" s="96"/>
      <c r="F44" s="94"/>
      <c r="G44" s="94"/>
      <c r="H44" s="98"/>
      <c r="I44" s="99"/>
      <c r="J44" s="185">
        <f t="shared" si="0"/>
        <v>119.7372</v>
      </c>
      <c r="K44" s="99"/>
      <c r="L44" s="187">
        <f>K44-B44</f>
        <v>-119.7372</v>
      </c>
      <c r="M44" s="107"/>
      <c r="N44" s="104">
        <v>2</v>
      </c>
      <c r="O44" s="167" t="s">
        <v>69</v>
      </c>
      <c r="P44" s="158"/>
      <c r="Q44" s="158"/>
      <c r="R44" s="160">
        <v>529.37</v>
      </c>
      <c r="S44" s="160"/>
      <c r="T44" s="155"/>
      <c r="U44" s="189">
        <f t="shared" si="9"/>
        <v>0</v>
      </c>
      <c r="V44" s="189">
        <f t="shared" si="10"/>
        <v>3.970275</v>
      </c>
      <c r="W44" s="189">
        <f t="shared" si="11"/>
        <v>0</v>
      </c>
      <c r="X44" s="189">
        <f t="shared" si="12"/>
        <v>0</v>
      </c>
      <c r="Y44" s="189">
        <f t="shared" si="13"/>
        <v>525.39972499999999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>
        <v>1107.47</v>
      </c>
      <c r="S45" s="160">
        <v>19.16</v>
      </c>
      <c r="T45" s="155"/>
      <c r="U45" s="189">
        <f t="shared" si="9"/>
        <v>0</v>
      </c>
      <c r="V45" s="189">
        <f t="shared" si="10"/>
        <v>8.306025</v>
      </c>
      <c r="W45" s="189">
        <f t="shared" si="11"/>
        <v>0.14369999999999999</v>
      </c>
      <c r="X45" s="189">
        <f t="shared" si="12"/>
        <v>0</v>
      </c>
      <c r="Y45" s="189">
        <f t="shared" si="13"/>
        <v>1099.1639749999999</v>
      </c>
      <c r="Z45" s="189">
        <f t="shared" si="13"/>
        <v>19.016300000000001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9949.6200000000008</v>
      </c>
      <c r="C46" s="116">
        <v>7.4999999999999997E-3</v>
      </c>
      <c r="D46" s="117">
        <f>B46*C46</f>
        <v>74.622150000000005</v>
      </c>
      <c r="E46" s="172">
        <v>0</v>
      </c>
      <c r="F46" s="117">
        <f t="shared" ref="F46:F50" si="15">D46*E46</f>
        <v>0</v>
      </c>
      <c r="G46" s="117">
        <f t="shared" ref="G46:G51" si="16">B46-D46-F46</f>
        <v>9874.9978500000016</v>
      </c>
      <c r="H46" s="173">
        <f>B$6+1</f>
        <v>44774</v>
      </c>
      <c r="I46" s="174">
        <v>9949.6200000000008</v>
      </c>
      <c r="J46" s="81">
        <f t="shared" si="0"/>
        <v>0</v>
      </c>
      <c r="K46" s="80"/>
      <c r="L46" s="186">
        <f t="shared" ref="L46:L64" si="17">+G46-K46</f>
        <v>9874.9978500000016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1636.8400000000001</v>
      </c>
      <c r="C47" s="116">
        <v>7.4999999999999997E-3</v>
      </c>
      <c r="D47" s="117">
        <f t="shared" ref="D47:D50" si="18">B47*C47</f>
        <v>12.276300000000001</v>
      </c>
      <c r="E47" s="172">
        <v>0</v>
      </c>
      <c r="F47" s="117">
        <f t="shared" si="15"/>
        <v>0</v>
      </c>
      <c r="G47" s="117">
        <f t="shared" si="16"/>
        <v>1624.5637000000002</v>
      </c>
      <c r="H47" s="173">
        <f>B$6+1</f>
        <v>44774</v>
      </c>
      <c r="I47" s="175">
        <v>1636.84</v>
      </c>
      <c r="J47" s="81">
        <f t="shared" si="0"/>
        <v>0</v>
      </c>
      <c r="K47" s="80"/>
      <c r="L47" s="186">
        <f t="shared" si="17"/>
        <v>1624.5637000000002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170</v>
      </c>
      <c r="B48" s="117">
        <f>R69</f>
        <v>123.46000000000001</v>
      </c>
      <c r="C48" s="116">
        <v>1.4999999999999999E-2</v>
      </c>
      <c r="D48" s="117">
        <f t="shared" si="18"/>
        <v>1.8519000000000001</v>
      </c>
      <c r="E48" s="172">
        <v>0</v>
      </c>
      <c r="F48" s="117">
        <f t="shared" si="15"/>
        <v>0</v>
      </c>
      <c r="G48" s="117">
        <f t="shared" si="16"/>
        <v>121.60810000000001</v>
      </c>
      <c r="H48" s="173">
        <f t="shared" ref="H48:H61" si="19">B$6+1</f>
        <v>44774</v>
      </c>
      <c r="I48" s="176">
        <v>123.46</v>
      </c>
      <c r="J48" s="81">
        <f t="shared" si="0"/>
        <v>0</v>
      </c>
      <c r="K48" s="80"/>
      <c r="L48" s="186">
        <f t="shared" si="17"/>
        <v>121.60810000000001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171</v>
      </c>
      <c r="B49" s="117">
        <f>R75</f>
        <v>3804.3100000000004</v>
      </c>
      <c r="C49" s="116">
        <v>7.4999999999999997E-3</v>
      </c>
      <c r="D49" s="117">
        <f t="shared" si="18"/>
        <v>28.532325000000004</v>
      </c>
      <c r="E49" s="172">
        <v>0</v>
      </c>
      <c r="F49" s="117">
        <f t="shared" si="15"/>
        <v>0</v>
      </c>
      <c r="G49" s="117">
        <f t="shared" si="16"/>
        <v>3775.7776750000003</v>
      </c>
      <c r="H49" s="173">
        <f t="shared" si="19"/>
        <v>44774</v>
      </c>
      <c r="I49" s="176">
        <v>3804.32</v>
      </c>
      <c r="J49" s="81">
        <f t="shared" si="0"/>
        <v>-9.9999999997635314E-3</v>
      </c>
      <c r="K49" s="80"/>
      <c r="L49" s="186">
        <f t="shared" si="17"/>
        <v>3775.7776750000003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2206.7200000000003</v>
      </c>
      <c r="C50" s="116">
        <v>7.4999999999999997E-3</v>
      </c>
      <c r="D50" s="117">
        <f t="shared" si="18"/>
        <v>16.5504</v>
      </c>
      <c r="E50" s="172">
        <v>0</v>
      </c>
      <c r="F50" s="117">
        <f t="shared" si="15"/>
        <v>0</v>
      </c>
      <c r="G50" s="117">
        <f t="shared" si="16"/>
        <v>2190.1696000000002</v>
      </c>
      <c r="H50" s="173">
        <f t="shared" si="19"/>
        <v>44774</v>
      </c>
      <c r="I50" s="175">
        <v>2326.33</v>
      </c>
      <c r="J50" s="81">
        <f t="shared" si="0"/>
        <v>-119.60999999999967</v>
      </c>
      <c r="K50" s="80"/>
      <c r="L50" s="186">
        <f t="shared" si="17"/>
        <v>2190.1696000000002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119.61</v>
      </c>
      <c r="C51" s="116">
        <v>1.4999999999999999E-2</v>
      </c>
      <c r="D51" s="117">
        <f>+B51*C51</f>
        <v>1.7941499999999999</v>
      </c>
      <c r="E51" s="172">
        <v>0</v>
      </c>
      <c r="F51" s="117">
        <f>D51*E51</f>
        <v>0</v>
      </c>
      <c r="G51" s="117">
        <f t="shared" si="16"/>
        <v>117.81585</v>
      </c>
      <c r="H51" s="173">
        <f t="shared" si="19"/>
        <v>44774</v>
      </c>
      <c r="I51" s="175"/>
      <c r="J51" s="81">
        <f t="shared" si="0"/>
        <v>119.61</v>
      </c>
      <c r="K51" s="80"/>
      <c r="L51" s="186">
        <f t="shared" si="17"/>
        <v>117.81585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172.22</v>
      </c>
      <c r="C52" s="116">
        <v>2.5000000000000001E-2</v>
      </c>
      <c r="D52" s="117">
        <f>B52*C52</f>
        <v>4.3055000000000003</v>
      </c>
      <c r="E52" s="172">
        <v>0.05</v>
      </c>
      <c r="F52" s="117">
        <f>(B52/E$10)*E52</f>
        <v>7.4232758620689667</v>
      </c>
      <c r="G52" s="117">
        <f>B52-D52-F52</f>
        <v>160.49122413793103</v>
      </c>
      <c r="H52" s="188">
        <f t="shared" si="19"/>
        <v>44774</v>
      </c>
      <c r="I52" s="219">
        <v>172.22</v>
      </c>
      <c r="J52" s="81">
        <f t="shared" si="0"/>
        <v>0</v>
      </c>
      <c r="K52" s="80"/>
      <c r="L52" s="186">
        <f t="shared" si="17"/>
        <v>160.49122413793103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45.71</v>
      </c>
      <c r="C56" s="116">
        <v>2.5000000000000001E-2</v>
      </c>
      <c r="D56" s="117">
        <f t="shared" si="20"/>
        <v>1.1427500000000002</v>
      </c>
      <c r="E56" s="172">
        <v>0.05</v>
      </c>
      <c r="F56" s="117">
        <f t="shared" si="21"/>
        <v>1.9702586206896555</v>
      </c>
      <c r="G56" s="117">
        <f t="shared" si="22"/>
        <v>42.596991379310346</v>
      </c>
      <c r="H56" s="173">
        <f t="shared" si="19"/>
        <v>44774</v>
      </c>
      <c r="I56" s="176">
        <v>45.71</v>
      </c>
      <c r="J56" s="81">
        <f t="shared" si="0"/>
        <v>0</v>
      </c>
      <c r="K56" s="80"/>
      <c r="L56" s="186">
        <f t="shared" si="17"/>
        <v>42.596991379310346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19.16</v>
      </c>
      <c r="C58" s="116">
        <v>5.3E-3</v>
      </c>
      <c r="D58" s="117">
        <f>B58*C58</f>
        <v>0.101548</v>
      </c>
      <c r="E58" s="172">
        <v>0</v>
      </c>
      <c r="F58" s="117">
        <f>D58*E58</f>
        <v>0</v>
      </c>
      <c r="G58" s="117">
        <f t="shared" si="22"/>
        <v>19.058451999999999</v>
      </c>
      <c r="H58" s="173">
        <f>B$6+5</f>
        <v>44778</v>
      </c>
      <c r="I58" s="175">
        <v>19.16</v>
      </c>
      <c r="J58" s="81">
        <f t="shared" si="0"/>
        <v>0</v>
      </c>
      <c r="K58" s="80"/>
      <c r="L58" s="186">
        <f t="shared" si="17"/>
        <v>19.058451999999999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141.17702300000002</v>
      </c>
      <c r="E61" s="177"/>
      <c r="F61" s="57">
        <f>SUM(F46:F58)</f>
        <v>9.3935344827586214</v>
      </c>
      <c r="G61" s="57">
        <f>SUM(G46:G58)</f>
        <v>17927.079442517243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17927.079442517243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1636.8400000000001</v>
      </c>
      <c r="S63" s="191">
        <f>SUM(S43:S62)</f>
        <v>19.16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12.276299999999999</v>
      </c>
      <c r="W63" s="191">
        <f t="shared" si="25"/>
        <v>0.14369999999999999</v>
      </c>
      <c r="X63" s="191">
        <f t="shared" si="25"/>
        <v>0</v>
      </c>
      <c r="Y63" s="191">
        <f>SUM(Y43:Y62)</f>
        <v>1624.5636999999999</v>
      </c>
      <c r="Z63" s="191">
        <f t="shared" ref="Z63:AA63" si="26">SUM(Z43:Z62)</f>
        <v>19.016300000000001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35854.158885034485</v>
      </c>
      <c r="H64" s="184"/>
      <c r="I64" s="175"/>
      <c r="J64" s="81">
        <f t="shared" si="0"/>
        <v>0</v>
      </c>
      <c r="K64" s="80"/>
      <c r="L64" s="186">
        <f t="shared" si="17"/>
        <v>35854.158885034485</v>
      </c>
      <c r="M64" s="130"/>
      <c r="N64" s="87">
        <v>1</v>
      </c>
      <c r="O64" s="122" t="s">
        <v>240</v>
      </c>
      <c r="P64" s="87"/>
      <c r="Q64" s="225">
        <v>4822</v>
      </c>
      <c r="R64" s="225">
        <v>75.88</v>
      </c>
      <c r="S64" s="225"/>
      <c r="T64" s="87"/>
      <c r="U64" s="189">
        <f t="shared" ref="U64:U68" si="27">((T64/U$10)*U$9)</f>
        <v>0</v>
      </c>
      <c r="V64" s="189">
        <f t="shared" ref="V64:V68" si="28">R64*V$10</f>
        <v>0.56909999999999994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75.31089999999999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34119.232700000008</v>
      </c>
      <c r="G65" s="22"/>
      <c r="L65" s="132"/>
      <c r="M65" s="131"/>
      <c r="N65" s="87">
        <v>2</v>
      </c>
      <c r="O65" s="122" t="s">
        <v>240</v>
      </c>
      <c r="P65" s="87"/>
      <c r="Q65" s="225">
        <v>7959</v>
      </c>
      <c r="R65" s="221">
        <v>22.93</v>
      </c>
      <c r="S65" s="225"/>
      <c r="T65" s="87"/>
      <c r="U65" s="189">
        <f t="shared" si="27"/>
        <v>0</v>
      </c>
      <c r="V65" s="189">
        <f t="shared" si="28"/>
        <v>0.17197499999999999</v>
      </c>
      <c r="W65" s="189">
        <f t="shared" si="29"/>
        <v>0</v>
      </c>
      <c r="X65" s="189">
        <f t="shared" si="30"/>
        <v>0</v>
      </c>
      <c r="Y65" s="189">
        <f t="shared" si="31"/>
        <v>22.758025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240</v>
      </c>
      <c r="P66" s="87"/>
      <c r="Q66" s="225">
        <v>126</v>
      </c>
      <c r="R66" s="225">
        <v>24.65</v>
      </c>
      <c r="S66" s="225"/>
      <c r="T66" s="87"/>
      <c r="U66" s="189">
        <f t="shared" si="27"/>
        <v>0</v>
      </c>
      <c r="V66" s="189">
        <f t="shared" si="28"/>
        <v>0.18487499999999998</v>
      </c>
      <c r="W66" s="189">
        <f t="shared" si="29"/>
        <v>0</v>
      </c>
      <c r="X66" s="189">
        <f t="shared" si="30"/>
        <v>0</v>
      </c>
      <c r="Y66" s="189">
        <f t="shared" si="31"/>
        <v>24.465124999999997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240</v>
      </c>
      <c r="P67" s="87"/>
      <c r="Q67" s="225"/>
      <c r="R67" s="225"/>
      <c r="S67" s="225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34058.67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5"/>
      <c r="R68" s="225"/>
      <c r="S68" s="225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33669.339999999997</v>
      </c>
      <c r="C69" s="59"/>
      <c r="F69" s="87" t="s">
        <v>127</v>
      </c>
      <c r="G69" s="22"/>
      <c r="H69" s="89"/>
      <c r="I69" s="136"/>
      <c r="J69" s="136">
        <f>K52</f>
        <v>0</v>
      </c>
      <c r="N69" s="301" t="s">
        <v>108</v>
      </c>
      <c r="O69" s="301"/>
      <c r="P69" s="302"/>
      <c r="Q69" s="302"/>
      <c r="R69" s="192">
        <f>SUM(R64:R68)</f>
        <v>123.46000000000001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0.92594999999999994</v>
      </c>
      <c r="W69" s="192">
        <f t="shared" si="33"/>
        <v>0</v>
      </c>
      <c r="X69" s="192">
        <f t="shared" si="33"/>
        <v>0</v>
      </c>
      <c r="Y69" s="192">
        <f t="shared" si="33"/>
        <v>122.53404999999999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389.33000000000175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217</v>
      </c>
      <c r="P70" s="225">
        <v>188</v>
      </c>
      <c r="Q70" s="225">
        <v>2001</v>
      </c>
      <c r="R70" s="221">
        <v>1190.25</v>
      </c>
      <c r="S70" s="87"/>
      <c r="T70" s="87">
        <v>45.71</v>
      </c>
      <c r="U70" s="189">
        <f t="shared" ref="U70:U74" si="34">((T70/U$10)*U$9)</f>
        <v>1.9702586206896555</v>
      </c>
      <c r="V70" s="189">
        <f t="shared" ref="V70:V74" si="35">R70*V$10</f>
        <v>8.926874999999999</v>
      </c>
      <c r="W70" s="189">
        <f t="shared" ref="W70:W74" si="36">+S70*V$10</f>
        <v>0</v>
      </c>
      <c r="X70" s="189">
        <f t="shared" ref="X70:X74" si="37">+T70*X$10</f>
        <v>1.1427500000000002</v>
      </c>
      <c r="Y70" s="189">
        <f t="shared" ref="Y70:Z74" si="38">R70-V70</f>
        <v>1181.3231249999999</v>
      </c>
      <c r="Z70" s="189">
        <f t="shared" si="38"/>
        <v>0</v>
      </c>
      <c r="AA70" s="189">
        <f t="shared" ref="AA70:AA74" si="39">T70-U70-X70</f>
        <v>42.596991379310346</v>
      </c>
      <c r="AB70" s="87"/>
    </row>
    <row r="71" spans="1:30" ht="28.5" customHeight="1" thickBot="1" x14ac:dyDescent="0.3">
      <c r="A71" s="25" t="s">
        <v>56</v>
      </c>
      <c r="B71" s="70">
        <f>B65-B68</f>
        <v>60.562700000009499</v>
      </c>
      <c r="C71" s="64"/>
      <c r="F71" s="87" t="s">
        <v>129</v>
      </c>
      <c r="G71" s="137"/>
      <c r="H71" s="87"/>
      <c r="I71" s="81"/>
      <c r="J71" s="81"/>
      <c r="N71" s="87">
        <v>2</v>
      </c>
      <c r="O71" s="122" t="s">
        <v>217</v>
      </c>
      <c r="P71" s="225"/>
      <c r="Q71" s="225">
        <v>38</v>
      </c>
      <c r="R71" s="221">
        <v>36.96</v>
      </c>
      <c r="S71" s="87"/>
      <c r="T71" s="87"/>
      <c r="U71" s="189">
        <f t="shared" si="34"/>
        <v>0</v>
      </c>
      <c r="V71" s="189">
        <f t="shared" si="35"/>
        <v>0.2772</v>
      </c>
      <c r="W71" s="189">
        <f t="shared" si="36"/>
        <v>0</v>
      </c>
      <c r="X71" s="189">
        <f t="shared" si="37"/>
        <v>0</v>
      </c>
      <c r="Y71" s="189">
        <f t="shared" si="38"/>
        <v>36.6828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182</v>
      </c>
      <c r="P72" s="225"/>
      <c r="Q72" s="225">
        <v>192</v>
      </c>
      <c r="R72" s="225">
        <v>913.47</v>
      </c>
      <c r="S72" s="87"/>
      <c r="T72" s="87"/>
      <c r="U72" s="189">
        <f t="shared" si="34"/>
        <v>0</v>
      </c>
      <c r="V72" s="189">
        <f t="shared" si="35"/>
        <v>6.8510249999999999</v>
      </c>
      <c r="W72" s="189">
        <f t="shared" si="36"/>
        <v>0</v>
      </c>
      <c r="X72" s="189">
        <f t="shared" si="37"/>
        <v>0</v>
      </c>
      <c r="Y72" s="189">
        <f t="shared" si="38"/>
        <v>906.61897499999998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182</v>
      </c>
      <c r="P73" s="225"/>
      <c r="Q73" s="225">
        <v>193</v>
      </c>
      <c r="R73" s="225">
        <v>1663.63</v>
      </c>
      <c r="S73" s="87"/>
      <c r="T73" s="87"/>
      <c r="U73" s="189">
        <f t="shared" si="34"/>
        <v>0</v>
      </c>
      <c r="V73" s="189">
        <f t="shared" si="35"/>
        <v>12.477225000000001</v>
      </c>
      <c r="W73" s="189">
        <f t="shared" si="36"/>
        <v>0</v>
      </c>
      <c r="X73" s="189">
        <f t="shared" si="37"/>
        <v>0</v>
      </c>
      <c r="Y73" s="189">
        <f t="shared" si="38"/>
        <v>1651.152775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225"/>
      <c r="Q74" s="225"/>
      <c r="R74" s="225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3804.3100000000004</v>
      </c>
      <c r="S75" s="192"/>
      <c r="T75" s="192">
        <f>SUM(T70:T74)</f>
        <v>45.71</v>
      </c>
      <c r="U75" s="192">
        <f>SUM(U70:U74)</f>
        <v>1.9702586206896555</v>
      </c>
      <c r="V75" s="192">
        <f t="shared" ref="V75:AA75" si="41">SUM(V70:V74)</f>
        <v>28.532325</v>
      </c>
      <c r="W75" s="192">
        <f t="shared" si="41"/>
        <v>0</v>
      </c>
      <c r="X75" s="192">
        <f t="shared" si="41"/>
        <v>1.1427500000000002</v>
      </c>
      <c r="Y75" s="192">
        <f t="shared" si="41"/>
        <v>3775.7776749999998</v>
      </c>
      <c r="Z75" s="192">
        <f t="shared" si="41"/>
        <v>0</v>
      </c>
      <c r="AA75" s="193">
        <f t="shared" si="41"/>
        <v>42.596991379310346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>
        <f>166.32+49.16+72.77</f>
        <v>288.25</v>
      </c>
      <c r="R78" s="82">
        <v>7.4999999999999997E-3</v>
      </c>
      <c r="S78" s="194">
        <f>+(P78+Q78)*R78</f>
        <v>2.1618749999999998</v>
      </c>
      <c r="T78" s="216">
        <f>+(P78+Q78)-S78</f>
        <v>286.08812499999999</v>
      </c>
      <c r="U78" s="211">
        <f>13.6+21.19</f>
        <v>34.79</v>
      </c>
      <c r="V78" s="112"/>
      <c r="W78" s="113">
        <v>1.4999999999999999E-2</v>
      </c>
      <c r="X78" s="196">
        <f>+(U78+V78)*W78</f>
        <v>0.52184999999999993</v>
      </c>
      <c r="Y78" s="217">
        <f>+(U78+V78)-X78</f>
        <v>34.268149999999999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>
        <f>210.51+13.89+223.25+88.84</f>
        <v>536.49</v>
      </c>
      <c r="R79" s="82">
        <v>7.4999999999999997E-3</v>
      </c>
      <c r="S79" s="194">
        <f t="shared" ref="S79:S97" si="43">+(P79+Q79)*R79</f>
        <v>4.0236749999999999</v>
      </c>
      <c r="T79" s="216">
        <f t="shared" ref="T79:T97" si="44">+(P79+Q79)-S79</f>
        <v>532.46632499999998</v>
      </c>
      <c r="U79" s="211">
        <f>7.7+6.64</f>
        <v>14.34</v>
      </c>
      <c r="V79" s="112"/>
      <c r="W79" s="113">
        <v>1.4999999999999999E-2</v>
      </c>
      <c r="X79" s="196">
        <f t="shared" ref="X79:X97" si="45">+(U79+V79)*W79</f>
        <v>0.21509999999999999</v>
      </c>
      <c r="Y79" s="217">
        <f t="shared" ref="Y79:Y97" si="46">+(U79+V79)-X79</f>
        <v>14.1249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>
        <f>21.54+186.03+172.03</f>
        <v>379.6</v>
      </c>
      <c r="R80" s="82">
        <v>7.4999999999999997E-3</v>
      </c>
      <c r="S80" s="194">
        <f t="shared" si="43"/>
        <v>2.847</v>
      </c>
      <c r="T80" s="216">
        <f t="shared" si="44"/>
        <v>376.75300000000004</v>
      </c>
      <c r="U80" s="211">
        <f>31.28+9</f>
        <v>40.28</v>
      </c>
      <c r="V80" s="112"/>
      <c r="W80" s="113">
        <v>1.4999999999999999E-2</v>
      </c>
      <c r="X80" s="196">
        <f t="shared" si="45"/>
        <v>0.60419999999999996</v>
      </c>
      <c r="Y80" s="217">
        <f t="shared" si="46"/>
        <v>39.675800000000002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>
        <f>84.32+542.18</f>
        <v>626.5</v>
      </c>
      <c r="R81" s="82">
        <v>7.4999999999999997E-3</v>
      </c>
      <c r="S81" s="194">
        <f t="shared" si="43"/>
        <v>4.6987499999999995</v>
      </c>
      <c r="T81" s="216">
        <f t="shared" si="44"/>
        <v>621.80124999999998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>
        <f>263.04+112.84</f>
        <v>375.88</v>
      </c>
      <c r="R82" s="82">
        <v>7.4999999999999997E-3</v>
      </c>
      <c r="S82" s="194">
        <f t="shared" si="43"/>
        <v>2.8190999999999997</v>
      </c>
      <c r="T82" s="216">
        <f t="shared" si="44"/>
        <v>373.0609</v>
      </c>
      <c r="U82" s="211">
        <f>30.2</f>
        <v>30.2</v>
      </c>
      <c r="V82" s="112"/>
      <c r="W82" s="113">
        <v>1.4999999999999999E-2</v>
      </c>
      <c r="X82" s="196">
        <f t="shared" si="45"/>
        <v>0.45299999999999996</v>
      </c>
      <c r="Y82" s="217">
        <f t="shared" si="46"/>
        <v>29.747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6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137"/>
      <c r="R84" s="82">
        <v>7.4999999999999997E-3</v>
      </c>
      <c r="S84" s="194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2206.7200000000003</v>
      </c>
      <c r="R98" s="111"/>
      <c r="S98" s="195">
        <f>SUM(S78:S97)</f>
        <v>16.550399999999996</v>
      </c>
      <c r="T98" s="195">
        <f>SUM(T78:T97)</f>
        <v>2190.1696000000002</v>
      </c>
      <c r="U98" s="114">
        <f>SUM(U78:U97)</f>
        <v>119.61</v>
      </c>
      <c r="V98" s="114">
        <f>SUM(V78:V97)</f>
        <v>0</v>
      </c>
      <c r="W98" s="112"/>
      <c r="X98" s="197">
        <f>SUM(X78:X97)</f>
        <v>1.7941499999999997</v>
      </c>
      <c r="Y98" s="197">
        <f>SUM(Y78:Y97)</f>
        <v>117.81585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323.04000000000002</v>
      </c>
    </row>
    <row r="102" spans="14:30" x14ac:dyDescent="0.25">
      <c r="N102" s="85"/>
      <c r="P102" s="215">
        <f>P79+U79+Q79</f>
        <v>550.83000000000004</v>
      </c>
    </row>
    <row r="103" spans="14:30" x14ac:dyDescent="0.25">
      <c r="N103" s="85"/>
      <c r="P103" s="215">
        <f t="shared" ref="P103:P110" si="50">P80+Q80+U80</f>
        <v>419.88</v>
      </c>
    </row>
    <row r="104" spans="14:30" x14ac:dyDescent="0.25">
      <c r="N104" s="85"/>
      <c r="P104" s="215">
        <f t="shared" si="50"/>
        <v>626.5</v>
      </c>
    </row>
    <row r="105" spans="14:30" x14ac:dyDescent="0.25">
      <c r="N105" s="85"/>
      <c r="P105" s="215">
        <f t="shared" si="50"/>
        <v>406.08</v>
      </c>
    </row>
    <row r="106" spans="14:30" x14ac:dyDescent="0.25">
      <c r="N106" s="85"/>
      <c r="P106" s="246">
        <f t="shared" si="50"/>
        <v>0</v>
      </c>
    </row>
    <row r="107" spans="14:30" x14ac:dyDescent="0.25">
      <c r="N107" s="85"/>
      <c r="P107" s="215">
        <f>P84+Q84+U84</f>
        <v>0</v>
      </c>
    </row>
    <row r="108" spans="14:30" x14ac:dyDescent="0.25">
      <c r="N108" s="85"/>
      <c r="P108" s="246">
        <f t="shared" si="50"/>
        <v>0</v>
      </c>
    </row>
    <row r="109" spans="14:30" x14ac:dyDescent="0.25">
      <c r="N109" s="85"/>
      <c r="P109" s="85">
        <f>P86+Q86+U86</f>
        <v>0</v>
      </c>
    </row>
    <row r="110" spans="14:30" x14ac:dyDescent="0.25">
      <c r="N110" s="85"/>
      <c r="P110" s="246">
        <f t="shared" si="50"/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9" zoomScale="90" zoomScaleNormal="90" workbookViewId="0">
      <selection activeCell="A7" sqref="A7:D42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3"/>
      <c r="J1" s="284"/>
    </row>
    <row r="2" spans="1:10" s="84" customFormat="1" ht="16.5" customHeight="1" x14ac:dyDescent="0.25">
      <c r="A2" s="278"/>
      <c r="B2" s="285" t="s">
        <v>147</v>
      </c>
      <c r="C2" s="286"/>
      <c r="D2" s="286"/>
      <c r="E2" s="286"/>
      <c r="F2" s="286"/>
      <c r="G2" s="286"/>
      <c r="H2" s="286"/>
      <c r="I2" s="286"/>
      <c r="J2" s="287"/>
    </row>
    <row r="3" spans="1:10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  <c r="J3" s="281"/>
    </row>
    <row r="4" spans="1:10" x14ac:dyDescent="0.25">
      <c r="B4" s="281"/>
      <c r="C4" s="281"/>
      <c r="D4" s="281"/>
      <c r="E4" s="281"/>
      <c r="F4" s="281"/>
      <c r="G4" s="281"/>
      <c r="H4" s="281"/>
    </row>
    <row r="6" spans="1:10" ht="15.75" thickBot="1" x14ac:dyDescent="0.3"/>
    <row r="7" spans="1:10" x14ac:dyDescent="0.25">
      <c r="E7" s="279" t="s">
        <v>13</v>
      </c>
      <c r="F7" s="280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>
        <f>'DIA 1'!B$6</f>
        <v>44743</v>
      </c>
      <c r="B9" s="199">
        <f>+'DIA 1'!G$50</f>
        <v>2209.2950750000005</v>
      </c>
      <c r="C9" s="199">
        <f>+'DIA 1'!G$51</f>
        <v>611.57665000000009</v>
      </c>
      <c r="D9" s="199">
        <f>+'DIA 1'!G$55</f>
        <v>0</v>
      </c>
      <c r="E9" s="203">
        <f t="shared" ref="E9:E39" si="0">B9+D9</f>
        <v>2209.2950750000005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2209.2950750000005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2900.8095250000006</v>
      </c>
      <c r="C10" s="199">
        <f>'DIA 2'!G$51</f>
        <v>779.4502</v>
      </c>
      <c r="D10" s="199">
        <f>'DIA 2'!G$55</f>
        <v>0</v>
      </c>
      <c r="E10" s="203">
        <f t="shared" si="0"/>
        <v>2900.8095250000006</v>
      </c>
      <c r="F10" s="199">
        <f>'DIA 2'!K$50</f>
        <v>0</v>
      </c>
      <c r="G10" s="199">
        <f>'DIA 2'!K$51</f>
        <v>0</v>
      </c>
      <c r="H10" s="199">
        <f>'DIA 2'!K$55</f>
        <v>0</v>
      </c>
      <c r="I10" s="60">
        <f t="shared" si="1"/>
        <v>2900.8095250000006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1900.2504249999997</v>
      </c>
      <c r="C11" s="199">
        <f>'DIA 3'!G$51</f>
        <v>262.07895000000002</v>
      </c>
      <c r="D11" s="199">
        <f>'DIA 3'!G$55</f>
        <v>0</v>
      </c>
      <c r="E11" s="203">
        <f t="shared" si="0"/>
        <v>1900.2504249999997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1900.2504249999997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1135.707825</v>
      </c>
      <c r="C12" s="199">
        <f>'DIA 4'!G$51</f>
        <v>540.33160000000009</v>
      </c>
      <c r="D12" s="199">
        <f>'DIA 4'!G$55</f>
        <v>0</v>
      </c>
      <c r="E12" s="203">
        <f t="shared" si="0"/>
        <v>1135.707825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1135.707825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1165.9096</v>
      </c>
      <c r="C13" s="199">
        <f>'DIA 5'!G$51</f>
        <v>592.10320000000002</v>
      </c>
      <c r="D13" s="199">
        <f>'DIA 5'!G$55</f>
        <v>0</v>
      </c>
      <c r="E13" s="203">
        <f t="shared" si="0"/>
        <v>1165.9096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1165.9096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962.69522500000005</v>
      </c>
      <c r="C14" s="199">
        <f>'DIA 6'!G$51</f>
        <v>699.41895</v>
      </c>
      <c r="D14" s="199">
        <f>'DIA 6'!G$55</f>
        <v>0</v>
      </c>
      <c r="E14" s="203">
        <f t="shared" si="0"/>
        <v>962.69522500000005</v>
      </c>
      <c r="F14" s="199">
        <f>'DIA 6'!K$50</f>
        <v>962.7</v>
      </c>
      <c r="G14" s="199">
        <f>'DIA 6'!K$51</f>
        <v>699.42</v>
      </c>
      <c r="H14" s="199">
        <f>'DIA 6'!K$55</f>
        <v>0</v>
      </c>
      <c r="I14" s="60">
        <f t="shared" si="1"/>
        <v>-4.7749999999950887E-3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1366.65265</v>
      </c>
      <c r="C15" s="199">
        <f>'DIA 7'!G$51</f>
        <v>1254.6437499999997</v>
      </c>
      <c r="D15" s="199">
        <f>'DIA 7'!G$55</f>
        <v>0</v>
      </c>
      <c r="E15" s="203">
        <f t="shared" si="0"/>
        <v>1366.65265</v>
      </c>
      <c r="F15" s="199">
        <f>'DIA 7'!K$50</f>
        <v>1366.65</v>
      </c>
      <c r="G15" s="199">
        <f>'DIA 7'!K$51</f>
        <v>1254.6400000000001</v>
      </c>
      <c r="H15" s="199">
        <f>'DIA 7'!K$55</f>
        <v>0</v>
      </c>
      <c r="I15" s="60">
        <f t="shared" si="1"/>
        <v>2.6499999999032298E-3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2259.1682000000001</v>
      </c>
      <c r="C16" s="199">
        <f>'DIA 8'!G$51</f>
        <v>610.97579999999994</v>
      </c>
      <c r="D16" s="199">
        <f>'DIA 8'!G$55</f>
        <v>0</v>
      </c>
      <c r="E16" s="203">
        <f t="shared" si="0"/>
        <v>2259.1682000000001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2259.1682000000001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3433.3750999999997</v>
      </c>
      <c r="C17" s="199">
        <f>'DIA 9'!G$51</f>
        <v>744.93579999999997</v>
      </c>
      <c r="D17" s="199">
        <f>'DIA 9'!G$55</f>
        <v>0</v>
      </c>
      <c r="E17" s="203">
        <f t="shared" si="0"/>
        <v>3433.3750999999997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3433.3750999999997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1586.3921499999999</v>
      </c>
      <c r="C18" s="199">
        <f>'DIA 10'!G$51</f>
        <v>360.74639999999994</v>
      </c>
      <c r="D18" s="199">
        <f>'DIA 10'!G$55</f>
        <v>0</v>
      </c>
      <c r="E18" s="203">
        <f t="shared" si="0"/>
        <v>1586.3921499999999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1586.3921499999999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1372.9153249999999</v>
      </c>
      <c r="C19" s="199">
        <f>'DIA 11'!G$51</f>
        <v>423.65835000000004</v>
      </c>
      <c r="D19" s="199">
        <f>'DIA 11'!G$55</f>
        <v>0</v>
      </c>
      <c r="E19" s="203">
        <f t="shared" si="0"/>
        <v>1372.9153249999999</v>
      </c>
      <c r="F19" s="199">
        <f>'DIA 11'!K$50</f>
        <v>1372.92</v>
      </c>
      <c r="G19" s="199">
        <f>'DIA 11'!K$51</f>
        <v>423.66</v>
      </c>
      <c r="H19" s="199">
        <f>'DIA 11'!K$55</f>
        <v>0</v>
      </c>
      <c r="I19" s="60">
        <f t="shared" si="1"/>
        <v>-4.6750000001338776E-3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1666.6854000000001</v>
      </c>
      <c r="C20" s="199">
        <f>'DIA 12'!G$51</f>
        <v>356.95414999999997</v>
      </c>
      <c r="D20" s="199">
        <f>'DIA 12'!G$55</f>
        <v>0</v>
      </c>
      <c r="E20" s="203">
        <f t="shared" si="0"/>
        <v>1666.6854000000001</v>
      </c>
      <c r="F20" s="199">
        <f>'DIA 12'!K$50</f>
        <v>1666.69</v>
      </c>
      <c r="G20" s="199">
        <f>'DIA 12'!K$51</f>
        <v>356.95</v>
      </c>
      <c r="H20" s="199">
        <f>'DIA 12'!K$55</f>
        <v>0</v>
      </c>
      <c r="I20" s="60">
        <f t="shared" si="1"/>
        <v>-4.5999999999821739E-3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1545.6103249999999</v>
      </c>
      <c r="C21" s="199">
        <f>'DIA 13'!G$51</f>
        <v>465.49129999999997</v>
      </c>
      <c r="D21" s="199">
        <f>'DIA 13'!G$55</f>
        <v>0</v>
      </c>
      <c r="E21" s="203">
        <f t="shared" si="0"/>
        <v>1545.6103249999999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1545.6103249999999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2168.11625</v>
      </c>
      <c r="C22" s="199">
        <f>'DIA 14'!G$51</f>
        <v>537.66224999999997</v>
      </c>
      <c r="D22" s="199">
        <f>'DIA 14'!G$55</f>
        <v>0</v>
      </c>
      <c r="E22" s="203">
        <f t="shared" si="0"/>
        <v>2168.11625</v>
      </c>
      <c r="F22" s="199">
        <f>'DIA 14'!K$50</f>
        <v>2168.12</v>
      </c>
      <c r="G22" s="199">
        <f>'DIA 14'!K$51</f>
        <v>537.66</v>
      </c>
      <c r="H22" s="199">
        <f>'DIA 14'!K$55</f>
        <v>0</v>
      </c>
      <c r="I22" s="60">
        <f t="shared" si="1"/>
        <v>-3.7499999998544808E-3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2126.1533499999996</v>
      </c>
      <c r="C23" s="199">
        <f>'DIA 15'!G$51</f>
        <v>340.60315000000008</v>
      </c>
      <c r="D23" s="199">
        <f>'DIA 15'!G$55</f>
        <v>0</v>
      </c>
      <c r="E23" s="203">
        <f t="shared" si="0"/>
        <v>2126.1533499999996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2126.1533499999996</v>
      </c>
      <c r="J23" s="60">
        <f t="shared" si="2"/>
        <v>0</v>
      </c>
    </row>
    <row r="24" spans="1:10" x14ac:dyDescent="0.25">
      <c r="A24" s="46">
        <f>'DIA 16'!B$6</f>
        <v>44728</v>
      </c>
      <c r="B24" s="199">
        <f>'DIA 16'!G$50</f>
        <v>2708.860025</v>
      </c>
      <c r="C24" s="199">
        <f>'DIA 16'!G$51</f>
        <v>409.80925000000002</v>
      </c>
      <c r="D24" s="199">
        <f>'DIA 16'!G$55</f>
        <v>0</v>
      </c>
      <c r="E24" s="203">
        <f t="shared" si="0"/>
        <v>2708.860025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2708.860025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1232.38725</v>
      </c>
      <c r="C25" s="199">
        <f>'DIA 17'!G$51</f>
        <v>178.4426</v>
      </c>
      <c r="D25" s="199">
        <f>'DIA 17'!G$55</f>
        <v>0</v>
      </c>
      <c r="E25" s="203">
        <f t="shared" si="0"/>
        <v>1232.38725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1232.38725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1138.3478749999999</v>
      </c>
      <c r="C26" s="199">
        <f>'DIA 18'!G$51</f>
        <v>202.9888</v>
      </c>
      <c r="D26" s="199">
        <f>'DIA 18'!G$55</f>
        <v>0</v>
      </c>
      <c r="E26" s="203">
        <f t="shared" si="0"/>
        <v>1138.3478749999999</v>
      </c>
      <c r="F26" s="199">
        <f>'DIA 18'!K$50</f>
        <v>1138.3499999999999</v>
      </c>
      <c r="G26" s="199">
        <f>'DIA 18'!K$51</f>
        <v>202.99</v>
      </c>
      <c r="H26" s="199">
        <f>'DIA 18'!K$55</f>
        <v>0</v>
      </c>
      <c r="I26" s="60">
        <f t="shared" si="1"/>
        <v>-2.1249999999781721E-3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1122.4778000000001</v>
      </c>
      <c r="C27" s="199">
        <f>'DIA 19'!G$51</f>
        <v>644.0127</v>
      </c>
      <c r="D27" s="199">
        <f>'DIA 19'!G$55</f>
        <v>0</v>
      </c>
      <c r="E27" s="203">
        <f t="shared" si="0"/>
        <v>1122.4778000000001</v>
      </c>
      <c r="F27" s="199">
        <f>'DIA 19'!K$50</f>
        <v>1122.48</v>
      </c>
      <c r="G27" s="199">
        <f>'DIA 19'!K$51</f>
        <v>644.01</v>
      </c>
      <c r="H27" s="199">
        <f>'DIA 19'!K$55</f>
        <v>0</v>
      </c>
      <c r="I27" s="60">
        <f t="shared" si="1"/>
        <v>-2.1999999999025022E-3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1483.4897499999997</v>
      </c>
      <c r="C28" s="199">
        <f>'DIA 20'!G$51</f>
        <v>666.83515</v>
      </c>
      <c r="D28" s="199">
        <f>'DIA 20'!G$55</f>
        <v>0</v>
      </c>
      <c r="E28" s="203">
        <f t="shared" si="0"/>
        <v>1483.4897499999997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1483.4897499999997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1928.4870500000002</v>
      </c>
      <c r="C29" s="199">
        <f>'DIA 21'!G$51</f>
        <v>1039.0371</v>
      </c>
      <c r="D29" s="199">
        <f>'DIA 21'!G$55</f>
        <v>0</v>
      </c>
      <c r="E29" s="203">
        <f t="shared" si="0"/>
        <v>1928.4870500000002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1928.4870500000002</v>
      </c>
      <c r="J29" s="60">
        <f t="shared" si="2"/>
        <v>0</v>
      </c>
    </row>
    <row r="30" spans="1:10" x14ac:dyDescent="0.25">
      <c r="A30" s="46">
        <f>'DIA 22'!B$6</f>
        <v>44399</v>
      </c>
      <c r="B30" s="199">
        <f>'DIA 22'!G$50</f>
        <v>1319.6379250000002</v>
      </c>
      <c r="C30" s="199">
        <f>'DIA 22'!G$51</f>
        <v>191.71054999999998</v>
      </c>
      <c r="D30" s="199">
        <f>'DIA 22'!G$55</f>
        <v>0</v>
      </c>
      <c r="E30" s="203">
        <f t="shared" si="0"/>
        <v>1319.6379250000002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1319.6379250000002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2348.6122999999998</v>
      </c>
      <c r="C31" s="199">
        <f>'DIA 23'!G$51</f>
        <v>256.96679999999998</v>
      </c>
      <c r="D31" s="199">
        <f>'DIA 23'!G$55</f>
        <v>0</v>
      </c>
      <c r="E31" s="203">
        <f t="shared" si="0"/>
        <v>2348.6122999999998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2348.6122999999998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1628.0076749999998</v>
      </c>
      <c r="C32" s="199">
        <f>'DIA 24'!G$51</f>
        <v>144.89349999999999</v>
      </c>
      <c r="D32" s="199">
        <f>'DIA 24'!G$55</f>
        <v>0</v>
      </c>
      <c r="E32" s="203">
        <f t="shared" si="0"/>
        <v>1628.0076749999998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1628.0076749999998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2672.2963249999998</v>
      </c>
      <c r="C33" s="199">
        <f>'DIA 25'!G$51</f>
        <v>385.37139999999999</v>
      </c>
      <c r="D33" s="199">
        <f>'DIA 25'!G$55</f>
        <v>0</v>
      </c>
      <c r="E33" s="203">
        <f t="shared" si="0"/>
        <v>2672.2963249999998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2672.2963249999998</v>
      </c>
      <c r="J33" s="60">
        <f t="shared" si="2"/>
        <v>0</v>
      </c>
    </row>
    <row r="34" spans="1:10" x14ac:dyDescent="0.25">
      <c r="A34" s="46">
        <f>'DIA 26'!B$6</f>
        <v>44738</v>
      </c>
      <c r="B34" s="199">
        <f>'DIA 26'!G$50</f>
        <v>1535.9632250000002</v>
      </c>
      <c r="C34" s="199">
        <f>'DIA 26'!G$51</f>
        <v>611.99034999999992</v>
      </c>
      <c r="D34" s="199">
        <f>'DIA 26'!G$55</f>
        <v>0</v>
      </c>
      <c r="E34" s="203">
        <f t="shared" si="0"/>
        <v>1535.9632250000002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1535.9632250000002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2462.5711500000002</v>
      </c>
      <c r="C35" s="199">
        <f>'DIA 27'!G$51</f>
        <v>1026.9413</v>
      </c>
      <c r="D35" s="199">
        <f>'DIA 27'!G$55</f>
        <v>0</v>
      </c>
      <c r="E35" s="203">
        <f t="shared" si="0"/>
        <v>2462.5711500000002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2462.5711500000002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1961.5968500000001</v>
      </c>
      <c r="C36" s="199">
        <f>'DIA 28'!G$51</f>
        <v>634.24150000000009</v>
      </c>
      <c r="D36" s="199">
        <f>'DIA 28'!G$55</f>
        <v>0</v>
      </c>
      <c r="E36" s="203">
        <f t="shared" si="0"/>
        <v>1961.5968500000001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1961.5968500000001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2900.4323749999999</v>
      </c>
      <c r="C37" s="199">
        <f>'DIA 29'!G$51</f>
        <v>1166.6931</v>
      </c>
      <c r="D37" s="199">
        <f>'DIA 29'!G$55</f>
        <v>0</v>
      </c>
      <c r="E37" s="203">
        <f t="shared" si="0"/>
        <v>2900.4323749999999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2900.4323749999999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2366.3581999999997</v>
      </c>
      <c r="C38" s="199">
        <f>'DIA 30'!G$51</f>
        <v>292.39725000000004</v>
      </c>
      <c r="D38" s="199">
        <f>'DIA 30'!G$55</f>
        <v>0</v>
      </c>
      <c r="E38" s="203">
        <f t="shared" si="0"/>
        <v>2366.3581999999997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2366.3581999999997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2190.1696000000002</v>
      </c>
      <c r="C39" s="199">
        <f>'DIA 31'!G$51</f>
        <v>117.81585</v>
      </c>
      <c r="D39" s="199">
        <f>'DIA 31'!G$55</f>
        <v>0</v>
      </c>
      <c r="E39" s="203">
        <f t="shared" si="0"/>
        <v>2190.1696000000002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2190.1696000000002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58799.431800000013</v>
      </c>
      <c r="C40" s="133">
        <f>SUM(C9:C39)</f>
        <v>16550.777700000002</v>
      </c>
      <c r="D40" s="133">
        <f>SUM(D9:D38)</f>
        <v>0</v>
      </c>
      <c r="E40" s="133">
        <f>SUM(E9:E39)</f>
        <v>58799.431800000013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22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151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1'!G$48</f>
        <v>237.24719999999999</v>
      </c>
      <c r="C9" s="199">
        <f>+'DIA 1'!G$54</f>
        <v>0</v>
      </c>
      <c r="D9" s="203">
        <f>B9+C9</f>
        <v>237.24719999999999</v>
      </c>
      <c r="E9" s="204">
        <f>+'DIA 1'!K$48</f>
        <v>0</v>
      </c>
      <c r="F9" s="205">
        <f>+'DIA 1'!K$54</f>
        <v>0</v>
      </c>
      <c r="G9" s="206">
        <f>B9-E9</f>
        <v>237.24719999999999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173.62795</v>
      </c>
      <c r="C10" s="199">
        <f>'DIA 2'!G$54</f>
        <v>0</v>
      </c>
      <c r="D10" s="203">
        <f t="shared" ref="D10:D39" si="0">B10+C10</f>
        <v>173.62795</v>
      </c>
      <c r="E10" s="199">
        <f>'DIA 2'!K$48</f>
        <v>0</v>
      </c>
      <c r="F10" s="199">
        <f>'DIA 2'!K$54</f>
        <v>0</v>
      </c>
      <c r="G10" s="206">
        <f t="shared" ref="G10:H39" si="1">B10-E10</f>
        <v>173.62795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452.73555000000005</v>
      </c>
      <c r="C11" s="199">
        <f>'DIA 3'!G$54</f>
        <v>0</v>
      </c>
      <c r="D11" s="203">
        <f t="shared" si="0"/>
        <v>452.73555000000005</v>
      </c>
      <c r="E11" s="199">
        <f>'DIA 3'!K$48</f>
        <v>0</v>
      </c>
      <c r="F11" s="199">
        <f>'DIA 3'!K$54</f>
        <v>0</v>
      </c>
      <c r="G11" s="206">
        <f t="shared" si="1"/>
        <v>452.73555000000005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127.64542500000002</v>
      </c>
      <c r="C12" s="199">
        <f>'DIA 4'!G$54</f>
        <v>0</v>
      </c>
      <c r="D12" s="203">
        <f t="shared" si="0"/>
        <v>127.64542500000002</v>
      </c>
      <c r="E12" s="199">
        <f>'DIA 4'!K$48</f>
        <v>0</v>
      </c>
      <c r="F12" s="199">
        <f>'DIA 4'!K$54</f>
        <v>0</v>
      </c>
      <c r="G12" s="206">
        <f t="shared" si="1"/>
        <v>127.64542500000002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340.61607500000002</v>
      </c>
      <c r="C13" s="199">
        <f>'DIA 5'!G$54</f>
        <v>0</v>
      </c>
      <c r="D13" s="203">
        <f t="shared" si="0"/>
        <v>340.61607500000002</v>
      </c>
      <c r="E13" s="199">
        <f>'DIA 5'!K$48</f>
        <v>0</v>
      </c>
      <c r="F13" s="199">
        <f>'DIA 5'!K$54</f>
        <v>0</v>
      </c>
      <c r="G13" s="206">
        <f t="shared" si="1"/>
        <v>340.61607500000002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254.824375</v>
      </c>
      <c r="C14" s="199">
        <f>'DIA 6'!G$54</f>
        <v>0</v>
      </c>
      <c r="D14" s="203">
        <f t="shared" si="0"/>
        <v>254.824375</v>
      </c>
      <c r="E14" s="199">
        <f>'DIA 6'!K$48</f>
        <v>0</v>
      </c>
      <c r="F14" s="199">
        <f>'DIA 6'!K$54</f>
        <v>0</v>
      </c>
      <c r="G14" s="206">
        <f t="shared" si="1"/>
        <v>254.824375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38.102074999999999</v>
      </c>
      <c r="C15" s="199">
        <f>'DIA 7'!G$54</f>
        <v>0</v>
      </c>
      <c r="D15" s="203">
        <f t="shared" si="0"/>
        <v>38.102074999999999</v>
      </c>
      <c r="E15" s="199">
        <f>'DIA 7'!K$48</f>
        <v>0</v>
      </c>
      <c r="F15" s="199">
        <f>'DIA 7'!K$54</f>
        <v>0</v>
      </c>
      <c r="G15" s="206">
        <f t="shared" si="1"/>
        <v>38.102074999999999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100.887625</v>
      </c>
      <c r="C16" s="199">
        <f>'DIA 8'!G$54</f>
        <v>0</v>
      </c>
      <c r="D16" s="203">
        <f t="shared" si="0"/>
        <v>100.887625</v>
      </c>
      <c r="E16" s="199">
        <f>'DIA 8'!K$48</f>
        <v>0</v>
      </c>
      <c r="F16" s="199">
        <f>'DIA 8'!K$54</f>
        <v>0</v>
      </c>
      <c r="G16" s="206">
        <f t="shared" si="1"/>
        <v>100.887625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340.02057499999995</v>
      </c>
      <c r="C17" s="199">
        <f>'DIA 9'!G$54</f>
        <v>0</v>
      </c>
      <c r="D17" s="203">
        <f t="shared" si="0"/>
        <v>340.02057499999995</v>
      </c>
      <c r="E17" s="199">
        <f>'DIA 9'!K$48</f>
        <v>0</v>
      </c>
      <c r="F17" s="199">
        <f>'DIA 9'!K$54</f>
        <v>0</v>
      </c>
      <c r="G17" s="206">
        <f t="shared" si="1"/>
        <v>340.02057499999995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343.12474999999995</v>
      </c>
      <c r="C18" s="199">
        <f>'DIA 10'!G$54</f>
        <v>0</v>
      </c>
      <c r="D18" s="203">
        <f t="shared" si="0"/>
        <v>343.12474999999995</v>
      </c>
      <c r="E18" s="199">
        <f>'DIA 10'!K$48</f>
        <v>0</v>
      </c>
      <c r="F18" s="199">
        <f>'DIA 10'!K$54</f>
        <v>0</v>
      </c>
      <c r="G18" s="206">
        <f t="shared" si="1"/>
        <v>343.12474999999995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98.495700000000014</v>
      </c>
      <c r="C19" s="199">
        <f>'DIA 11'!G$54</f>
        <v>0</v>
      </c>
      <c r="D19" s="203">
        <f t="shared" si="0"/>
        <v>98.495700000000014</v>
      </c>
      <c r="E19" s="199">
        <f>'DIA 11'!K$48</f>
        <v>0</v>
      </c>
      <c r="F19" s="199">
        <f>'DIA 11'!K$54</f>
        <v>0</v>
      </c>
      <c r="G19" s="206">
        <f t="shared" si="1"/>
        <v>98.495700000000014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321.282175</v>
      </c>
      <c r="C20" s="199">
        <f>'DIA 12'!G$54</f>
        <v>0</v>
      </c>
      <c r="D20" s="203">
        <f t="shared" si="0"/>
        <v>321.282175</v>
      </c>
      <c r="E20" s="199">
        <f>'DIA 12'!K$48</f>
        <v>321.27999999999997</v>
      </c>
      <c r="F20" s="199">
        <f>'DIA 12'!K$54</f>
        <v>0</v>
      </c>
      <c r="G20" s="206">
        <f t="shared" si="1"/>
        <v>2.1750000000224645E-3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135.03954999999999</v>
      </c>
      <c r="C21" s="199">
        <f>'DIA 13'!G$54</f>
        <v>0</v>
      </c>
      <c r="D21" s="203">
        <f t="shared" si="0"/>
        <v>135.03954999999999</v>
      </c>
      <c r="E21" s="199">
        <f>'DIA 13'!K$48</f>
        <v>0</v>
      </c>
      <c r="F21" s="199">
        <f>'DIA 13'!K$54</f>
        <v>0</v>
      </c>
      <c r="G21" s="206">
        <f t="shared" si="1"/>
        <v>135.03954999999999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47.401800000000001</v>
      </c>
      <c r="C22" s="199">
        <f>'DIA 14'!G$54</f>
        <v>0</v>
      </c>
      <c r="D22" s="203">
        <f t="shared" si="0"/>
        <v>47.401800000000001</v>
      </c>
      <c r="E22" s="199">
        <f>'DIA 14'!K$48</f>
        <v>0</v>
      </c>
      <c r="F22" s="199">
        <f>'DIA 14'!K$54</f>
        <v>0</v>
      </c>
      <c r="G22" s="206">
        <f t="shared" si="1"/>
        <v>47.401800000000001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245.04825</v>
      </c>
      <c r="C23" s="199">
        <f>'DIA 15'!G$54</f>
        <v>0</v>
      </c>
      <c r="D23" s="203">
        <f t="shared" si="0"/>
        <v>245.04825</v>
      </c>
      <c r="E23" s="199">
        <f>'DIA 15'!K$48</f>
        <v>0</v>
      </c>
      <c r="F23" s="199">
        <f>'DIA 15'!K$54</f>
        <v>0</v>
      </c>
      <c r="G23" s="206">
        <f t="shared" si="1"/>
        <v>245.04825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16'!G$48</f>
        <v>209.33810000000003</v>
      </c>
      <c r="C24" s="199">
        <f>'DIA 16'!G$54</f>
        <v>0</v>
      </c>
      <c r="D24" s="203">
        <f t="shared" si="0"/>
        <v>209.33810000000003</v>
      </c>
      <c r="E24" s="199">
        <f>'DIA 16'!K$48</f>
        <v>0</v>
      </c>
      <c r="F24" s="199">
        <f>'DIA 16'!K$54</f>
        <v>0</v>
      </c>
      <c r="G24" s="206">
        <f t="shared" si="1"/>
        <v>209.33810000000003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262.13909999999998</v>
      </c>
      <c r="C25" s="199">
        <f>'DIA 17'!G$54</f>
        <v>0</v>
      </c>
      <c r="D25" s="203">
        <f t="shared" si="0"/>
        <v>262.13909999999998</v>
      </c>
      <c r="E25" s="199">
        <f>'DIA 17'!K$48</f>
        <v>0</v>
      </c>
      <c r="F25" s="199">
        <f>'DIA 17'!K$54</f>
        <v>0</v>
      </c>
      <c r="G25" s="206">
        <f t="shared" si="1"/>
        <v>262.13909999999998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226.83587500000002</v>
      </c>
      <c r="C26" s="199">
        <f>'DIA 18'!G$54</f>
        <v>0</v>
      </c>
      <c r="D26" s="203">
        <f t="shared" si="0"/>
        <v>226.83587500000002</v>
      </c>
      <c r="E26" s="199">
        <f>'DIA 18'!K$48</f>
        <v>0</v>
      </c>
      <c r="F26" s="199">
        <f>'DIA 18'!K$54</f>
        <v>0</v>
      </c>
      <c r="G26" s="206">
        <f t="shared" si="1"/>
        <v>226.83587500000002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131.67497499999999</v>
      </c>
      <c r="C27" s="199">
        <f>'DIA 19'!G$54</f>
        <v>0</v>
      </c>
      <c r="D27" s="203">
        <f t="shared" si="0"/>
        <v>131.67497499999999</v>
      </c>
      <c r="E27" s="199">
        <f>'DIA 19'!K$48</f>
        <v>0</v>
      </c>
      <c r="F27" s="199">
        <f>'DIA 19'!K$54</f>
        <v>0</v>
      </c>
      <c r="G27" s="206">
        <f t="shared" si="1"/>
        <v>131.67497499999999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153.00379999999998</v>
      </c>
      <c r="C28" s="199">
        <f>'DIA 20'!G$54</f>
        <v>0</v>
      </c>
      <c r="D28" s="203">
        <f t="shared" si="0"/>
        <v>153.00379999999998</v>
      </c>
      <c r="E28" s="199">
        <f>'DIA 20'!K$48</f>
        <v>0</v>
      </c>
      <c r="F28" s="199">
        <f>'DIA 20'!K$54</f>
        <v>0</v>
      </c>
      <c r="G28" s="206">
        <f t="shared" si="1"/>
        <v>153.00379999999998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105.46305</v>
      </c>
      <c r="C29" s="199">
        <f>'DIA 21'!G$54</f>
        <v>0</v>
      </c>
      <c r="D29" s="203">
        <f t="shared" si="0"/>
        <v>105.46305</v>
      </c>
      <c r="E29" s="199">
        <f>'DIA 21'!K$48</f>
        <v>0</v>
      </c>
      <c r="F29" s="199">
        <f>'DIA 21'!K$54</f>
        <v>0</v>
      </c>
      <c r="G29" s="206">
        <f t="shared" si="1"/>
        <v>105.46305</v>
      </c>
      <c r="H29" s="206">
        <f t="shared" si="1"/>
        <v>0</v>
      </c>
    </row>
    <row r="30" spans="1:8" x14ac:dyDescent="0.25">
      <c r="A30" s="46">
        <f>'DIA 22'!B$6</f>
        <v>44399</v>
      </c>
      <c r="B30" s="199">
        <f>'DIA 22'!G$48</f>
        <v>92.284649999999999</v>
      </c>
      <c r="C30" s="199">
        <f>'DIA 22'!G$54</f>
        <v>0</v>
      </c>
      <c r="D30" s="203">
        <f t="shared" si="0"/>
        <v>92.284649999999999</v>
      </c>
      <c r="E30" s="199">
        <f>'DIA 22'!K$48</f>
        <v>0</v>
      </c>
      <c r="F30" s="199">
        <f>'DIA 22'!K$54</f>
        <v>0</v>
      </c>
      <c r="G30" s="206">
        <f t="shared" si="1"/>
        <v>92.284649999999999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177.07192500000002</v>
      </c>
      <c r="C31" s="199">
        <f>'DIA 23'!G$54</f>
        <v>0</v>
      </c>
      <c r="D31" s="203">
        <f t="shared" si="0"/>
        <v>177.07192500000002</v>
      </c>
      <c r="E31" s="199">
        <f>'DIA 23'!K$48</f>
        <v>0</v>
      </c>
      <c r="F31" s="199">
        <f>'DIA 23'!K$54</f>
        <v>0</v>
      </c>
      <c r="G31" s="206">
        <f t="shared" si="1"/>
        <v>177.07192500000002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99.622900000000001</v>
      </c>
      <c r="C33" s="199">
        <f>'DIA 25'!G$54</f>
        <v>0</v>
      </c>
      <c r="D33" s="203">
        <f t="shared" si="0"/>
        <v>99.622900000000001</v>
      </c>
      <c r="E33" s="199">
        <f>'DIA 25'!K$48</f>
        <v>0</v>
      </c>
      <c r="F33" s="199">
        <f>'DIA 25'!K$54</f>
        <v>0</v>
      </c>
      <c r="G33" s="206">
        <f t="shared" si="1"/>
        <v>99.622900000000001</v>
      </c>
      <c r="H33" s="206">
        <f t="shared" si="1"/>
        <v>0</v>
      </c>
    </row>
    <row r="34" spans="1:8" x14ac:dyDescent="0.25">
      <c r="A34" s="46">
        <f>'DIA 26'!B$6</f>
        <v>44738</v>
      </c>
      <c r="B34" s="199">
        <f>'DIA 26'!G$48</f>
        <v>99.140250000000009</v>
      </c>
      <c r="C34" s="199">
        <f>'DIA 26'!G$54</f>
        <v>0</v>
      </c>
      <c r="D34" s="203">
        <f t="shared" si="0"/>
        <v>99.140250000000009</v>
      </c>
      <c r="E34" s="199">
        <f>'DIA 26'!K$48</f>
        <v>0</v>
      </c>
      <c r="F34" s="199">
        <f>'DIA 26'!K$54</f>
        <v>0</v>
      </c>
      <c r="G34" s="206">
        <f t="shared" si="1"/>
        <v>99.140250000000009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64.284225000000006</v>
      </c>
      <c r="C35" s="199">
        <f>'DIA 27'!G$54</f>
        <v>0</v>
      </c>
      <c r="D35" s="203">
        <f t="shared" si="0"/>
        <v>64.284225000000006</v>
      </c>
      <c r="E35" s="199">
        <f>'DIA 27'!K$48</f>
        <v>0</v>
      </c>
      <c r="F35" s="199">
        <f>'DIA 27'!K$54</f>
        <v>0</v>
      </c>
      <c r="G35" s="206">
        <f t="shared" si="1"/>
        <v>64.284225000000006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384.88875000000002</v>
      </c>
      <c r="C36" s="199">
        <f>'DIA 28'!G$54</f>
        <v>0</v>
      </c>
      <c r="D36" s="203">
        <f t="shared" si="0"/>
        <v>384.88875000000002</v>
      </c>
      <c r="E36" s="199">
        <f>'DIA 28'!K$48</f>
        <v>0</v>
      </c>
      <c r="F36" s="199">
        <f>'DIA 28'!K$54</f>
        <v>0</v>
      </c>
      <c r="G36" s="206">
        <f t="shared" si="1"/>
        <v>384.88875000000002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123.15455</v>
      </c>
      <c r="C37" s="199">
        <f>'DIA 29'!G$54</f>
        <v>0</v>
      </c>
      <c r="D37" s="203">
        <f t="shared" si="0"/>
        <v>123.15455</v>
      </c>
      <c r="E37" s="199">
        <f>'DIA 29'!K$48</f>
        <v>0</v>
      </c>
      <c r="F37" s="199">
        <f>'DIA 29'!K$54</f>
        <v>0</v>
      </c>
      <c r="G37" s="206">
        <f t="shared" si="1"/>
        <v>123.15455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69.087924999999998</v>
      </c>
      <c r="C38" s="199">
        <f>'DIA 30'!G$54</f>
        <v>0</v>
      </c>
      <c r="D38" s="203">
        <f t="shared" si="0"/>
        <v>69.087924999999998</v>
      </c>
      <c r="E38" s="199">
        <f>'DIA 30'!K$48</f>
        <v>0</v>
      </c>
      <c r="F38" s="199">
        <f>'DIA 30'!K$54</f>
        <v>0</v>
      </c>
      <c r="G38" s="206">
        <f t="shared" si="1"/>
        <v>69.087924999999998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121.60810000000001</v>
      </c>
      <c r="C39" s="199">
        <f>'DIA 31'!G$54</f>
        <v>0</v>
      </c>
      <c r="D39" s="203">
        <f t="shared" si="0"/>
        <v>121.60810000000001</v>
      </c>
      <c r="E39" s="199">
        <f>'DIA 31'!K$48</f>
        <v>0</v>
      </c>
      <c r="F39" s="199">
        <f>'DIA 31'!K$54</f>
        <v>0</v>
      </c>
      <c r="G39" s="206">
        <f t="shared" si="1"/>
        <v>121.60810000000001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5575.6972500000011</v>
      </c>
      <c r="C40" s="133">
        <f>SUM(C9:C38)</f>
        <v>0</v>
      </c>
      <c r="D40" s="133">
        <f>SUM(D9:D38)</f>
        <v>5454.0891500000007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9" zoomScale="90" zoomScaleNormal="90" workbookViewId="0">
      <selection activeCell="G36" sqref="G36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78"/>
      <c r="B1" s="282" t="s">
        <v>11</v>
      </c>
      <c r="C1" s="283"/>
      <c r="D1" s="283"/>
      <c r="E1" s="283"/>
      <c r="F1" s="283"/>
      <c r="G1" s="283"/>
      <c r="H1" s="283"/>
      <c r="I1" s="284"/>
    </row>
    <row r="2" spans="1:9" s="84" customFormat="1" ht="16.5" customHeight="1" x14ac:dyDescent="0.25">
      <c r="A2" s="278"/>
      <c r="B2" s="285" t="s">
        <v>183</v>
      </c>
      <c r="C2" s="286"/>
      <c r="D2" s="286"/>
      <c r="E2" s="286"/>
      <c r="F2" s="286"/>
      <c r="G2" s="286"/>
      <c r="H2" s="286"/>
      <c r="I2" s="287"/>
    </row>
    <row r="3" spans="1:9" s="84" customFormat="1" ht="16.5" customHeight="1" x14ac:dyDescent="0.25">
      <c r="A3" s="278"/>
      <c r="B3" s="281"/>
      <c r="C3" s="281"/>
      <c r="D3" s="281"/>
      <c r="E3" s="281"/>
      <c r="F3" s="281"/>
      <c r="G3" s="281"/>
      <c r="H3" s="281"/>
      <c r="I3" s="281"/>
    </row>
    <row r="4" spans="1:9" x14ac:dyDescent="0.25">
      <c r="B4" s="281"/>
      <c r="C4" s="281"/>
      <c r="D4" s="281"/>
      <c r="E4" s="281"/>
      <c r="F4" s="281"/>
      <c r="G4" s="281"/>
    </row>
    <row r="6" spans="1:9" ht="15.75" thickBot="1" x14ac:dyDescent="0.3"/>
    <row r="7" spans="1:9" x14ac:dyDescent="0.25">
      <c r="E7" s="279" t="s">
        <v>13</v>
      </c>
      <c r="F7" s="280"/>
    </row>
    <row r="8" spans="1:9" ht="27" customHeight="1" x14ac:dyDescent="0.25">
      <c r="A8" s="45" t="s">
        <v>32</v>
      </c>
      <c r="B8" s="45" t="s">
        <v>168</v>
      </c>
      <c r="C8" s="45" t="s">
        <v>184</v>
      </c>
      <c r="D8" s="52" t="s">
        <v>26</v>
      </c>
      <c r="E8" s="49" t="s">
        <v>7</v>
      </c>
      <c r="F8" s="50" t="s">
        <v>154</v>
      </c>
      <c r="G8" s="51" t="s">
        <v>52</v>
      </c>
      <c r="H8" s="51" t="s">
        <v>53</v>
      </c>
    </row>
    <row r="9" spans="1:9" x14ac:dyDescent="0.25">
      <c r="A9" s="46">
        <f>'DIA 1'!B$6</f>
        <v>44743</v>
      </c>
      <c r="B9" s="199">
        <f>+'DIA 1'!G$49</f>
        <v>2595.9135249999999</v>
      </c>
      <c r="C9" s="199">
        <f>+'DIA 1'!G$56</f>
        <v>25.068017241379309</v>
      </c>
      <c r="D9" s="203">
        <f>B9+C9</f>
        <v>2620.9815422413794</v>
      </c>
      <c r="E9" s="204">
        <f>+'DIA 1'!K$49</f>
        <v>0</v>
      </c>
      <c r="F9" s="205">
        <f>+'DIA 1'!K$56</f>
        <v>0</v>
      </c>
      <c r="G9" s="206">
        <f>B9-E9</f>
        <v>2595.9135249999999</v>
      </c>
      <c r="H9" s="206">
        <f>C9-F9</f>
        <v>25.068017241379309</v>
      </c>
    </row>
    <row r="10" spans="1:9" x14ac:dyDescent="0.25">
      <c r="A10" s="46">
        <f>'DIA 2'!B$6</f>
        <v>44744</v>
      </c>
      <c r="B10" s="199">
        <f>'DIA 2'!G$49</f>
        <v>2986.6111499999997</v>
      </c>
      <c r="C10" s="199">
        <f>'DIA 2'!G$56</f>
        <v>77.300818965517223</v>
      </c>
      <c r="D10" s="203">
        <f t="shared" ref="D10:D39" si="0">B10+C10</f>
        <v>3063.9119689655167</v>
      </c>
      <c r="E10" s="199">
        <f>'DIA 2'!K$49</f>
        <v>0</v>
      </c>
      <c r="F10" s="199">
        <f>'DIA 2'!K$56</f>
        <v>0</v>
      </c>
      <c r="G10" s="206">
        <f t="shared" ref="G10:H39" si="1">B10-E10</f>
        <v>2986.6111499999997</v>
      </c>
      <c r="H10" s="206">
        <f t="shared" si="1"/>
        <v>77.300818965517223</v>
      </c>
    </row>
    <row r="11" spans="1:9" x14ac:dyDescent="0.25">
      <c r="A11" s="46">
        <f>'DIA 3'!B$6</f>
        <v>44745</v>
      </c>
      <c r="B11" s="199">
        <f>'DIA 3'!G$49</f>
        <v>2881.5053999999996</v>
      </c>
      <c r="C11" s="199">
        <f>'DIA 3'!G$56</f>
        <v>32.075879310344824</v>
      </c>
      <c r="D11" s="203">
        <f t="shared" si="0"/>
        <v>2913.5812793103446</v>
      </c>
      <c r="E11" s="199">
        <f>'DIA 3'!K$49</f>
        <v>0</v>
      </c>
      <c r="F11" s="199">
        <f>'DIA 3'!K$56</f>
        <v>0</v>
      </c>
      <c r="G11" s="206">
        <f t="shared" si="1"/>
        <v>2881.5053999999996</v>
      </c>
      <c r="H11" s="206">
        <f t="shared" si="1"/>
        <v>32.075879310344824</v>
      </c>
    </row>
    <row r="12" spans="1:9" x14ac:dyDescent="0.25">
      <c r="A12" s="46">
        <f>'DIA 4'!B$6</f>
        <v>44746</v>
      </c>
      <c r="B12" s="199">
        <f>'DIA 4'!G$49</f>
        <v>2855.4522749999996</v>
      </c>
      <c r="C12" s="199">
        <f>'DIA 4'!G$56</f>
        <v>96.218318965517241</v>
      </c>
      <c r="D12" s="203">
        <f t="shared" si="0"/>
        <v>2951.6705939655167</v>
      </c>
      <c r="E12" s="199">
        <f>'DIA 4'!K$49</f>
        <v>0</v>
      </c>
      <c r="F12" s="199">
        <f>'DIA 4'!K$56</f>
        <v>0</v>
      </c>
      <c r="G12" s="206">
        <f t="shared" si="1"/>
        <v>2855.4522749999996</v>
      </c>
      <c r="H12" s="206">
        <f t="shared" si="1"/>
        <v>96.218318965517241</v>
      </c>
    </row>
    <row r="13" spans="1:9" x14ac:dyDescent="0.25">
      <c r="A13" s="46">
        <f>'DIA 5'!B$6</f>
        <v>44747</v>
      </c>
      <c r="B13" s="199">
        <f>'DIA 5'!G$49</f>
        <v>4055.49395</v>
      </c>
      <c r="C13" s="199">
        <f>'DIA 5'!G$56</f>
        <v>64.664301724137928</v>
      </c>
      <c r="D13" s="203">
        <f t="shared" si="0"/>
        <v>4120.1582517241377</v>
      </c>
      <c r="E13" s="199">
        <f>'DIA 5'!K$49</f>
        <v>0</v>
      </c>
      <c r="F13" s="199">
        <f>'DIA 5'!K$56</f>
        <v>0</v>
      </c>
      <c r="G13" s="206">
        <f t="shared" si="1"/>
        <v>4055.49395</v>
      </c>
      <c r="H13" s="206">
        <f t="shared" si="1"/>
        <v>64.664301724137928</v>
      </c>
    </row>
    <row r="14" spans="1:9" x14ac:dyDescent="0.25">
      <c r="A14" s="46">
        <f>'DIA 6'!B$6</f>
        <v>44748</v>
      </c>
      <c r="B14" s="199">
        <f>'DIA 6'!G$49</f>
        <v>2886.1006749999997</v>
      </c>
      <c r="C14" s="199">
        <f>'DIA 6'!G$56</f>
        <v>85.249896551724134</v>
      </c>
      <c r="D14" s="203">
        <f t="shared" si="0"/>
        <v>2971.350571551724</v>
      </c>
      <c r="E14" s="199">
        <f>'DIA 6'!K$49</f>
        <v>0</v>
      </c>
      <c r="F14" s="199">
        <f>'DIA 6'!K$56</f>
        <v>0</v>
      </c>
      <c r="G14" s="206">
        <f t="shared" si="1"/>
        <v>2886.1006749999997</v>
      </c>
      <c r="H14" s="206">
        <f t="shared" si="1"/>
        <v>85.249896551724134</v>
      </c>
    </row>
    <row r="15" spans="1:9" x14ac:dyDescent="0.25">
      <c r="A15" s="46">
        <f>'DIA 7'!B$6</f>
        <v>44749</v>
      </c>
      <c r="B15" s="199">
        <f>'DIA 7'!G$49</f>
        <v>2751.07105</v>
      </c>
      <c r="C15" s="199">
        <f>'DIA 7'!G$56</f>
        <v>176.72486206896551</v>
      </c>
      <c r="D15" s="203">
        <f t="shared" si="0"/>
        <v>2927.7959120689657</v>
      </c>
      <c r="E15" s="199">
        <f>'DIA 7'!K$49</f>
        <v>0</v>
      </c>
      <c r="F15" s="199">
        <f>'DIA 7'!K$56</f>
        <v>0</v>
      </c>
      <c r="G15" s="206">
        <f t="shared" si="1"/>
        <v>2751.07105</v>
      </c>
      <c r="H15" s="206">
        <f t="shared" si="1"/>
        <v>176.72486206896551</v>
      </c>
    </row>
    <row r="16" spans="1:9" x14ac:dyDescent="0.25">
      <c r="A16" s="46">
        <f>'DIA 8'!B$6</f>
        <v>44750</v>
      </c>
      <c r="B16" s="199">
        <f>'DIA 8'!G$49</f>
        <v>2399.5474000000004</v>
      </c>
      <c r="C16" s="199">
        <f>'DIA 8'!G$56</f>
        <v>83.236999999999995</v>
      </c>
      <c r="D16" s="203">
        <f t="shared" si="0"/>
        <v>2482.7844000000005</v>
      </c>
      <c r="E16" s="199">
        <f>'DIA 8'!K$49</f>
        <v>0</v>
      </c>
      <c r="F16" s="199">
        <f>'DIA 8'!K$56</f>
        <v>0</v>
      </c>
      <c r="G16" s="206">
        <f t="shared" si="1"/>
        <v>2399.5474000000004</v>
      </c>
      <c r="H16" s="206">
        <f t="shared" si="1"/>
        <v>83.236999999999995</v>
      </c>
    </row>
    <row r="17" spans="1:8" x14ac:dyDescent="0.25">
      <c r="A17" s="46">
        <f>'DIA 9'!B$6</f>
        <v>44751</v>
      </c>
      <c r="B17" s="199">
        <f>'DIA 9'!G$49</f>
        <v>1957.041275</v>
      </c>
      <c r="C17" s="199">
        <f>'DIA 9'!G$56</f>
        <v>21.163370689655174</v>
      </c>
      <c r="D17" s="203">
        <f t="shared" si="0"/>
        <v>1978.2046456896553</v>
      </c>
      <c r="E17" s="199">
        <f>'DIA 9'!K$49</f>
        <v>0</v>
      </c>
      <c r="F17" s="199">
        <f>'DIA 9'!K$56</f>
        <v>0</v>
      </c>
      <c r="G17" s="206">
        <f t="shared" si="1"/>
        <v>1957.041275</v>
      </c>
      <c r="H17" s="206">
        <f t="shared" si="1"/>
        <v>21.163370689655174</v>
      </c>
    </row>
    <row r="18" spans="1:8" x14ac:dyDescent="0.25">
      <c r="A18" s="46">
        <f>'DIA 10'!B$6</f>
        <v>44752</v>
      </c>
      <c r="B18" s="199">
        <f>'DIA 10'!G$49</f>
        <v>3715.0168250000002</v>
      </c>
      <c r="C18" s="199">
        <f>'DIA 10'!G$56</f>
        <v>125.06983620689655</v>
      </c>
      <c r="D18" s="203">
        <f t="shared" si="0"/>
        <v>3840.0866612068967</v>
      </c>
      <c r="E18" s="199">
        <f>'DIA 10'!K$49</f>
        <v>0</v>
      </c>
      <c r="F18" s="199">
        <f>'DIA 10'!K$56</f>
        <v>0</v>
      </c>
      <c r="G18" s="206">
        <f t="shared" si="1"/>
        <v>3715.0168250000002</v>
      </c>
      <c r="H18" s="206">
        <f t="shared" si="1"/>
        <v>125.06983620689655</v>
      </c>
    </row>
    <row r="19" spans="1:8" x14ac:dyDescent="0.25">
      <c r="A19" s="46">
        <f>'DIA 11'!B$6</f>
        <v>44753</v>
      </c>
      <c r="B19" s="199">
        <f>'DIA 11'!G$49</f>
        <v>2865.7941249999999</v>
      </c>
      <c r="C19" s="199">
        <f>'DIA 11'!G$56</f>
        <v>198.0000603448276</v>
      </c>
      <c r="D19" s="203">
        <f t="shared" si="0"/>
        <v>3063.7941853448274</v>
      </c>
      <c r="E19" s="199">
        <f>'DIA 11'!K$49</f>
        <v>0</v>
      </c>
      <c r="F19" s="199">
        <f>'DIA 11'!K$56</f>
        <v>0</v>
      </c>
      <c r="G19" s="206">
        <f t="shared" si="1"/>
        <v>2865.7941249999999</v>
      </c>
      <c r="H19" s="206">
        <f t="shared" si="1"/>
        <v>198.0000603448276</v>
      </c>
    </row>
    <row r="20" spans="1:8" x14ac:dyDescent="0.25">
      <c r="A20" s="46">
        <f>'DIA 12'!B$6</f>
        <v>44754</v>
      </c>
      <c r="B20" s="199">
        <f>'DIA 12'!G$49</f>
        <v>2699.6794</v>
      </c>
      <c r="C20" s="199">
        <f>'DIA 12'!G$56</f>
        <v>64.403370689655176</v>
      </c>
      <c r="D20" s="203">
        <f t="shared" si="0"/>
        <v>2764.0827706896553</v>
      </c>
      <c r="E20" s="199">
        <f>'DIA 12'!K$49</f>
        <v>2699.68</v>
      </c>
      <c r="F20" s="199">
        <f>'DIA 12'!K$56</f>
        <v>64.400000000000006</v>
      </c>
      <c r="G20" s="206">
        <f t="shared" si="1"/>
        <v>-5.9999999984938768E-4</v>
      </c>
      <c r="H20" s="206">
        <f t="shared" si="1"/>
        <v>3.3706896551706222E-3</v>
      </c>
    </row>
    <row r="21" spans="1:8" x14ac:dyDescent="0.25">
      <c r="A21" s="46">
        <f>'DIA 13'!B$6</f>
        <v>44755</v>
      </c>
      <c r="B21" s="199">
        <f>'DIA 13'!G$49</f>
        <v>3602.8047749999996</v>
      </c>
      <c r="C21" s="199">
        <f>'DIA 13'!G$56</f>
        <v>211.59643103448275</v>
      </c>
      <c r="D21" s="203">
        <f t="shared" si="0"/>
        <v>3814.4012060344821</v>
      </c>
      <c r="E21" s="199">
        <f>'DIA 13'!K$49</f>
        <v>0</v>
      </c>
      <c r="F21" s="199">
        <f>'DIA 13'!K$56</f>
        <v>0</v>
      </c>
      <c r="G21" s="206">
        <f t="shared" si="1"/>
        <v>3602.8047749999996</v>
      </c>
      <c r="H21" s="206">
        <f t="shared" si="1"/>
        <v>211.59643103448275</v>
      </c>
    </row>
    <row r="22" spans="1:8" x14ac:dyDescent="0.25">
      <c r="A22" s="46">
        <f>'DIA 14'!B$6</f>
        <v>44756</v>
      </c>
      <c r="B22" s="199">
        <f>'DIA 14'!G$49</f>
        <v>1041.281375</v>
      </c>
      <c r="C22" s="199">
        <f>'DIA 14'!G$56</f>
        <v>26.866577586206894</v>
      </c>
      <c r="D22" s="203">
        <f t="shared" si="0"/>
        <v>1068.1479525862069</v>
      </c>
      <c r="E22" s="199">
        <f>'DIA 14'!K$49</f>
        <v>0</v>
      </c>
      <c r="F22" s="199">
        <f>'DIA 14'!K$56</f>
        <v>0</v>
      </c>
      <c r="G22" s="206">
        <f t="shared" si="1"/>
        <v>1041.281375</v>
      </c>
      <c r="H22" s="206">
        <f t="shared" si="1"/>
        <v>26.866577586206894</v>
      </c>
    </row>
    <row r="23" spans="1:8" x14ac:dyDescent="0.25">
      <c r="A23" s="46">
        <f>'DIA 15'!B$6</f>
        <v>44757</v>
      </c>
      <c r="B23" s="199">
        <f>'DIA 15'!G$49</f>
        <v>5594.0972250000004</v>
      </c>
      <c r="C23" s="199">
        <f>'DIA 15'!G$56</f>
        <v>33.268706896551727</v>
      </c>
      <c r="D23" s="203">
        <f t="shared" si="0"/>
        <v>5627.365931896552</v>
      </c>
      <c r="E23" s="199">
        <f>'DIA 15'!K$49</f>
        <v>0</v>
      </c>
      <c r="F23" s="199">
        <f>'DIA 15'!K$56</f>
        <v>0</v>
      </c>
      <c r="G23" s="206">
        <f t="shared" si="1"/>
        <v>5594.0972250000004</v>
      </c>
      <c r="H23" s="206">
        <f t="shared" si="1"/>
        <v>33.268706896551727</v>
      </c>
    </row>
    <row r="24" spans="1:8" x14ac:dyDescent="0.25">
      <c r="A24" s="46">
        <f>'DIA 16'!B$6</f>
        <v>44728</v>
      </c>
      <c r="B24" s="199">
        <f>'DIA 16'!G$49</f>
        <v>3644.9364</v>
      </c>
      <c r="C24" s="199">
        <f>'DIA 16'!G$56</f>
        <v>159.40090517241379</v>
      </c>
      <c r="D24" s="203">
        <f t="shared" si="0"/>
        <v>3804.3373051724138</v>
      </c>
      <c r="E24" s="199">
        <f>'DIA 16'!K$49</f>
        <v>0</v>
      </c>
      <c r="F24" s="199">
        <f>'DIA 16'!K$56</f>
        <v>0</v>
      </c>
      <c r="G24" s="206">
        <f t="shared" si="1"/>
        <v>3644.9364</v>
      </c>
      <c r="H24" s="206">
        <f t="shared" si="1"/>
        <v>159.40090517241379</v>
      </c>
    </row>
    <row r="25" spans="1:8" x14ac:dyDescent="0.25">
      <c r="A25" s="46">
        <f>'DIA 17'!B$6</f>
        <v>44759</v>
      </c>
      <c r="B25" s="199">
        <f>'DIA 17'!G$49</f>
        <v>2064.4595500000005</v>
      </c>
      <c r="C25" s="199">
        <f>'DIA 17'!G$56</f>
        <v>130.79168103448276</v>
      </c>
      <c r="D25" s="203">
        <f t="shared" si="0"/>
        <v>2195.2512310344832</v>
      </c>
      <c r="E25" s="199">
        <f>'DIA 17'!K$49</f>
        <v>0</v>
      </c>
      <c r="F25" s="199">
        <f>'DIA 17'!K$56</f>
        <v>0</v>
      </c>
      <c r="G25" s="206">
        <f t="shared" si="1"/>
        <v>2064.4595500000005</v>
      </c>
      <c r="H25" s="206">
        <f t="shared" si="1"/>
        <v>130.79168103448276</v>
      </c>
    </row>
    <row r="26" spans="1:8" x14ac:dyDescent="0.25">
      <c r="A26" s="46">
        <f>'DIA 18'!B$6</f>
        <v>44760</v>
      </c>
      <c r="B26" s="199">
        <f>'DIA 18'!G$49</f>
        <v>3157.7379999999998</v>
      </c>
      <c r="C26" s="199">
        <f>'DIA 18'!G$56</f>
        <v>69.519482758620683</v>
      </c>
      <c r="D26" s="203">
        <f t="shared" si="0"/>
        <v>3227.2574827586204</v>
      </c>
      <c r="E26" s="199">
        <f>'DIA 18'!K$49</f>
        <v>0</v>
      </c>
      <c r="F26" s="199">
        <f>'DIA 18'!K$56</f>
        <v>0</v>
      </c>
      <c r="G26" s="206">
        <f t="shared" si="1"/>
        <v>3157.7379999999998</v>
      </c>
      <c r="H26" s="206">
        <f t="shared" si="1"/>
        <v>69.519482758620683</v>
      </c>
    </row>
    <row r="27" spans="1:8" x14ac:dyDescent="0.25">
      <c r="A27" s="46">
        <f>'DIA 19'!B$6</f>
        <v>44761</v>
      </c>
      <c r="B27" s="199">
        <f>'DIA 19'!G$49</f>
        <v>1072.8031749999998</v>
      </c>
      <c r="C27" s="199">
        <f>'DIA 19'!G$56</f>
        <v>63.778999999999996</v>
      </c>
      <c r="D27" s="203">
        <f t="shared" si="0"/>
        <v>1136.5821749999998</v>
      </c>
      <c r="E27" s="199">
        <f>'DIA 19'!K$49</f>
        <v>0</v>
      </c>
      <c r="F27" s="199">
        <f>'DIA 19'!K$56</f>
        <v>0</v>
      </c>
      <c r="G27" s="206">
        <f t="shared" si="1"/>
        <v>1072.8031749999998</v>
      </c>
      <c r="H27" s="206">
        <f t="shared" si="1"/>
        <v>63.778999999999996</v>
      </c>
    </row>
    <row r="28" spans="1:8" x14ac:dyDescent="0.25">
      <c r="A28" s="46">
        <f>'DIA 20'!B$6</f>
        <v>44762</v>
      </c>
      <c r="B28" s="199">
        <f>'DIA 20'!G$49</f>
        <v>3141.5205500000002</v>
      </c>
      <c r="C28" s="199">
        <f>'DIA 20'!G$56</f>
        <v>63.928103448275856</v>
      </c>
      <c r="D28" s="203">
        <f t="shared" si="0"/>
        <v>3205.4486534482762</v>
      </c>
      <c r="E28" s="199">
        <f>'DIA 20'!K$49</f>
        <v>0</v>
      </c>
      <c r="F28" s="199">
        <f>'DIA 20'!K$56</f>
        <v>0</v>
      </c>
      <c r="G28" s="206">
        <f t="shared" si="1"/>
        <v>3141.5205500000002</v>
      </c>
      <c r="H28" s="206">
        <f t="shared" si="1"/>
        <v>63.928103448275856</v>
      </c>
    </row>
    <row r="29" spans="1:8" x14ac:dyDescent="0.25">
      <c r="A29" s="46">
        <f>'DIA 21'!B$6</f>
        <v>44763</v>
      </c>
      <c r="B29" s="199">
        <f>'DIA 21'!G$49</f>
        <v>3115.1895250000002</v>
      </c>
      <c r="C29" s="199">
        <f>'DIA 21'!G$56</f>
        <v>120.49422413793104</v>
      </c>
      <c r="D29" s="203">
        <f t="shared" si="0"/>
        <v>3235.683749137931</v>
      </c>
      <c r="E29" s="199">
        <f>'DIA 21'!K$49</f>
        <v>0</v>
      </c>
      <c r="F29" s="199">
        <f>'DIA 21'!K$56</f>
        <v>0</v>
      </c>
      <c r="G29" s="206">
        <f t="shared" si="1"/>
        <v>3115.1895250000002</v>
      </c>
      <c r="H29" s="206">
        <f t="shared" si="1"/>
        <v>120.49422413793104</v>
      </c>
    </row>
    <row r="30" spans="1:8" x14ac:dyDescent="0.25">
      <c r="A30" s="46">
        <f>'DIA 22'!B$6</f>
        <v>44399</v>
      </c>
      <c r="B30" s="199">
        <f>'DIA 22'!G$49</f>
        <v>4387.4455000000007</v>
      </c>
      <c r="C30" s="199">
        <f>'DIA 22'!G$56</f>
        <v>16.820732758620689</v>
      </c>
      <c r="D30" s="203">
        <f t="shared" si="0"/>
        <v>4404.2662327586213</v>
      </c>
      <c r="E30" s="199">
        <f>'DIA 22'!K$49</f>
        <v>0</v>
      </c>
      <c r="F30" s="199">
        <f>'DIA 22'!K$56</f>
        <v>0</v>
      </c>
      <c r="G30" s="206">
        <f t="shared" si="1"/>
        <v>4387.4455000000007</v>
      </c>
      <c r="H30" s="206">
        <f t="shared" si="1"/>
        <v>16.820732758620689</v>
      </c>
    </row>
    <row r="31" spans="1:8" x14ac:dyDescent="0.25">
      <c r="A31" s="46">
        <f>'DIA 23'!B$6</f>
        <v>44765</v>
      </c>
      <c r="B31" s="199">
        <f>'DIA 23'!G$49</f>
        <v>4228.0797750000002</v>
      </c>
      <c r="C31" s="199">
        <f>'DIA 23'!G$56</f>
        <v>47.657189655172417</v>
      </c>
      <c r="D31" s="203">
        <f t="shared" si="0"/>
        <v>4275.7369646551724</v>
      </c>
      <c r="E31" s="199">
        <f>'DIA 23'!K$49</f>
        <v>0</v>
      </c>
      <c r="F31" s="199">
        <f>'DIA 23'!K$56</f>
        <v>0</v>
      </c>
      <c r="G31" s="206">
        <f t="shared" si="1"/>
        <v>4228.0797750000002</v>
      </c>
      <c r="H31" s="206">
        <f t="shared" si="1"/>
        <v>47.657189655172417</v>
      </c>
    </row>
    <row r="32" spans="1:8" x14ac:dyDescent="0.25">
      <c r="A32" s="46">
        <f>'DIA 24'!B$6</f>
        <v>44766</v>
      </c>
      <c r="B32" s="199">
        <f>'DIA 24'!G$49</f>
        <v>5266.2149250000002</v>
      </c>
      <c r="C32" s="199">
        <f>'DIA 24'!G$56</f>
        <v>209.11758620689653</v>
      </c>
      <c r="D32" s="203">
        <f t="shared" si="0"/>
        <v>5475.3325112068969</v>
      </c>
      <c r="E32" s="199">
        <f>'DIA 24'!K$49</f>
        <v>0</v>
      </c>
      <c r="F32" s="199">
        <f>'DIA 24'!K$56</f>
        <v>0</v>
      </c>
      <c r="G32" s="206">
        <f t="shared" si="1"/>
        <v>5266.2149250000002</v>
      </c>
      <c r="H32" s="206">
        <f t="shared" si="1"/>
        <v>209.11758620689653</v>
      </c>
    </row>
    <row r="33" spans="1:8" x14ac:dyDescent="0.25">
      <c r="A33" s="46">
        <f>'DIA 25'!B$6</f>
        <v>44767</v>
      </c>
      <c r="B33" s="199">
        <f>'DIA 25'!G$49</f>
        <v>5398.1975750000001</v>
      </c>
      <c r="C33" s="199">
        <f>'DIA 25'!G$56</f>
        <v>202.9111551724138</v>
      </c>
      <c r="D33" s="203">
        <f t="shared" si="0"/>
        <v>5601.1087301724137</v>
      </c>
      <c r="E33" s="199">
        <f>'DIA 25'!K$49</f>
        <v>0</v>
      </c>
      <c r="F33" s="199">
        <f>'DIA 25'!K$56</f>
        <v>0</v>
      </c>
      <c r="G33" s="206">
        <f t="shared" si="1"/>
        <v>5398.1975750000001</v>
      </c>
      <c r="H33" s="206">
        <f t="shared" si="1"/>
        <v>202.9111551724138</v>
      </c>
    </row>
    <row r="34" spans="1:8" x14ac:dyDescent="0.25">
      <c r="A34" s="46">
        <f>'DIA 26'!B$6</f>
        <v>44738</v>
      </c>
      <c r="B34" s="199">
        <f>'DIA 26'!G$49</f>
        <v>2951.9232750000001</v>
      </c>
      <c r="C34" s="199">
        <f>'DIA 26'!G$56</f>
        <v>171.15212068965516</v>
      </c>
      <c r="D34" s="203">
        <f t="shared" si="0"/>
        <v>3123.0753956896551</v>
      </c>
      <c r="E34" s="199">
        <f>'DIA 26'!K$49</f>
        <v>0</v>
      </c>
      <c r="F34" s="199">
        <f>'DIA 26'!K$56</f>
        <v>0</v>
      </c>
      <c r="G34" s="206">
        <f t="shared" si="1"/>
        <v>2951.9232750000001</v>
      </c>
      <c r="H34" s="206">
        <f t="shared" si="1"/>
        <v>171.15212068965516</v>
      </c>
    </row>
    <row r="35" spans="1:8" x14ac:dyDescent="0.25">
      <c r="A35" s="46">
        <f>'DIA 27'!B$6</f>
        <v>44769</v>
      </c>
      <c r="B35" s="199">
        <f>'DIA 27'!G$49</f>
        <v>2504.6928499999999</v>
      </c>
      <c r="C35" s="199">
        <f>'DIA 27'!G$56</f>
        <v>0</v>
      </c>
      <c r="D35" s="203">
        <f t="shared" si="0"/>
        <v>2504.6928499999999</v>
      </c>
      <c r="E35" s="199">
        <f>'DIA 27'!K$49</f>
        <v>0</v>
      </c>
      <c r="F35" s="199">
        <f>'DIA 27'!K$56</f>
        <v>0</v>
      </c>
      <c r="G35" s="206">
        <f t="shared" si="1"/>
        <v>2504.6928499999999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3285.7308000000003</v>
      </c>
      <c r="C36" s="199">
        <f>'DIA 28'!G$56</f>
        <v>51.347500000000004</v>
      </c>
      <c r="D36" s="203">
        <f t="shared" si="0"/>
        <v>3337.0783000000001</v>
      </c>
      <c r="E36" s="199">
        <f>'DIA 28'!K$49</f>
        <v>0</v>
      </c>
      <c r="F36" s="199">
        <f>'DIA 28'!K$56</f>
        <v>0</v>
      </c>
      <c r="G36" s="206">
        <f t="shared" si="1"/>
        <v>3285.7308000000003</v>
      </c>
      <c r="H36" s="206">
        <f t="shared" si="1"/>
        <v>51.347500000000004</v>
      </c>
    </row>
    <row r="37" spans="1:8" x14ac:dyDescent="0.25">
      <c r="A37" s="46">
        <f>'DIA 29'!B$6</f>
        <v>44771</v>
      </c>
      <c r="B37" s="199">
        <f>'DIA 29'!G$49</f>
        <v>4294.4383250000001</v>
      </c>
      <c r="C37" s="199">
        <f>'DIA 29'!G$56</f>
        <v>342.60244827586206</v>
      </c>
      <c r="D37" s="203">
        <f t="shared" si="0"/>
        <v>4637.0407732758622</v>
      </c>
      <c r="E37" s="199">
        <f>'DIA 29'!K$49</f>
        <v>0</v>
      </c>
      <c r="F37" s="199">
        <f>'DIA 29'!K$56</f>
        <v>0</v>
      </c>
      <c r="G37" s="206">
        <f t="shared" si="1"/>
        <v>4294.4383250000001</v>
      </c>
      <c r="H37" s="206">
        <f t="shared" si="1"/>
        <v>342.60244827586206</v>
      </c>
    </row>
    <row r="38" spans="1:8" x14ac:dyDescent="0.25">
      <c r="A38" s="46">
        <f>'DIA 30'!B$6</f>
        <v>44772</v>
      </c>
      <c r="B38" s="199">
        <f>'DIA 30'!G$49</f>
        <v>6004.9922250000009</v>
      </c>
      <c r="C38" s="199">
        <f>'DIA 30'!G$56</f>
        <v>42.000577586206894</v>
      </c>
      <c r="D38" s="203">
        <f t="shared" si="0"/>
        <v>6046.9928025862082</v>
      </c>
      <c r="E38" s="199">
        <f>'DIA 30'!K$49</f>
        <v>0</v>
      </c>
      <c r="F38" s="199">
        <f>'DIA 30'!K$56</f>
        <v>0</v>
      </c>
      <c r="G38" s="206">
        <f t="shared" si="1"/>
        <v>6004.9922250000009</v>
      </c>
      <c r="H38" s="206">
        <f t="shared" si="1"/>
        <v>42.000577586206894</v>
      </c>
    </row>
    <row r="39" spans="1:8" x14ac:dyDescent="0.25">
      <c r="A39" s="46">
        <f>'DIA 31'!B$6</f>
        <v>44773</v>
      </c>
      <c r="B39" s="199">
        <f>'DIA 31'!G$49</f>
        <v>3775.7776750000003</v>
      </c>
      <c r="C39" s="199">
        <f>'DIA 31'!G$56</f>
        <v>42.596991379310346</v>
      </c>
      <c r="D39" s="203">
        <f t="shared" si="0"/>
        <v>3818.3746663793108</v>
      </c>
      <c r="E39" s="199">
        <f>'DIA 31'!K$49</f>
        <v>0</v>
      </c>
      <c r="F39" s="199">
        <f>'DIA 31'!K$56</f>
        <v>0</v>
      </c>
      <c r="G39" s="206">
        <f t="shared" si="1"/>
        <v>3775.7776750000003</v>
      </c>
      <c r="H39" s="206">
        <f t="shared" si="1"/>
        <v>42.596991379310346</v>
      </c>
    </row>
    <row r="40" spans="1:8" x14ac:dyDescent="0.25">
      <c r="A40" s="53" t="s">
        <v>37</v>
      </c>
      <c r="B40" s="133">
        <f>SUM(B9:B39)</f>
        <v>103181.55054999999</v>
      </c>
      <c r="C40" s="133">
        <f>SUM(C9:C38)</f>
        <v>3012.4301551724129</v>
      </c>
      <c r="D40" s="133">
        <f>SUM(D9:D38)</f>
        <v>102418.20303017242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88"/>
      <c r="B1" s="289"/>
      <c r="C1" s="290"/>
      <c r="D1" s="290"/>
      <c r="E1" s="290"/>
      <c r="F1" s="291"/>
    </row>
    <row r="2" spans="1:6" s="2" customFormat="1" ht="16.5" customHeight="1" x14ac:dyDescent="0.35">
      <c r="A2" s="288"/>
      <c r="B2" s="292" t="s">
        <v>11</v>
      </c>
      <c r="C2" s="293"/>
      <c r="D2" s="293"/>
      <c r="E2" s="293"/>
      <c r="F2" s="294"/>
    </row>
    <row r="3" spans="1:6" s="2" customFormat="1" ht="16.5" customHeight="1" x14ac:dyDescent="0.25">
      <c r="A3" s="288"/>
      <c r="B3" s="295" t="s">
        <v>31</v>
      </c>
      <c r="C3" s="296"/>
      <c r="D3" s="296"/>
      <c r="E3" s="296"/>
      <c r="F3" s="297"/>
    </row>
    <row r="4" spans="1:6" x14ac:dyDescent="0.25">
      <c r="A4" s="281" t="s">
        <v>50</v>
      </c>
      <c r="B4" s="281"/>
      <c r="C4" s="281"/>
      <c r="D4" s="281"/>
      <c r="E4" s="281"/>
      <c r="F4" s="281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>
        <f>'DIA 1'!B$6</f>
        <v>44743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119.01</v>
      </c>
      <c r="C11" s="28"/>
      <c r="D11" s="1"/>
      <c r="E11" s="135">
        <f t="shared" si="0"/>
        <v>-119.01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453.53</v>
      </c>
      <c r="C15" s="28"/>
      <c r="D15" s="1"/>
      <c r="E15" s="135">
        <f t="shared" si="0"/>
        <v>-453.53</v>
      </c>
    </row>
    <row r="16" spans="1:6" x14ac:dyDescent="0.25">
      <c r="A16" s="46">
        <f>'DIA 9'!B$6</f>
        <v>44751</v>
      </c>
      <c r="B16" s="199">
        <f>'DIA 9'!B$59</f>
        <v>445.5</v>
      </c>
      <c r="C16" s="28"/>
      <c r="D16" s="1"/>
      <c r="E16" s="135">
        <f t="shared" si="0"/>
        <v>-445.5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44728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1865.13</v>
      </c>
      <c r="C27" s="28"/>
      <c r="D27" s="1"/>
      <c r="E27" s="135">
        <f t="shared" si="0"/>
        <v>-1865.13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44399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44738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2883.17</v>
      </c>
      <c r="C39" s="33"/>
      <c r="D39" s="134">
        <f>SUM(D8:D38)</f>
        <v>0</v>
      </c>
      <c r="E39" s="134">
        <f>SUM(E8:E38)</f>
        <v>-2883.17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916289.00999999989</v>
      </c>
    </row>
    <row r="43" spans="1:5" x14ac:dyDescent="0.25">
      <c r="A43" s="36" t="s">
        <v>48</v>
      </c>
      <c r="B43" s="37">
        <f>B39/B42</f>
        <v>3.1465727172696315E-3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88"/>
      <c r="B1" s="289"/>
      <c r="C1" s="290"/>
      <c r="D1" s="290"/>
      <c r="E1" s="290"/>
      <c r="F1" s="291"/>
    </row>
    <row r="2" spans="1:9" s="2" customFormat="1" ht="16.5" customHeight="1" x14ac:dyDescent="0.35">
      <c r="A2" s="288"/>
      <c r="B2" s="292" t="s">
        <v>11</v>
      </c>
      <c r="C2" s="293"/>
      <c r="D2" s="293"/>
      <c r="E2" s="293"/>
      <c r="F2" s="294"/>
    </row>
    <row r="3" spans="1:9" s="2" customFormat="1" ht="16.5" customHeight="1" x14ac:dyDescent="0.25">
      <c r="A3" s="288"/>
      <c r="B3" s="295" t="s">
        <v>31</v>
      </c>
      <c r="C3" s="296"/>
      <c r="D3" s="296"/>
      <c r="E3" s="296"/>
      <c r="F3" s="297"/>
    </row>
    <row r="4" spans="1:9" x14ac:dyDescent="0.25">
      <c r="A4" s="281" t="s">
        <v>50</v>
      </c>
      <c r="B4" s="281"/>
      <c r="C4" s="281"/>
      <c r="D4" s="281"/>
      <c r="E4" s="281"/>
      <c r="F4" s="281"/>
    </row>
    <row r="7" spans="1:9" ht="27" customHeight="1" x14ac:dyDescent="0.25">
      <c r="A7" s="4" t="s">
        <v>28</v>
      </c>
      <c r="B7" s="4" t="s">
        <v>158</v>
      </c>
      <c r="C7" s="4" t="s">
        <v>159</v>
      </c>
      <c r="D7" s="4" t="s">
        <v>155</v>
      </c>
      <c r="E7" s="4" t="s">
        <v>85</v>
      </c>
      <c r="F7" s="3" t="s">
        <v>156</v>
      </c>
      <c r="G7" s="4" t="s">
        <v>89</v>
      </c>
      <c r="H7" s="207" t="s">
        <v>157</v>
      </c>
      <c r="I7" s="207" t="s">
        <v>160</v>
      </c>
    </row>
    <row r="8" spans="1:9" x14ac:dyDescent="0.25">
      <c r="A8" s="46">
        <f>'DIA 1'!B$6</f>
        <v>44743</v>
      </c>
      <c r="B8" s="208">
        <f>'DIA 1'!B$19</f>
        <v>2299</v>
      </c>
      <c r="C8" s="209">
        <f>'DIA 1'!B$20</f>
        <v>12762.64</v>
      </c>
      <c r="D8" s="209">
        <f>'DIA 1'!B$27</f>
        <v>50</v>
      </c>
      <c r="E8" s="209">
        <f>'DIA 1'!B$28</f>
        <v>290</v>
      </c>
      <c r="F8" s="209">
        <f>'DIA 1'!B$35</f>
        <v>56.48</v>
      </c>
      <c r="G8" s="209">
        <f>'DIA 1'!B$36</f>
        <v>312.89920000000001</v>
      </c>
      <c r="H8" s="209">
        <f>'DIA 1'!B$43</f>
        <v>89.38</v>
      </c>
      <c r="I8" s="209">
        <f>'DIA 1'!B$44</f>
        <v>496.19100000000003</v>
      </c>
    </row>
    <row r="9" spans="1:9" x14ac:dyDescent="0.25">
      <c r="A9" s="46">
        <f>'DIA 2'!B$6</f>
        <v>44744</v>
      </c>
      <c r="B9" s="208">
        <f>'DIA 2'!B$19</f>
        <v>2817</v>
      </c>
      <c r="C9" s="209">
        <f>'DIA 2'!B$20</f>
        <v>15662.519999999999</v>
      </c>
      <c r="D9" s="209">
        <f>'DIA 2'!B$27</f>
        <v>0</v>
      </c>
      <c r="E9" s="209">
        <f>'DIA 2'!B$28</f>
        <v>0</v>
      </c>
      <c r="F9" s="209">
        <f>'DIA 2'!B$35</f>
        <v>67.180000000000007</v>
      </c>
      <c r="G9" s="209">
        <f>'DIA 2'!B$36</f>
        <v>373.52080000000001</v>
      </c>
      <c r="H9" s="209">
        <f>'DIA 2'!B$43</f>
        <v>74.319999999999993</v>
      </c>
      <c r="I9" s="209">
        <f>'DIA 2'!B$44</f>
        <v>413.21919999999994</v>
      </c>
    </row>
    <row r="10" spans="1:9" x14ac:dyDescent="0.25">
      <c r="A10" s="46">
        <f>'DIA 3'!B$6</f>
        <v>44745</v>
      </c>
      <c r="B10" s="208">
        <f>'DIA 3'!B$19</f>
        <v>2570</v>
      </c>
      <c r="C10" s="209">
        <f>'DIA 3'!B$20</f>
        <v>14289.199999999999</v>
      </c>
      <c r="D10" s="209">
        <f>'DIA 3'!B$27</f>
        <v>0</v>
      </c>
      <c r="E10" s="209">
        <f>'DIA 3'!B$28</f>
        <v>0</v>
      </c>
      <c r="F10" s="209">
        <f>'DIA 3'!B$35</f>
        <v>91.35</v>
      </c>
      <c r="G10" s="209">
        <f>'DIA 3'!B$36</f>
        <v>507.90599999999995</v>
      </c>
      <c r="H10" s="209">
        <f>'DIA 3'!B$43</f>
        <v>44.54</v>
      </c>
      <c r="I10" s="209">
        <f>'DIA 3'!B$44</f>
        <v>247.64239999999998</v>
      </c>
    </row>
    <row r="11" spans="1:9" x14ac:dyDescent="0.25">
      <c r="A11" s="46">
        <f>'DIA 4'!B$6</f>
        <v>44746</v>
      </c>
      <c r="B11" s="208">
        <f>'DIA 4'!B$19</f>
        <v>1832</v>
      </c>
      <c r="C11" s="209">
        <f>'DIA 4'!B$20</f>
        <v>10185.92</v>
      </c>
      <c r="D11" s="209">
        <f>'DIA 4'!B$27</f>
        <v>10</v>
      </c>
      <c r="E11" s="209">
        <f>'DIA 4'!B$28</f>
        <v>58</v>
      </c>
      <c r="F11" s="209">
        <f>'DIA 4'!B$35</f>
        <v>14.74</v>
      </c>
      <c r="G11" s="209">
        <f>'DIA 4'!B$36</f>
        <v>81.954399999999993</v>
      </c>
      <c r="H11" s="209">
        <f>'DIA 4'!B$43</f>
        <v>9</v>
      </c>
      <c r="I11" s="209">
        <f>'DIA 4'!B$44</f>
        <v>50.04</v>
      </c>
    </row>
    <row r="12" spans="1:9" x14ac:dyDescent="0.25">
      <c r="A12" s="46">
        <f>'DIA 5'!B$6</f>
        <v>44747</v>
      </c>
      <c r="B12" s="208">
        <f>'DIA 5'!B$19</f>
        <v>2395</v>
      </c>
      <c r="C12" s="209">
        <f>'DIA 5'!B$20</f>
        <v>13316.199999999999</v>
      </c>
      <c r="D12" s="209">
        <f>'DIA 5'!B$27</f>
        <v>0</v>
      </c>
      <c r="E12" s="209">
        <f>'DIA 5'!B$28</f>
        <v>0</v>
      </c>
      <c r="F12" s="209">
        <f>'DIA 5'!B$35</f>
        <v>41.97</v>
      </c>
      <c r="G12" s="209">
        <f>'DIA 5'!B$36</f>
        <v>233.35319999999999</v>
      </c>
      <c r="H12" s="209">
        <f>'DIA 5'!B$43</f>
        <v>31.26</v>
      </c>
      <c r="I12" s="209">
        <f>'DIA 5'!B$44</f>
        <v>173.8056</v>
      </c>
    </row>
    <row r="13" spans="1:9" x14ac:dyDescent="0.25">
      <c r="A13" s="46">
        <f>'DIA 6'!B$6</f>
        <v>44748</v>
      </c>
      <c r="B13" s="208">
        <f>'DIA 6'!B$19</f>
        <v>1628</v>
      </c>
      <c r="C13" s="209">
        <f>'DIA 6'!B$20</f>
        <v>9051.6799999999985</v>
      </c>
      <c r="D13" s="209">
        <f>'DIA 6'!B$27</f>
        <v>50</v>
      </c>
      <c r="E13" s="209">
        <f>'DIA 6'!B$28</f>
        <v>290</v>
      </c>
      <c r="F13" s="209">
        <f>'DIA 6'!B$35</f>
        <v>46.2</v>
      </c>
      <c r="G13" s="209">
        <f>'DIA 6'!B$36</f>
        <v>256.87200000000001</v>
      </c>
      <c r="H13" s="209">
        <f>'DIA 6'!B$43</f>
        <v>9.16</v>
      </c>
      <c r="I13" s="209">
        <f>'DIA 6'!B$44</f>
        <v>50.929600000000001</v>
      </c>
    </row>
    <row r="14" spans="1:9" x14ac:dyDescent="0.25">
      <c r="A14" s="46">
        <f>'DIA 7'!B$6</f>
        <v>44749</v>
      </c>
      <c r="B14" s="208">
        <f>'DIA 7'!B$19</f>
        <v>1748</v>
      </c>
      <c r="C14" s="209">
        <f>'DIA 7'!B$20</f>
        <v>9728.31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30.22</v>
      </c>
      <c r="I14" s="209">
        <f>'DIA 7'!B$44</f>
        <v>168.02319999999997</v>
      </c>
    </row>
    <row r="15" spans="1:9" x14ac:dyDescent="0.25">
      <c r="A15" s="46">
        <f>'DIA 8'!B$6</f>
        <v>44750</v>
      </c>
      <c r="B15" s="208">
        <f>'DIA 8'!B$19</f>
        <v>2330</v>
      </c>
      <c r="C15" s="209">
        <f>'DIA 8'!B$20</f>
        <v>13038.86</v>
      </c>
      <c r="D15" s="209">
        <f>'DIA 8'!B$27</f>
        <v>0</v>
      </c>
      <c r="E15" s="209">
        <f>'DIA 8'!B$28</f>
        <v>0</v>
      </c>
      <c r="F15" s="209">
        <f>'DIA 8'!B$35</f>
        <v>100</v>
      </c>
      <c r="G15" s="209">
        <f>'DIA 8'!B$36</f>
        <v>557</v>
      </c>
      <c r="H15" s="209">
        <f>'DIA 8'!B$43</f>
        <v>45.47</v>
      </c>
      <c r="I15" s="209">
        <f>'DIA 8'!B$44</f>
        <v>254.20190000000002</v>
      </c>
    </row>
    <row r="16" spans="1:9" x14ac:dyDescent="0.25">
      <c r="A16" s="46">
        <f>'DIA 9'!B$6</f>
        <v>44751</v>
      </c>
      <c r="B16" s="208">
        <f>'DIA 9'!B$19</f>
        <v>3241</v>
      </c>
      <c r="C16" s="209">
        <f>'DIA 9'!B$20</f>
        <v>18182.010000000002</v>
      </c>
      <c r="D16" s="209">
        <f>'DIA 9'!B$27</f>
        <v>0</v>
      </c>
      <c r="E16" s="209">
        <f>'DIA 9'!B$28</f>
        <v>0</v>
      </c>
      <c r="F16" s="209">
        <f>'DIA 9'!B$35</f>
        <v>13.11</v>
      </c>
      <c r="G16" s="209">
        <f>'DIA 9'!B$36</f>
        <v>73.5471</v>
      </c>
      <c r="H16" s="209">
        <f>'DIA 9'!B$43</f>
        <v>47.84</v>
      </c>
      <c r="I16" s="209">
        <f>'DIA 9'!B$44</f>
        <v>268.38240000000002</v>
      </c>
    </row>
    <row r="17" spans="1:9" x14ac:dyDescent="0.25">
      <c r="A17" s="46">
        <f>'DIA 10'!B$6</f>
        <v>44752</v>
      </c>
      <c r="B17" s="208">
        <f>'DIA 10'!B$19</f>
        <v>2428</v>
      </c>
      <c r="C17" s="209">
        <f>'DIA 10'!B$20</f>
        <v>13621.08</v>
      </c>
      <c r="D17" s="209">
        <f>'DIA 10'!B$27</f>
        <v>10</v>
      </c>
      <c r="E17" s="209">
        <f>'DIA 10'!B$28</f>
        <v>57.199999999999996</v>
      </c>
      <c r="F17" s="209">
        <f>'DIA 10'!B$35</f>
        <v>36.4</v>
      </c>
      <c r="G17" s="209">
        <f>'DIA 10'!B$36</f>
        <v>204.20400000000001</v>
      </c>
      <c r="H17" s="209">
        <f>'DIA 10'!B$43</f>
        <v>30</v>
      </c>
      <c r="I17" s="209">
        <f>'DIA 10'!B$44</f>
        <v>168.3</v>
      </c>
    </row>
    <row r="18" spans="1:9" x14ac:dyDescent="0.25">
      <c r="A18" s="46">
        <f>'DIA 11'!B$6</f>
        <v>44753</v>
      </c>
      <c r="B18" s="208">
        <f>'DIA 11'!B$19</f>
        <v>1999</v>
      </c>
      <c r="C18" s="209">
        <f>'DIA 11'!B$20</f>
        <v>11214.390000000001</v>
      </c>
      <c r="D18" s="209">
        <f>'DIA 11'!B$27</f>
        <v>0</v>
      </c>
      <c r="E18" s="209">
        <f>'DIA 11'!B$28</f>
        <v>0</v>
      </c>
      <c r="F18" s="209">
        <f>'DIA 11'!B$35</f>
        <v>45.97</v>
      </c>
      <c r="G18" s="209">
        <f>'DIA 11'!B$36</f>
        <v>257.89170000000001</v>
      </c>
      <c r="H18" s="209">
        <f>'DIA 11'!B$43</f>
        <v>9.01</v>
      </c>
      <c r="I18" s="209">
        <f>'DIA 11'!B$44</f>
        <v>50.546100000000003</v>
      </c>
    </row>
    <row r="19" spans="1:9" x14ac:dyDescent="0.25">
      <c r="A19" s="46">
        <f>'DIA 12'!B$6</f>
        <v>44754</v>
      </c>
      <c r="B19" s="208">
        <f>'DIA 12'!B$19</f>
        <v>1757</v>
      </c>
      <c r="C19" s="209">
        <f>'DIA 12'!B$20</f>
        <v>9856.8499999999985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17.07</v>
      </c>
      <c r="I19" s="209">
        <f>'DIA 12'!B$44</f>
        <v>95.591999999999999</v>
      </c>
    </row>
    <row r="20" spans="1:9" x14ac:dyDescent="0.25">
      <c r="A20" s="46">
        <f>'DIA 13'!B$6</f>
        <v>44755</v>
      </c>
      <c r="B20" s="208">
        <f>'DIA 13'!B$19</f>
        <v>1398</v>
      </c>
      <c r="C20" s="209">
        <f>'DIA 13'!B$20</f>
        <v>7883.6399999999994</v>
      </c>
      <c r="D20" s="209">
        <f>'DIA 13'!B$27</f>
        <v>20</v>
      </c>
      <c r="E20" s="209">
        <f>'DIA 13'!B$28</f>
        <v>113</v>
      </c>
      <c r="F20" s="209">
        <f>'DIA 13'!B$35</f>
        <v>17.73</v>
      </c>
      <c r="G20" s="209">
        <f>'DIA 13'!B$36</f>
        <v>100.35180000000001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1769</v>
      </c>
      <c r="C21" s="209">
        <f>'DIA 14'!B$20</f>
        <v>10033.279999999999</v>
      </c>
      <c r="D21" s="209">
        <f>'DIA 14'!B$27</f>
        <v>3</v>
      </c>
      <c r="E21" s="209">
        <f>'DIA 14'!B$28</f>
        <v>17.04</v>
      </c>
      <c r="F21" s="209">
        <f>'DIA 14'!B$35</f>
        <v>46.56</v>
      </c>
      <c r="G21" s="209">
        <f>'DIA 14'!B$36</f>
        <v>264.08699999999999</v>
      </c>
      <c r="H21" s="209">
        <f>'DIA 14'!B$43</f>
        <v>17.23</v>
      </c>
      <c r="I21" s="209">
        <f>'DIA 14'!B$44</f>
        <v>97.866399999999999</v>
      </c>
    </row>
    <row r="22" spans="1:9" x14ac:dyDescent="0.25">
      <c r="A22" s="46">
        <f>'DIA 15'!B$6</f>
        <v>44757</v>
      </c>
      <c r="B22" s="208">
        <f>'DIA 15'!B$19</f>
        <v>2435</v>
      </c>
      <c r="C22" s="209">
        <f>'DIA 15'!B$20</f>
        <v>13861.080000000002</v>
      </c>
      <c r="D22" s="209">
        <f>'DIA 15'!B$27</f>
        <v>22</v>
      </c>
      <c r="E22" s="209">
        <f>'DIA 15'!B$28</f>
        <v>125.4</v>
      </c>
      <c r="F22" s="209">
        <f>'DIA 15'!B$35</f>
        <v>0</v>
      </c>
      <c r="G22" s="209">
        <f>'DIA 15'!B$36</f>
        <v>0</v>
      </c>
      <c r="H22" s="209">
        <f>'DIA 15'!B$43</f>
        <v>4.6100000000000003</v>
      </c>
      <c r="I22" s="209">
        <f>'DIA 15'!B$44</f>
        <v>26.184799999999999</v>
      </c>
    </row>
    <row r="23" spans="1:9" x14ac:dyDescent="0.25">
      <c r="A23" s="46">
        <f>'DIA 16'!B$6</f>
        <v>44728</v>
      </c>
      <c r="B23" s="208">
        <f>'DIA 16'!B$19</f>
        <v>3414</v>
      </c>
      <c r="C23" s="209">
        <f>'DIA 16'!B$20</f>
        <v>19459.8</v>
      </c>
      <c r="D23" s="209">
        <f>'DIA 16'!B$27</f>
        <v>0</v>
      </c>
      <c r="E23" s="209">
        <f>'DIA 16'!B$28</f>
        <v>0</v>
      </c>
      <c r="F23" s="209">
        <f>'DIA 16'!B$35</f>
        <v>138.38999999999999</v>
      </c>
      <c r="G23" s="209">
        <f>'DIA 16'!B$36</f>
        <v>788.82299999999998</v>
      </c>
      <c r="H23" s="209">
        <f>'DIA 16'!B$43</f>
        <v>70.42</v>
      </c>
      <c r="I23" s="209">
        <f>'DIA 16'!B$44</f>
        <v>401.39400000000001</v>
      </c>
    </row>
    <row r="24" spans="1:9" x14ac:dyDescent="0.25">
      <c r="A24" s="46">
        <f>'DIA 17'!B$6</f>
        <v>44759</v>
      </c>
      <c r="B24" s="208">
        <f>'DIA 17'!B$19</f>
        <v>2825</v>
      </c>
      <c r="C24" s="209">
        <f>'DIA 17'!B$20</f>
        <v>16102.5</v>
      </c>
      <c r="D24" s="209">
        <f>'DIA 17'!B$27</f>
        <v>0</v>
      </c>
      <c r="E24" s="209">
        <f>'DIA 17'!B$28</f>
        <v>0</v>
      </c>
      <c r="F24" s="209">
        <f>'DIA 17'!B$35</f>
        <v>55.43</v>
      </c>
      <c r="G24" s="209">
        <f>'DIA 17'!B$36</f>
        <v>315.95100000000002</v>
      </c>
      <c r="H24" s="209">
        <f>'DIA 17'!B$43</f>
        <v>29.94</v>
      </c>
      <c r="I24" s="209">
        <f>'DIA 17'!B$44</f>
        <v>170.65800000000002</v>
      </c>
    </row>
    <row r="25" spans="1:9" x14ac:dyDescent="0.25">
      <c r="A25" s="46">
        <f>'DIA 18'!B$6</f>
        <v>44760</v>
      </c>
      <c r="B25" s="208">
        <f>'DIA 18'!B$19</f>
        <v>1244</v>
      </c>
      <c r="C25" s="209">
        <f>'DIA 18'!B$20</f>
        <v>7090.8</v>
      </c>
      <c r="D25" s="209">
        <f>'DIA 18'!B$27</f>
        <v>100</v>
      </c>
      <c r="E25" s="209">
        <f>'DIA 18'!B$28</f>
        <v>578</v>
      </c>
      <c r="F25" s="209">
        <f>'DIA 18'!B$35</f>
        <v>26.04</v>
      </c>
      <c r="G25" s="209">
        <f>'DIA 18'!B$36</f>
        <v>148.428</v>
      </c>
      <c r="H25" s="209">
        <f>'DIA 18'!B$43</f>
        <v>35.340000000000003</v>
      </c>
      <c r="I25" s="209">
        <f>'DIA 18'!B$44</f>
        <v>201.43800000000002</v>
      </c>
    </row>
    <row r="26" spans="1:9" x14ac:dyDescent="0.25">
      <c r="A26" s="46">
        <f>'DIA 19'!B$6</f>
        <v>44761</v>
      </c>
      <c r="B26" s="208">
        <f>'DIA 19'!B$19</f>
        <v>1892</v>
      </c>
      <c r="C26" s="209">
        <f>'DIA 19'!B$20</f>
        <v>10784.4</v>
      </c>
      <c r="D26" s="209">
        <f>'DIA 19'!B$27</f>
        <v>0</v>
      </c>
      <c r="E26" s="209">
        <f>'DIA 19'!B$28</f>
        <v>0</v>
      </c>
      <c r="F26" s="209">
        <f>'DIA 19'!B$35</f>
        <v>10.99</v>
      </c>
      <c r="G26" s="209">
        <f>'DIA 19'!B$36</f>
        <v>62.643000000000001</v>
      </c>
      <c r="H26" s="209">
        <f>'DIA 19'!B$43</f>
        <v>30.11</v>
      </c>
      <c r="I26" s="209">
        <f>'DIA 19'!B$44</f>
        <v>171.62700000000001</v>
      </c>
    </row>
    <row r="27" spans="1:9" x14ac:dyDescent="0.25">
      <c r="A27" s="46">
        <f>'DIA 20'!B$6</f>
        <v>44762</v>
      </c>
      <c r="B27" s="208">
        <f>'DIA 20'!B$19</f>
        <v>2133</v>
      </c>
      <c r="C27" s="209">
        <f>'DIA 20'!B$20</f>
        <v>12196.53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19.78</v>
      </c>
      <c r="I27" s="209">
        <f>'DIA 20'!B$44</f>
        <v>113.33940000000001</v>
      </c>
    </row>
    <row r="28" spans="1:9" x14ac:dyDescent="0.25">
      <c r="A28" s="46">
        <f>'DIA 21'!B$6</f>
        <v>44763</v>
      </c>
      <c r="B28" s="208">
        <f>'DIA 21'!B$19</f>
        <v>2160</v>
      </c>
      <c r="C28" s="209">
        <f>'DIA 21'!B$20</f>
        <v>12376.800000000001</v>
      </c>
      <c r="D28" s="209">
        <f>'DIA 21'!B$27</f>
        <v>0</v>
      </c>
      <c r="E28" s="209">
        <f>'DIA 21'!B$28</f>
        <v>0</v>
      </c>
      <c r="F28" s="209">
        <f>'DIA 21'!B$35</f>
        <v>54.57</v>
      </c>
      <c r="G28" s="209">
        <f>'DIA 21'!B$36</f>
        <v>312.68610000000001</v>
      </c>
      <c r="H28" s="209">
        <f>'DIA 21'!B$43</f>
        <v>95.77</v>
      </c>
      <c r="I28" s="209">
        <f>'DIA 21'!B$44</f>
        <v>548.76210000000003</v>
      </c>
    </row>
    <row r="29" spans="1:9" x14ac:dyDescent="0.25">
      <c r="A29" s="46">
        <f>'DIA 22'!B$6</f>
        <v>44399</v>
      </c>
      <c r="B29" s="208">
        <f>'DIA 22'!B$19</f>
        <v>2612</v>
      </c>
      <c r="C29" s="209">
        <f>'DIA 22'!B$20</f>
        <v>14966.76</v>
      </c>
      <c r="D29" s="209">
        <f>'DIA 22'!B$27</f>
        <v>120</v>
      </c>
      <c r="E29" s="209">
        <f>'DIA 22'!B$28</f>
        <v>702.3</v>
      </c>
      <c r="F29" s="209">
        <f>'DIA 22'!B$35</f>
        <v>82.87</v>
      </c>
      <c r="G29" s="209">
        <f>'DIA 22'!B$36</f>
        <v>474.84510000000006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2601</v>
      </c>
      <c r="C30" s="209">
        <f>'DIA 23'!B$20</f>
        <v>14903.730000000001</v>
      </c>
      <c r="D30" s="209">
        <f>'DIA 23'!B$27</f>
        <v>55</v>
      </c>
      <c r="E30" s="209">
        <f>'DIA 23'!B$28</f>
        <v>322.3</v>
      </c>
      <c r="F30" s="209">
        <f>'DIA 23'!B$35</f>
        <v>65.05</v>
      </c>
      <c r="G30" s="209">
        <f>'DIA 23'!B$36</f>
        <v>372.73650000000004</v>
      </c>
      <c r="H30" s="209">
        <f>'DIA 23'!B$43</f>
        <v>37.340000000000003</v>
      </c>
      <c r="I30" s="209">
        <f>'DIA 23'!B$44</f>
        <v>213.95820000000003</v>
      </c>
    </row>
    <row r="31" spans="1:9" x14ac:dyDescent="0.25">
      <c r="A31" s="46">
        <f>'DIA 24'!B$6</f>
        <v>44766</v>
      </c>
      <c r="B31" s="208">
        <f>'DIA 24'!B$19</f>
        <v>2477</v>
      </c>
      <c r="C31" s="209">
        <f>'DIA 24'!B$20</f>
        <v>14193.210000000001</v>
      </c>
      <c r="D31" s="209">
        <f>'DIA 24'!B$27</f>
        <v>0</v>
      </c>
      <c r="E31" s="209">
        <f>'DIA 24'!B$28</f>
        <v>0</v>
      </c>
      <c r="F31" s="209">
        <f>'DIA 24'!B$35</f>
        <v>75.72</v>
      </c>
      <c r="G31" s="209">
        <f>'DIA 24'!B$36</f>
        <v>433.87560000000002</v>
      </c>
      <c r="H31" s="209">
        <f>'DIA 24'!B$43</f>
        <v>61.67</v>
      </c>
      <c r="I31" s="209">
        <f>'DIA 24'!B$44</f>
        <v>353.36910000000006</v>
      </c>
    </row>
    <row r="32" spans="1:9" x14ac:dyDescent="0.25">
      <c r="A32" s="46">
        <f>'DIA 25'!B$6</f>
        <v>44767</v>
      </c>
      <c r="B32" s="208">
        <f>'DIA 25'!B$19</f>
        <v>1681</v>
      </c>
      <c r="C32" s="209">
        <f>'DIA 25'!B$20</f>
        <v>9632.130000000001</v>
      </c>
      <c r="D32" s="209">
        <f>'DIA 25'!B$27</f>
        <v>0</v>
      </c>
      <c r="E32" s="209">
        <f>'DIA 25'!B$28</f>
        <v>0</v>
      </c>
      <c r="F32" s="209">
        <f>'DIA 25'!B$35</f>
        <v>19.829999999999998</v>
      </c>
      <c r="G32" s="209">
        <f>'DIA 25'!B$36</f>
        <v>113.6259</v>
      </c>
      <c r="H32" s="209">
        <f>'DIA 25'!B$43</f>
        <v>39.69</v>
      </c>
      <c r="I32" s="209">
        <f>'DIA 25'!B$44</f>
        <v>227.4237</v>
      </c>
    </row>
    <row r="33" spans="1:9" x14ac:dyDescent="0.25">
      <c r="A33" s="46">
        <f>'DIA 26'!B$6</f>
        <v>44738</v>
      </c>
      <c r="B33" s="208">
        <f>'DIA 26'!B$19</f>
        <v>1845</v>
      </c>
      <c r="C33" s="209">
        <f>'DIA 26'!B$20</f>
        <v>10589.5</v>
      </c>
      <c r="D33" s="209">
        <f>'DIA 26'!B$27</f>
        <v>0</v>
      </c>
      <c r="E33" s="209">
        <f>'DIA 26'!B$28</f>
        <v>0</v>
      </c>
      <c r="F33" s="209">
        <f>'DIA 26'!B$35</f>
        <v>10.11</v>
      </c>
      <c r="G33" s="209">
        <f>'DIA 26'!B$36</f>
        <v>58.132499999999993</v>
      </c>
      <c r="H33" s="209">
        <f>'DIA 26'!B$43</f>
        <v>95.93</v>
      </c>
      <c r="I33" s="209">
        <f>'DIA 26'!B$44</f>
        <v>551.21410000000003</v>
      </c>
    </row>
    <row r="34" spans="1:9" x14ac:dyDescent="0.25">
      <c r="A34" s="46">
        <f>'DIA 27'!B$6</f>
        <v>44769</v>
      </c>
      <c r="B34" s="208">
        <f>'DIA 27'!B$19</f>
        <v>1639</v>
      </c>
      <c r="C34" s="209">
        <f>'DIA 27'!B$20</f>
        <v>9429.49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41.25</v>
      </c>
      <c r="I34" s="209">
        <f>'DIA 27'!B$44</f>
        <v>237.1875</v>
      </c>
    </row>
    <row r="35" spans="1:9" x14ac:dyDescent="0.25">
      <c r="A35" s="46">
        <f>'DIA 28'!B$6</f>
        <v>44770</v>
      </c>
      <c r="B35" s="208">
        <f>'DIA 28'!B$19</f>
        <v>1823</v>
      </c>
      <c r="C35" s="209">
        <f>'DIA 28'!B$20</f>
        <v>10526.94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46.1</v>
      </c>
      <c r="I35" s="209">
        <f>'DIA 28'!B$44</f>
        <v>266.31669999999997</v>
      </c>
    </row>
    <row r="36" spans="1:9" x14ac:dyDescent="0.25">
      <c r="A36" s="46">
        <f>'DIA 29'!B$6</f>
        <v>44771</v>
      </c>
      <c r="B36" s="208">
        <f>'DIA 29'!B$19</f>
        <v>2287</v>
      </c>
      <c r="C36" s="209">
        <f>'DIA 29'!B$20</f>
        <v>13233.829999999998</v>
      </c>
      <c r="D36" s="209">
        <f>'DIA 29'!B$27</f>
        <v>5</v>
      </c>
      <c r="E36" s="209">
        <f>'DIA 29'!B$28</f>
        <v>29.47</v>
      </c>
      <c r="F36" s="209">
        <f>'DIA 29'!B$35</f>
        <v>55.46</v>
      </c>
      <c r="G36" s="209">
        <f>'DIA 29'!B$36</f>
        <v>321.11340000000001</v>
      </c>
      <c r="H36" s="209">
        <f>'DIA 29'!B$43</f>
        <v>47.97</v>
      </c>
      <c r="I36" s="209">
        <f>'DIA 29'!B$44</f>
        <v>277.74630000000002</v>
      </c>
    </row>
    <row r="37" spans="1:9" x14ac:dyDescent="0.25">
      <c r="A37" s="46">
        <f>'DIA 30'!B$6</f>
        <v>44772</v>
      </c>
      <c r="B37" s="208">
        <f>'DIA 30'!B$19</f>
        <v>2589</v>
      </c>
      <c r="C37" s="209">
        <f>'DIA 30'!B$20</f>
        <v>14990.31</v>
      </c>
      <c r="D37" s="209">
        <f>'DIA 30'!B$27</f>
        <v>0</v>
      </c>
      <c r="E37" s="209">
        <f>'DIA 30'!B$28</f>
        <v>0</v>
      </c>
      <c r="F37" s="209">
        <f>'DIA 30'!B$35</f>
        <v>69.459999999999994</v>
      </c>
      <c r="G37" s="209">
        <f>'DIA 30'!B$36</f>
        <v>402.17339999999996</v>
      </c>
      <c r="H37" s="209">
        <f>'DIA 30'!B$43</f>
        <v>38.090000000000003</v>
      </c>
      <c r="I37" s="209">
        <f>'DIA 30'!B$44</f>
        <v>220.54110000000003</v>
      </c>
    </row>
    <row r="38" spans="1:9" x14ac:dyDescent="0.25">
      <c r="A38" s="46">
        <f>'DIA 31'!B$6</f>
        <v>44773</v>
      </c>
      <c r="B38" s="208">
        <f>'DIA 31'!B$19</f>
        <v>2314</v>
      </c>
      <c r="C38" s="209">
        <f>'DIA 31'!B$20</f>
        <v>13398.06</v>
      </c>
      <c r="D38" s="209">
        <f>'DIA 31'!B$27</f>
        <v>0</v>
      </c>
      <c r="E38" s="209">
        <f>'DIA 31'!B$28</f>
        <v>0</v>
      </c>
      <c r="F38" s="209">
        <f>'DIA 31'!B$35</f>
        <v>142.44999999999999</v>
      </c>
      <c r="G38" s="209">
        <f>'DIA 31'!B$36</f>
        <v>824.78549999999996</v>
      </c>
      <c r="H38" s="209">
        <f>'DIA 31'!B$43</f>
        <v>20.68</v>
      </c>
      <c r="I38" s="209">
        <f>'DIA 31'!B$44</f>
        <v>119.7372</v>
      </c>
    </row>
    <row r="39" spans="1:9" x14ac:dyDescent="0.25">
      <c r="A39" s="32" t="s">
        <v>42</v>
      </c>
      <c r="B39" s="134">
        <f>SUM(B8:B38)</f>
        <v>68182</v>
      </c>
      <c r="C39" s="134"/>
      <c r="D39" s="134">
        <f>SUM(D8:D38)</f>
        <v>445</v>
      </c>
      <c r="E39" s="134">
        <f>SUM(F8:F38)</f>
        <v>1384.06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916289.00999999989</v>
      </c>
    </row>
    <row r="43" spans="1:9" x14ac:dyDescent="0.25">
      <c r="A43" s="36" t="s">
        <v>48</v>
      </c>
      <c r="B43" s="37">
        <f>B39/B42</f>
        <v>7.4411020164915007E-2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22" zoomScale="90" zoomScaleNormal="90" workbookViewId="0">
      <selection activeCell="K52" sqref="K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7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78"/>
      <c r="B2" s="315" t="s">
        <v>11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78"/>
      <c r="B3" s="316" t="s">
        <v>20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191</v>
      </c>
      <c r="C4" s="317"/>
      <c r="D4" s="317"/>
      <c r="E4" s="317"/>
      <c r="F4" s="317"/>
      <c r="G4" s="317"/>
      <c r="H4" s="317"/>
    </row>
    <row r="6" spans="1:28" x14ac:dyDescent="0.25">
      <c r="A6" s="7" t="s">
        <v>21</v>
      </c>
      <c r="B6" s="72">
        <v>44743</v>
      </c>
      <c r="D6" s="85" t="s">
        <v>22</v>
      </c>
      <c r="E6" s="8" t="s">
        <v>161</v>
      </c>
      <c r="F6" s="9"/>
      <c r="G6" s="9"/>
    </row>
    <row r="8" spans="1:28" x14ac:dyDescent="0.25">
      <c r="A8" s="7" t="s">
        <v>75</v>
      </c>
      <c r="B8" s="108">
        <v>5.54</v>
      </c>
      <c r="C8" s="85" t="s">
        <v>92</v>
      </c>
      <c r="D8" s="108">
        <v>5.8</v>
      </c>
    </row>
    <row r="9" spans="1:28" x14ac:dyDescent="0.25">
      <c r="A9" s="7" t="s">
        <v>76</v>
      </c>
      <c r="B9" s="108">
        <v>5.56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1476</v>
      </c>
      <c r="C12" s="15"/>
      <c r="D12" s="56"/>
      <c r="E12" s="16"/>
      <c r="F12" s="56"/>
      <c r="G12" s="56"/>
      <c r="H12" s="17"/>
      <c r="I12" s="83">
        <v>1476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190</v>
      </c>
      <c r="P12" s="158">
        <v>147</v>
      </c>
      <c r="Q12" s="158">
        <v>11</v>
      </c>
      <c r="R12" s="159">
        <v>2257.38</v>
      </c>
      <c r="S12" s="160"/>
      <c r="T12" s="160">
        <v>38.1</v>
      </c>
      <c r="U12" s="189">
        <f>((T12/U$10)*U$9)</f>
        <v>1.642241379310345</v>
      </c>
      <c r="V12" s="189">
        <f>R12*V$10</f>
        <v>16.930350000000001</v>
      </c>
      <c r="W12" s="189">
        <f>+S12*V$10</f>
        <v>0</v>
      </c>
      <c r="X12" s="189">
        <f>+T12*X$10</f>
        <v>0.95250000000000012</v>
      </c>
      <c r="Y12" s="189">
        <f>R12-V12</f>
        <v>2240.44965</v>
      </c>
      <c r="Z12" s="189">
        <f>S12-W12</f>
        <v>0</v>
      </c>
      <c r="AA12" s="189">
        <f>T12-U12-X12</f>
        <v>35.505258620689659</v>
      </c>
      <c r="AB12" s="156"/>
    </row>
    <row r="13" spans="1:28" ht="15.75" x14ac:dyDescent="0.25">
      <c r="A13" s="86" t="s">
        <v>74</v>
      </c>
      <c r="B13" s="89">
        <v>990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990</v>
      </c>
      <c r="K13" s="75"/>
      <c r="L13" s="186">
        <f t="shared" ref="L13:L28" si="1">+G13-K13</f>
        <v>0</v>
      </c>
      <c r="M13" s="106"/>
      <c r="N13" s="104">
        <v>2</v>
      </c>
      <c r="O13" s="152" t="s">
        <v>190</v>
      </c>
      <c r="P13" s="158">
        <v>148</v>
      </c>
      <c r="Q13" s="158">
        <v>11</v>
      </c>
      <c r="R13" s="159">
        <v>1337.95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10.034625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1327.915375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5484.6</v>
      </c>
      <c r="C14" s="15"/>
      <c r="D14" s="56"/>
      <c r="E14" s="16"/>
      <c r="F14" s="56"/>
      <c r="G14" s="56"/>
      <c r="H14" s="17"/>
      <c r="I14" s="83"/>
      <c r="J14" s="81">
        <f t="shared" si="0"/>
        <v>5484.6</v>
      </c>
      <c r="K14" s="80"/>
      <c r="L14" s="186">
        <f t="shared" si="1"/>
        <v>0</v>
      </c>
      <c r="M14" s="107"/>
      <c r="N14" s="104">
        <v>3</v>
      </c>
      <c r="O14" s="152" t="s">
        <v>190</v>
      </c>
      <c r="P14" s="158">
        <v>532</v>
      </c>
      <c r="Q14" s="158">
        <v>2</v>
      </c>
      <c r="R14" s="159">
        <v>1340.48</v>
      </c>
      <c r="S14" s="160"/>
      <c r="T14" s="161">
        <v>22.63</v>
      </c>
      <c r="U14" s="189">
        <f t="shared" si="2"/>
        <v>0.97543103448275881</v>
      </c>
      <c r="V14" s="189">
        <f t="shared" si="3"/>
        <v>10.053599999999999</v>
      </c>
      <c r="W14" s="189">
        <f t="shared" si="4"/>
        <v>0</v>
      </c>
      <c r="X14" s="189">
        <f t="shared" si="5"/>
        <v>0.56574999999999998</v>
      </c>
      <c r="Y14" s="189">
        <f t="shared" si="6"/>
        <v>1330.4264000000001</v>
      </c>
      <c r="Z14" s="189">
        <f t="shared" si="7"/>
        <v>0</v>
      </c>
      <c r="AA14" s="189">
        <f t="shared" si="8"/>
        <v>21.088818965517238</v>
      </c>
      <c r="AB14" s="156"/>
    </row>
    <row r="15" spans="1:28" ht="15.75" x14ac:dyDescent="0.25">
      <c r="A15" s="86" t="s">
        <v>77</v>
      </c>
      <c r="B15" s="56">
        <v>1309</v>
      </c>
      <c r="C15" s="15"/>
      <c r="D15" s="56"/>
      <c r="E15" s="16"/>
      <c r="F15" s="56"/>
      <c r="G15" s="56"/>
      <c r="H15" s="17"/>
      <c r="I15" s="83"/>
      <c r="J15" s="81">
        <f t="shared" si="0"/>
        <v>1309</v>
      </c>
      <c r="K15" s="80"/>
      <c r="L15" s="186">
        <f t="shared" si="1"/>
        <v>0</v>
      </c>
      <c r="M15" s="107"/>
      <c r="N15" s="104">
        <v>4</v>
      </c>
      <c r="O15" s="152" t="s">
        <v>190</v>
      </c>
      <c r="P15" s="158">
        <v>533</v>
      </c>
      <c r="Q15" s="158">
        <v>2</v>
      </c>
      <c r="R15" s="159">
        <v>2239.75</v>
      </c>
      <c r="S15" s="160"/>
      <c r="T15" s="161"/>
      <c r="U15" s="189">
        <f t="shared" si="2"/>
        <v>0</v>
      </c>
      <c r="V15" s="189">
        <f t="shared" si="3"/>
        <v>16.798124999999999</v>
      </c>
      <c r="W15" s="189">
        <f t="shared" si="4"/>
        <v>0</v>
      </c>
      <c r="X15" s="189">
        <f t="shared" si="5"/>
        <v>0</v>
      </c>
      <c r="Y15" s="189">
        <f t="shared" si="6"/>
        <v>2222.9518750000002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81</v>
      </c>
      <c r="B16" s="57">
        <f>B15*B9</f>
        <v>7278.0399999999991</v>
      </c>
      <c r="C16" s="15"/>
      <c r="D16" s="56"/>
      <c r="E16" s="16"/>
      <c r="F16" s="56"/>
      <c r="G16" s="56"/>
      <c r="H16" s="17"/>
      <c r="I16" s="83"/>
      <c r="J16" s="81">
        <f t="shared" si="0"/>
        <v>7278.0399999999991</v>
      </c>
      <c r="K16" s="80"/>
      <c r="L16" s="186">
        <f t="shared" si="1"/>
        <v>0</v>
      </c>
      <c r="M16" s="107"/>
      <c r="N16" s="104">
        <v>5</v>
      </c>
      <c r="O16" s="152" t="s">
        <v>190</v>
      </c>
      <c r="P16" s="158">
        <v>513</v>
      </c>
      <c r="Q16" s="158">
        <v>4</v>
      </c>
      <c r="R16" s="159">
        <v>1134.69</v>
      </c>
      <c r="S16" s="160"/>
      <c r="T16" s="161"/>
      <c r="U16" s="189">
        <f t="shared" si="2"/>
        <v>0</v>
      </c>
      <c r="V16" s="189">
        <f t="shared" si="3"/>
        <v>8.5101750000000003</v>
      </c>
      <c r="W16" s="189">
        <f t="shared" si="4"/>
        <v>0</v>
      </c>
      <c r="X16" s="189">
        <f t="shared" si="5"/>
        <v>0</v>
      </c>
      <c r="Y16" s="189">
        <f t="shared" si="6"/>
        <v>1126.1798250000002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190</v>
      </c>
      <c r="P17" s="158">
        <v>514</v>
      </c>
      <c r="Q17" s="158">
        <v>4</v>
      </c>
      <c r="R17" s="159">
        <v>1949.56</v>
      </c>
      <c r="S17" s="160"/>
      <c r="T17" s="161"/>
      <c r="U17" s="189">
        <f t="shared" si="2"/>
        <v>0</v>
      </c>
      <c r="V17" s="189">
        <f t="shared" si="3"/>
        <v>14.621699999999999</v>
      </c>
      <c r="W17" s="189">
        <f t="shared" si="4"/>
        <v>0</v>
      </c>
      <c r="X17" s="189">
        <f t="shared" si="5"/>
        <v>0</v>
      </c>
      <c r="Y17" s="189">
        <f t="shared" si="6"/>
        <v>1934.9383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190</v>
      </c>
      <c r="P18" s="158">
        <v>537</v>
      </c>
      <c r="Q18" s="158">
        <v>14</v>
      </c>
      <c r="R18" s="159">
        <v>507.17</v>
      </c>
      <c r="S18" s="160"/>
      <c r="T18" s="161"/>
      <c r="U18" s="189">
        <f t="shared" si="2"/>
        <v>0</v>
      </c>
      <c r="V18" s="189">
        <f t="shared" si="3"/>
        <v>3.8037749999999999</v>
      </c>
      <c r="W18" s="189">
        <f t="shared" si="4"/>
        <v>0</v>
      </c>
      <c r="X18" s="189">
        <f t="shared" si="5"/>
        <v>0</v>
      </c>
      <c r="Y18" s="189">
        <f t="shared" si="6"/>
        <v>503.36622500000004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2299</v>
      </c>
      <c r="C19" s="95"/>
      <c r="D19" s="94"/>
      <c r="E19" s="96"/>
      <c r="F19" s="94"/>
      <c r="G19" s="94"/>
      <c r="H19" s="98"/>
      <c r="I19" s="99"/>
      <c r="J19" s="185">
        <f>B19-I19</f>
        <v>2299</v>
      </c>
      <c r="K19" s="99"/>
      <c r="L19" s="187">
        <f t="shared" si="1"/>
        <v>0</v>
      </c>
      <c r="M19" s="107"/>
      <c r="N19" s="104">
        <v>8</v>
      </c>
      <c r="O19" s="152" t="s">
        <v>190</v>
      </c>
      <c r="P19" s="158">
        <v>161</v>
      </c>
      <c r="Q19" s="158">
        <v>10</v>
      </c>
      <c r="R19" s="159">
        <v>1096.53</v>
      </c>
      <c r="S19" s="160"/>
      <c r="T19" s="161"/>
      <c r="U19" s="189">
        <f t="shared" si="2"/>
        <v>0</v>
      </c>
      <c r="V19" s="189">
        <f t="shared" si="3"/>
        <v>8.2239749999999994</v>
      </c>
      <c r="W19" s="189">
        <f t="shared" si="4"/>
        <v>0</v>
      </c>
      <c r="X19" s="189">
        <f t="shared" si="5"/>
        <v>0</v>
      </c>
      <c r="Y19" s="189">
        <f t="shared" si="6"/>
        <v>1088.3060249999999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12762.64</v>
      </c>
      <c r="C20" s="95"/>
      <c r="D20" s="94"/>
      <c r="E20" s="96"/>
      <c r="F20" s="94"/>
      <c r="G20" s="94"/>
      <c r="H20" s="98"/>
      <c r="I20" s="99">
        <v>12782.44</v>
      </c>
      <c r="J20" s="185">
        <f t="shared" si="0"/>
        <v>-19.800000000001091</v>
      </c>
      <c r="K20" s="99"/>
      <c r="L20" s="187">
        <f t="shared" si="1"/>
        <v>0</v>
      </c>
      <c r="M20" s="107"/>
      <c r="N20" s="104">
        <v>9</v>
      </c>
      <c r="O20" s="152" t="s">
        <v>190</v>
      </c>
      <c r="P20" s="158">
        <v>162</v>
      </c>
      <c r="Q20" s="158">
        <v>10</v>
      </c>
      <c r="R20" s="159">
        <v>1868.07</v>
      </c>
      <c r="S20" s="160"/>
      <c r="T20" s="161"/>
      <c r="U20" s="189">
        <f t="shared" si="2"/>
        <v>0</v>
      </c>
      <c r="V20" s="189">
        <f t="shared" si="3"/>
        <v>14.010524999999999</v>
      </c>
      <c r="W20" s="189">
        <f t="shared" si="4"/>
        <v>0</v>
      </c>
      <c r="X20" s="189">
        <f t="shared" si="5"/>
        <v>0</v>
      </c>
      <c r="Y20" s="189">
        <f t="shared" si="6"/>
        <v>1854.059475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190</v>
      </c>
      <c r="P21" s="158">
        <v>596</v>
      </c>
      <c r="Q21" s="158">
        <v>18</v>
      </c>
      <c r="R21" s="159">
        <v>602.27</v>
      </c>
      <c r="S21" s="160"/>
      <c r="T21" s="161">
        <v>226.57</v>
      </c>
      <c r="U21" s="189">
        <f t="shared" si="2"/>
        <v>9.7659482758620708</v>
      </c>
      <c r="V21" s="189">
        <f t="shared" si="3"/>
        <v>4.5170249999999994</v>
      </c>
      <c r="W21" s="189">
        <f t="shared" si="4"/>
        <v>0</v>
      </c>
      <c r="X21" s="189">
        <f t="shared" si="5"/>
        <v>5.66425</v>
      </c>
      <c r="Y21" s="189">
        <f t="shared" si="6"/>
        <v>597.75297499999999</v>
      </c>
      <c r="Z21" s="189">
        <f t="shared" si="7"/>
        <v>0</v>
      </c>
      <c r="AA21" s="189">
        <f t="shared" si="8"/>
        <v>211.13980172413793</v>
      </c>
      <c r="AB21" s="156"/>
    </row>
    <row r="22" spans="1:28" ht="15.75" x14ac:dyDescent="0.25">
      <c r="A22" s="86" t="s">
        <v>85</v>
      </c>
      <c r="B22" s="57">
        <f>B21*D8</f>
        <v>290</v>
      </c>
      <c r="C22" s="100"/>
      <c r="D22" s="66"/>
      <c r="E22" s="67"/>
      <c r="F22" s="66"/>
      <c r="G22" s="66"/>
      <c r="H22" s="102"/>
      <c r="I22" s="79">
        <v>290</v>
      </c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190</v>
      </c>
      <c r="P22" s="158">
        <v>597</v>
      </c>
      <c r="Q22" s="158">
        <v>18</v>
      </c>
      <c r="R22" s="162">
        <v>895.55</v>
      </c>
      <c r="S22" s="160"/>
      <c r="T22" s="160"/>
      <c r="U22" s="189">
        <f t="shared" si="2"/>
        <v>0</v>
      </c>
      <c r="V22" s="189">
        <f t="shared" si="3"/>
        <v>6.7166249999999996</v>
      </c>
      <c r="W22" s="189">
        <f t="shared" si="4"/>
        <v>0</v>
      </c>
      <c r="X22" s="189">
        <f t="shared" si="5"/>
        <v>0</v>
      </c>
      <c r="Y22" s="189">
        <f t="shared" si="6"/>
        <v>888.83337499999993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190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190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190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50</v>
      </c>
      <c r="C27" s="95"/>
      <c r="D27" s="94"/>
      <c r="E27" s="96"/>
      <c r="F27" s="94"/>
      <c r="G27" s="94"/>
      <c r="H27" s="98"/>
      <c r="I27" s="99"/>
      <c r="J27" s="185">
        <f t="shared" si="0"/>
        <v>50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290</v>
      </c>
      <c r="C28" s="95"/>
      <c r="D28" s="94"/>
      <c r="E28" s="96"/>
      <c r="F28" s="94"/>
      <c r="G28" s="94"/>
      <c r="H28" s="98"/>
      <c r="I28" s="99"/>
      <c r="J28" s="185">
        <f t="shared" si="0"/>
        <v>290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>
        <v>56.48</v>
      </c>
      <c r="C29" s="100"/>
      <c r="D29" s="66"/>
      <c r="E29" s="67"/>
      <c r="F29" s="66"/>
      <c r="G29" s="66"/>
      <c r="H29" s="102"/>
      <c r="I29" s="79">
        <f>32.49+132.9</f>
        <v>165.39000000000001</v>
      </c>
      <c r="J29" s="81">
        <f t="shared" si="0"/>
        <v>-108.91000000000003</v>
      </c>
      <c r="K29" s="80">
        <f>32.49+23.99</f>
        <v>56.480000000000004</v>
      </c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312.89920000000001</v>
      </c>
      <c r="C30" s="100"/>
      <c r="D30" s="66"/>
      <c r="E30" s="67"/>
      <c r="F30" s="66"/>
      <c r="G30" s="66"/>
      <c r="H30" s="102"/>
      <c r="I30" s="79">
        <v>312.89999999999998</v>
      </c>
      <c r="J30" s="81">
        <f t="shared" si="0"/>
        <v>-7.9999999996971383E-4</v>
      </c>
      <c r="K30" s="80">
        <v>312.89999999999998</v>
      </c>
      <c r="L30" s="186">
        <f>K30-B30</f>
        <v>7.9999999996971383E-4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ref="L33:L42" si="9">+G33-K33</f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56.48</v>
      </c>
      <c r="C35" s="95"/>
      <c r="D35" s="94"/>
      <c r="E35" s="96"/>
      <c r="F35" s="94"/>
      <c r="G35" s="94"/>
      <c r="H35" s="98"/>
      <c r="I35" s="99">
        <v>56.48</v>
      </c>
      <c r="J35" s="185">
        <f t="shared" si="0"/>
        <v>0</v>
      </c>
      <c r="K35" s="99">
        <v>56.48</v>
      </c>
      <c r="L35" s="187">
        <f t="shared" ref="L35:L40" si="10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312.89920000000001</v>
      </c>
      <c r="C36" s="95"/>
      <c r="D36" s="94"/>
      <c r="E36" s="96"/>
      <c r="F36" s="94"/>
      <c r="G36" s="94"/>
      <c r="H36" s="98"/>
      <c r="I36" s="99">
        <v>312.89999999999998</v>
      </c>
      <c r="J36" s="185">
        <f t="shared" si="0"/>
        <v>-7.9999999996971383E-4</v>
      </c>
      <c r="K36" s="99">
        <v>312.89999999999998</v>
      </c>
      <c r="L36" s="187">
        <f t="shared" si="10"/>
        <v>7.9999999996971383E-4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>
        <v>38.090000000000003</v>
      </c>
      <c r="C37" s="100"/>
      <c r="D37" s="66"/>
      <c r="E37" s="67"/>
      <c r="F37" s="66"/>
      <c r="G37" s="66"/>
      <c r="H37" s="102"/>
      <c r="I37" s="79"/>
      <c r="J37" s="81">
        <f t="shared" si="0"/>
        <v>38.090000000000003</v>
      </c>
      <c r="K37" s="80">
        <v>38.090000000000003</v>
      </c>
      <c r="L37" s="186">
        <f t="shared" si="10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211.01860000000002</v>
      </c>
      <c r="C38" s="100"/>
      <c r="D38" s="66"/>
      <c r="E38" s="67"/>
      <c r="F38" s="66"/>
      <c r="G38" s="66"/>
      <c r="H38" s="102"/>
      <c r="I38" s="79"/>
      <c r="J38" s="81">
        <f t="shared" si="0"/>
        <v>211.01860000000002</v>
      </c>
      <c r="K38" s="80">
        <v>211.02</v>
      </c>
      <c r="L38" s="186">
        <f t="shared" si="10"/>
        <v>1.3999999999896318E-3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>
        <v>51.29</v>
      </c>
      <c r="C39" s="100"/>
      <c r="D39" s="66"/>
      <c r="E39" s="67"/>
      <c r="F39" s="66"/>
      <c r="G39" s="66"/>
      <c r="H39" s="102"/>
      <c r="I39" s="79"/>
      <c r="J39" s="81">
        <f t="shared" si="0"/>
        <v>51.29</v>
      </c>
      <c r="K39" s="80">
        <v>51.29</v>
      </c>
      <c r="L39" s="186">
        <f t="shared" si="10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285.17239999999998</v>
      </c>
      <c r="C40" s="100"/>
      <c r="D40" s="66"/>
      <c r="E40" s="67"/>
      <c r="F40" s="66"/>
      <c r="G40" s="66"/>
      <c r="H40" s="102"/>
      <c r="I40" s="79"/>
      <c r="J40" s="81">
        <f t="shared" si="0"/>
        <v>285.17239999999998</v>
      </c>
      <c r="K40" s="80">
        <v>285.17</v>
      </c>
      <c r="L40" s="186">
        <f t="shared" si="10"/>
        <v>-2.3999999999659849E-3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12" t="s">
        <v>105</v>
      </c>
      <c r="O42" s="313"/>
      <c r="P42" s="313"/>
      <c r="Q42" s="314"/>
      <c r="R42" s="190">
        <f t="shared" ref="R42:Y42" si="11">SUM(R12:R41)</f>
        <v>15229.4</v>
      </c>
      <c r="S42" s="190">
        <f t="shared" si="11"/>
        <v>0</v>
      </c>
      <c r="T42" s="190">
        <f t="shared" si="11"/>
        <v>287.3</v>
      </c>
      <c r="U42" s="190">
        <f t="shared" si="11"/>
        <v>12.383620689655174</v>
      </c>
      <c r="V42" s="190">
        <f t="shared" si="11"/>
        <v>114.2205</v>
      </c>
      <c r="W42" s="190">
        <f t="shared" si="11"/>
        <v>0</v>
      </c>
      <c r="X42" s="190">
        <f t="shared" si="11"/>
        <v>7.1825000000000001</v>
      </c>
      <c r="Y42" s="190">
        <f t="shared" si="11"/>
        <v>15115.1795</v>
      </c>
      <c r="Z42" s="190">
        <f t="shared" ref="Z42" si="12">SUM(Z12:Z41)</f>
        <v>0</v>
      </c>
      <c r="AA42" s="190">
        <f t="shared" ref="AA42" si="13">SUM(AA12:AA41)</f>
        <v>267.73387931034483</v>
      </c>
      <c r="AB42" s="166"/>
    </row>
    <row r="43" spans="1:28" ht="15.75" x14ac:dyDescent="0.25">
      <c r="A43" s="93" t="s">
        <v>101</v>
      </c>
      <c r="B43" s="97">
        <f>+B37+B39+B41</f>
        <v>89.38</v>
      </c>
      <c r="C43" s="95"/>
      <c r="D43" s="94"/>
      <c r="E43" s="96"/>
      <c r="F43" s="94"/>
      <c r="G43" s="94"/>
      <c r="H43" s="98"/>
      <c r="I43" s="99"/>
      <c r="J43" s="185">
        <f t="shared" si="0"/>
        <v>89.38</v>
      </c>
      <c r="K43" s="99">
        <v>89.39</v>
      </c>
      <c r="L43" s="187">
        <f>K43-B43</f>
        <v>1.0000000000005116E-2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4">((T43/U$10)*U$9)</f>
        <v>0</v>
      </c>
      <c r="V43" s="189">
        <f t="shared" ref="V43" si="15">R43*V$10</f>
        <v>0</v>
      </c>
      <c r="W43" s="189">
        <f t="shared" ref="W43" si="16">+S43*V$10</f>
        <v>0</v>
      </c>
      <c r="X43" s="189">
        <f t="shared" ref="X43" si="17">+T43*X$10</f>
        <v>0</v>
      </c>
      <c r="Y43" s="189">
        <f t="shared" ref="Y43" si="18">R43-V43</f>
        <v>0</v>
      </c>
      <c r="Z43" s="189">
        <f t="shared" ref="Z43" si="19">S43-W43</f>
        <v>0</v>
      </c>
      <c r="AA43" s="189">
        <f t="shared" ref="AA43" si="20">T43-U43-X43</f>
        <v>0</v>
      </c>
      <c r="AB43" s="156"/>
    </row>
    <row r="44" spans="1:28" ht="15.75" x14ac:dyDescent="0.25">
      <c r="A44" s="93" t="s">
        <v>102</v>
      </c>
      <c r="B44" s="97">
        <f>+B38+B40+B42</f>
        <v>496.19100000000003</v>
      </c>
      <c r="C44" s="95"/>
      <c r="D44" s="94"/>
      <c r="E44" s="96"/>
      <c r="F44" s="94"/>
      <c r="G44" s="94"/>
      <c r="H44" s="98"/>
      <c r="I44" s="99"/>
      <c r="J44" s="185">
        <f t="shared" si="0"/>
        <v>496.19100000000003</v>
      </c>
      <c r="K44" s="99">
        <v>496.19</v>
      </c>
      <c r="L44" s="187">
        <f>K44-B44</f>
        <v>-1.0000000000331966E-3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ref="U44:U62" si="21">((T44/U$10)*U$9)</f>
        <v>0</v>
      </c>
      <c r="V44" s="189">
        <f t="shared" ref="V44:V62" si="22">R44*V$10</f>
        <v>0</v>
      </c>
      <c r="W44" s="189">
        <f t="shared" ref="W44:W62" si="23">+S44*V$10</f>
        <v>0</v>
      </c>
      <c r="X44" s="189">
        <f t="shared" ref="X44:X62" si="24">+T44*X$10</f>
        <v>0</v>
      </c>
      <c r="Y44" s="189">
        <f t="shared" ref="Y44:Y62" si="25">R44-V44</f>
        <v>0</v>
      </c>
      <c r="Z44" s="189">
        <f t="shared" ref="Z44:Z62" si="26">S44-W44</f>
        <v>0</v>
      </c>
      <c r="AA44" s="189">
        <f t="shared" ref="AA44:AA62" si="27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21"/>
        <v>0</v>
      </c>
      <c r="V45" s="189">
        <f t="shared" si="22"/>
        <v>0</v>
      </c>
      <c r="W45" s="189">
        <f t="shared" si="23"/>
        <v>0</v>
      </c>
      <c r="X45" s="189">
        <f t="shared" si="24"/>
        <v>0</v>
      </c>
      <c r="Y45" s="189">
        <f t="shared" si="25"/>
        <v>0</v>
      </c>
      <c r="Z45" s="189">
        <f t="shared" si="26"/>
        <v>0</v>
      </c>
      <c r="AA45" s="189">
        <f t="shared" si="27"/>
        <v>0</v>
      </c>
      <c r="AB45" s="156"/>
    </row>
    <row r="46" spans="1:28" ht="15.75" x14ac:dyDescent="0.25">
      <c r="A46" s="115" t="s">
        <v>27</v>
      </c>
      <c r="B46" s="117">
        <f>R42</f>
        <v>15229.4</v>
      </c>
      <c r="C46" s="116">
        <v>7.4999999999999997E-3</v>
      </c>
      <c r="D46" s="117">
        <f>B46*C46</f>
        <v>114.22049999999999</v>
      </c>
      <c r="E46" s="172">
        <v>0</v>
      </c>
      <c r="F46" s="117">
        <f t="shared" ref="F46:F50" si="28">D46*E46</f>
        <v>0</v>
      </c>
      <c r="G46" s="117">
        <f t="shared" ref="G46:G51" si="29">B46-D46-F46</f>
        <v>15115.1795</v>
      </c>
      <c r="H46" s="173">
        <f>B$6+1</f>
        <v>44744</v>
      </c>
      <c r="I46" s="174">
        <v>15229.4</v>
      </c>
      <c r="J46" s="81">
        <f t="shared" si="0"/>
        <v>0</v>
      </c>
      <c r="K46" s="80">
        <v>15139.45</v>
      </c>
      <c r="L46" s="186">
        <f>K46-G46</f>
        <v>24.270500000000538</v>
      </c>
      <c r="M46" s="107"/>
      <c r="N46" s="104">
        <v>4</v>
      </c>
      <c r="O46" s="167" t="s">
        <v>69</v>
      </c>
      <c r="P46" s="158"/>
      <c r="Q46" s="158"/>
      <c r="R46" s="160"/>
      <c r="S46" s="155"/>
      <c r="T46" s="155"/>
      <c r="U46" s="189">
        <f t="shared" si="21"/>
        <v>0</v>
      </c>
      <c r="V46" s="189">
        <f t="shared" si="22"/>
        <v>0</v>
      </c>
      <c r="W46" s="189">
        <f t="shared" si="23"/>
        <v>0</v>
      </c>
      <c r="X46" s="189">
        <f t="shared" si="24"/>
        <v>0</v>
      </c>
      <c r="Y46" s="189">
        <f t="shared" si="25"/>
        <v>0</v>
      </c>
      <c r="Z46" s="189">
        <f t="shared" si="26"/>
        <v>0</v>
      </c>
      <c r="AA46" s="189">
        <f t="shared" si="27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30">B47*C47</f>
        <v>0</v>
      </c>
      <c r="E47" s="172">
        <v>0</v>
      </c>
      <c r="F47" s="117">
        <f t="shared" si="28"/>
        <v>0</v>
      </c>
      <c r="G47" s="117">
        <f t="shared" si="29"/>
        <v>0</v>
      </c>
      <c r="H47" s="173">
        <f>B$6+1</f>
        <v>44744</v>
      </c>
      <c r="I47" s="175"/>
      <c r="J47" s="81">
        <f t="shared" si="0"/>
        <v>0</v>
      </c>
      <c r="K47" s="80"/>
      <c r="L47" s="186">
        <f t="shared" ref="L47:L64" si="31">+G47-K47</f>
        <v>0</v>
      </c>
      <c r="M47" s="107"/>
      <c r="N47" s="104">
        <v>5</v>
      </c>
      <c r="O47" s="167" t="s">
        <v>69</v>
      </c>
      <c r="P47" s="158"/>
      <c r="Q47" s="158"/>
      <c r="R47" s="160"/>
      <c r="S47" s="155"/>
      <c r="T47" s="155"/>
      <c r="U47" s="189">
        <f t="shared" si="21"/>
        <v>0</v>
      </c>
      <c r="V47" s="189">
        <f t="shared" si="22"/>
        <v>0</v>
      </c>
      <c r="W47" s="189">
        <f t="shared" si="23"/>
        <v>0</v>
      </c>
      <c r="X47" s="189">
        <f t="shared" si="24"/>
        <v>0</v>
      </c>
      <c r="Y47" s="189">
        <f t="shared" si="25"/>
        <v>0</v>
      </c>
      <c r="Z47" s="189">
        <f t="shared" si="26"/>
        <v>0</v>
      </c>
      <c r="AA47" s="189">
        <f t="shared" si="27"/>
        <v>0</v>
      </c>
      <c r="AB47" s="156"/>
    </row>
    <row r="48" spans="1:28" ht="15.75" x14ac:dyDescent="0.25">
      <c r="A48" s="115" t="s">
        <v>170</v>
      </c>
      <c r="B48" s="117">
        <f>R69</f>
        <v>239.04</v>
      </c>
      <c r="C48" s="116">
        <v>7.4999999999999997E-3</v>
      </c>
      <c r="D48" s="117">
        <f t="shared" si="30"/>
        <v>1.7927999999999999</v>
      </c>
      <c r="E48" s="172">
        <v>0</v>
      </c>
      <c r="F48" s="117">
        <f t="shared" si="28"/>
        <v>0</v>
      </c>
      <c r="G48" s="117">
        <f t="shared" si="29"/>
        <v>237.24719999999999</v>
      </c>
      <c r="H48" s="173">
        <f t="shared" ref="H48:H61" si="32">B$6+1</f>
        <v>44744</v>
      </c>
      <c r="I48" s="176">
        <v>239.04</v>
      </c>
      <c r="J48" s="81">
        <f t="shared" si="0"/>
        <v>0</v>
      </c>
      <c r="K48" s="80"/>
      <c r="L48" s="186">
        <f t="shared" si="31"/>
        <v>237.24719999999999</v>
      </c>
      <c r="M48" s="107"/>
      <c r="N48" s="104">
        <v>6</v>
      </c>
      <c r="O48" s="167" t="s">
        <v>69</v>
      </c>
      <c r="P48" s="158"/>
      <c r="Q48" s="158"/>
      <c r="R48" s="160"/>
      <c r="S48" s="155"/>
      <c r="T48" s="155"/>
      <c r="U48" s="189">
        <f t="shared" si="21"/>
        <v>0</v>
      </c>
      <c r="V48" s="189">
        <f t="shared" si="22"/>
        <v>0</v>
      </c>
      <c r="W48" s="189">
        <f t="shared" si="23"/>
        <v>0</v>
      </c>
      <c r="X48" s="189">
        <f t="shared" si="24"/>
        <v>0</v>
      </c>
      <c r="Y48" s="189">
        <f t="shared" si="25"/>
        <v>0</v>
      </c>
      <c r="Z48" s="189">
        <f t="shared" si="26"/>
        <v>0</v>
      </c>
      <c r="AA48" s="189">
        <f t="shared" si="27"/>
        <v>0</v>
      </c>
      <c r="AB48" s="156"/>
    </row>
    <row r="49" spans="1:28" ht="15.75" x14ac:dyDescent="0.25">
      <c r="A49" s="115" t="s">
        <v>168</v>
      </c>
      <c r="B49" s="117">
        <f>R75</f>
        <v>2615.5299999999997</v>
      </c>
      <c r="C49" s="116">
        <v>7.4999999999999997E-3</v>
      </c>
      <c r="D49" s="117">
        <f t="shared" si="30"/>
        <v>19.616474999999998</v>
      </c>
      <c r="E49" s="172">
        <v>0</v>
      </c>
      <c r="F49" s="117">
        <f t="shared" si="28"/>
        <v>0</v>
      </c>
      <c r="G49" s="117">
        <f t="shared" si="29"/>
        <v>2595.9135249999999</v>
      </c>
      <c r="H49" s="173">
        <f t="shared" si="32"/>
        <v>44744</v>
      </c>
      <c r="I49" s="176">
        <v>2055.5300000000002</v>
      </c>
      <c r="J49" s="81">
        <f t="shared" si="0"/>
        <v>559.99999999999955</v>
      </c>
      <c r="K49" s="80"/>
      <c r="L49" s="186">
        <f t="shared" si="31"/>
        <v>2595.9135249999999</v>
      </c>
      <c r="M49" s="107"/>
      <c r="N49" s="104">
        <v>7</v>
      </c>
      <c r="O49" s="167" t="s">
        <v>69</v>
      </c>
      <c r="P49" s="158"/>
      <c r="Q49" s="158"/>
      <c r="R49" s="160"/>
      <c r="S49" s="155"/>
      <c r="T49" s="155"/>
      <c r="U49" s="189">
        <f t="shared" si="21"/>
        <v>0</v>
      </c>
      <c r="V49" s="189">
        <f t="shared" si="22"/>
        <v>0</v>
      </c>
      <c r="W49" s="189">
        <f t="shared" si="23"/>
        <v>0</v>
      </c>
      <c r="X49" s="189">
        <f t="shared" si="24"/>
        <v>0</v>
      </c>
      <c r="Y49" s="189">
        <f t="shared" si="25"/>
        <v>0</v>
      </c>
      <c r="Z49" s="189">
        <f t="shared" si="26"/>
        <v>0</v>
      </c>
      <c r="AA49" s="189">
        <f t="shared" si="27"/>
        <v>0</v>
      </c>
      <c r="AB49" s="156"/>
    </row>
    <row r="50" spans="1:28" ht="15.75" x14ac:dyDescent="0.25">
      <c r="A50" s="115" t="s">
        <v>61</v>
      </c>
      <c r="B50" s="171">
        <f>P98+Q98</f>
        <v>2225.9900000000002</v>
      </c>
      <c r="C50" s="116">
        <v>7.4999999999999997E-3</v>
      </c>
      <c r="D50" s="117">
        <f t="shared" si="30"/>
        <v>16.694925000000001</v>
      </c>
      <c r="E50" s="172">
        <v>0</v>
      </c>
      <c r="F50" s="117">
        <f t="shared" si="28"/>
        <v>0</v>
      </c>
      <c r="G50" s="117">
        <f t="shared" si="29"/>
        <v>2209.2950750000005</v>
      </c>
      <c r="H50" s="173">
        <f t="shared" si="32"/>
        <v>44744</v>
      </c>
      <c r="I50" s="175">
        <v>2847.28</v>
      </c>
      <c r="J50" s="81">
        <f t="shared" si="0"/>
        <v>-621.29</v>
      </c>
      <c r="K50" s="80"/>
      <c r="L50" s="186">
        <f t="shared" si="31"/>
        <v>2209.2950750000005</v>
      </c>
      <c r="M50" s="107"/>
      <c r="N50" s="104">
        <v>8</v>
      </c>
      <c r="O50" s="167" t="s">
        <v>69</v>
      </c>
      <c r="P50" s="158"/>
      <c r="Q50" s="158"/>
      <c r="R50" s="160"/>
      <c r="S50" s="155"/>
      <c r="T50" s="155"/>
      <c r="U50" s="189">
        <f t="shared" si="21"/>
        <v>0</v>
      </c>
      <c r="V50" s="189">
        <f t="shared" si="22"/>
        <v>0</v>
      </c>
      <c r="W50" s="189">
        <f t="shared" si="23"/>
        <v>0</v>
      </c>
      <c r="X50" s="189">
        <f t="shared" si="24"/>
        <v>0</v>
      </c>
      <c r="Y50" s="189">
        <f t="shared" si="25"/>
        <v>0</v>
      </c>
      <c r="Z50" s="189">
        <f t="shared" si="26"/>
        <v>0</v>
      </c>
      <c r="AA50" s="189">
        <f t="shared" si="27"/>
        <v>0</v>
      </c>
      <c r="AB50" s="156"/>
    </row>
    <row r="51" spans="1:28" ht="15.75" x14ac:dyDescent="0.25">
      <c r="A51" s="115" t="s">
        <v>67</v>
      </c>
      <c r="B51" s="117">
        <f>U98+V98</f>
        <v>620.8900000000001</v>
      </c>
      <c r="C51" s="116">
        <v>1.4999999999999999E-2</v>
      </c>
      <c r="D51" s="117">
        <f>+B51*C51</f>
        <v>9.3133500000000016</v>
      </c>
      <c r="E51" s="172">
        <v>0</v>
      </c>
      <c r="F51" s="117">
        <f>D51*E51</f>
        <v>0</v>
      </c>
      <c r="G51" s="117">
        <f t="shared" si="29"/>
        <v>611.57665000000009</v>
      </c>
      <c r="H51" s="173">
        <f t="shared" si="32"/>
        <v>44744</v>
      </c>
      <c r="I51" s="175"/>
      <c r="J51" s="81">
        <f t="shared" si="0"/>
        <v>620.8900000000001</v>
      </c>
      <c r="K51" s="80"/>
      <c r="L51" s="186">
        <f t="shared" si="31"/>
        <v>611.57665000000009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1"/>
        <v>0</v>
      </c>
      <c r="V51" s="189">
        <f t="shared" si="22"/>
        <v>0</v>
      </c>
      <c r="W51" s="189">
        <f t="shared" si="23"/>
        <v>0</v>
      </c>
      <c r="X51" s="189">
        <f t="shared" si="24"/>
        <v>0</v>
      </c>
      <c r="Y51" s="189">
        <f t="shared" si="25"/>
        <v>0</v>
      </c>
      <c r="Z51" s="189">
        <f t="shared" si="26"/>
        <v>0</v>
      </c>
      <c r="AA51" s="189">
        <f t="shared" si="27"/>
        <v>0</v>
      </c>
      <c r="AB51" s="156"/>
    </row>
    <row r="52" spans="1:28" ht="15.75" x14ac:dyDescent="0.25">
      <c r="A52" s="115" t="s">
        <v>117</v>
      </c>
      <c r="B52" s="117">
        <f>T42</f>
        <v>287.3</v>
      </c>
      <c r="C52" s="116">
        <v>2.5000000000000001E-2</v>
      </c>
      <c r="D52" s="117">
        <f>B52*C52</f>
        <v>7.182500000000001</v>
      </c>
      <c r="E52" s="172">
        <v>0.05</v>
      </c>
      <c r="F52" s="117">
        <f>(B52/E$10)*E52</f>
        <v>12.383620689655174</v>
      </c>
      <c r="G52" s="117">
        <f>B52-D52-F52</f>
        <v>267.73387931034483</v>
      </c>
      <c r="H52" s="188">
        <f t="shared" si="32"/>
        <v>44744</v>
      </c>
      <c r="I52" s="176">
        <v>287.3</v>
      </c>
      <c r="J52" s="81">
        <f t="shared" si="0"/>
        <v>0</v>
      </c>
      <c r="K52" s="80">
        <v>244.88</v>
      </c>
      <c r="L52" s="186">
        <f>K52-G52</f>
        <v>-22.853879310344837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1"/>
        <v>0</v>
      </c>
      <c r="V52" s="189">
        <f t="shared" si="22"/>
        <v>0</v>
      </c>
      <c r="W52" s="189">
        <f t="shared" si="23"/>
        <v>0</v>
      </c>
      <c r="X52" s="189">
        <f t="shared" si="24"/>
        <v>0</v>
      </c>
      <c r="Y52" s="189">
        <f t="shared" si="25"/>
        <v>0</v>
      </c>
      <c r="Z52" s="189">
        <f t="shared" si="26"/>
        <v>0</v>
      </c>
      <c r="AA52" s="189">
        <f t="shared" si="27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3">B53*C53</f>
        <v>0</v>
      </c>
      <c r="E53" s="172">
        <v>0.05</v>
      </c>
      <c r="F53" s="117">
        <f t="shared" ref="F53:F56" si="34">(B53/E$10)*E53</f>
        <v>0</v>
      </c>
      <c r="G53" s="117">
        <f t="shared" ref="G53:G58" si="35">B53-D53-F53</f>
        <v>0</v>
      </c>
      <c r="H53" s="188">
        <f t="shared" si="32"/>
        <v>44744</v>
      </c>
      <c r="I53" s="176"/>
      <c r="J53" s="81">
        <f t="shared" si="0"/>
        <v>0</v>
      </c>
      <c r="K53" s="80"/>
      <c r="L53" s="186">
        <f t="shared" si="31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1"/>
        <v>0</v>
      </c>
      <c r="V53" s="189">
        <f t="shared" si="22"/>
        <v>0</v>
      </c>
      <c r="W53" s="189">
        <f t="shared" si="23"/>
        <v>0</v>
      </c>
      <c r="X53" s="189">
        <f t="shared" si="24"/>
        <v>0</v>
      </c>
      <c r="Y53" s="189">
        <f t="shared" si="25"/>
        <v>0</v>
      </c>
      <c r="Z53" s="189">
        <f t="shared" si="26"/>
        <v>0</v>
      </c>
      <c r="AA53" s="189">
        <f t="shared" si="27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3"/>
        <v>0</v>
      </c>
      <c r="E54" s="172">
        <v>0.05</v>
      </c>
      <c r="F54" s="117">
        <f t="shared" si="34"/>
        <v>0</v>
      </c>
      <c r="G54" s="117">
        <f t="shared" si="35"/>
        <v>0</v>
      </c>
      <c r="H54" s="173">
        <f t="shared" si="32"/>
        <v>44744</v>
      </c>
      <c r="I54" s="176"/>
      <c r="J54" s="81">
        <f t="shared" si="0"/>
        <v>0</v>
      </c>
      <c r="K54" s="80"/>
      <c r="L54" s="186">
        <f t="shared" si="31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1"/>
        <v>0</v>
      </c>
      <c r="V54" s="189">
        <f t="shared" si="22"/>
        <v>0</v>
      </c>
      <c r="W54" s="189">
        <f t="shared" si="23"/>
        <v>0</v>
      </c>
      <c r="X54" s="189">
        <f t="shared" si="24"/>
        <v>0</v>
      </c>
      <c r="Y54" s="189">
        <f t="shared" si="25"/>
        <v>0</v>
      </c>
      <c r="Z54" s="189">
        <f t="shared" si="26"/>
        <v>0</v>
      </c>
      <c r="AA54" s="189">
        <f t="shared" si="27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33"/>
        <v>0</v>
      </c>
      <c r="E55" s="172">
        <v>0.05</v>
      </c>
      <c r="F55" s="117">
        <f t="shared" si="34"/>
        <v>0</v>
      </c>
      <c r="G55" s="117">
        <f t="shared" si="35"/>
        <v>0</v>
      </c>
      <c r="H55" s="173">
        <f t="shared" si="32"/>
        <v>44744</v>
      </c>
      <c r="I55" s="176"/>
      <c r="J55" s="81">
        <f t="shared" si="0"/>
        <v>0</v>
      </c>
      <c r="K55" s="80"/>
      <c r="L55" s="186">
        <f t="shared" si="31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1"/>
        <v>0</v>
      </c>
      <c r="V55" s="189">
        <f t="shared" si="22"/>
        <v>0</v>
      </c>
      <c r="W55" s="189">
        <f t="shared" si="23"/>
        <v>0</v>
      </c>
      <c r="X55" s="189">
        <f t="shared" si="24"/>
        <v>0</v>
      </c>
      <c r="Y55" s="189">
        <f t="shared" si="25"/>
        <v>0</v>
      </c>
      <c r="Z55" s="189">
        <f t="shared" si="26"/>
        <v>0</v>
      </c>
      <c r="AA55" s="189">
        <f t="shared" si="27"/>
        <v>0</v>
      </c>
      <c r="AB55" s="156"/>
    </row>
    <row r="56" spans="1:28" ht="15.75" x14ac:dyDescent="0.25">
      <c r="A56" s="115" t="s">
        <v>176</v>
      </c>
      <c r="B56" s="117">
        <f>T75</f>
        <v>26.9</v>
      </c>
      <c r="C56" s="116">
        <v>2.5000000000000001E-2</v>
      </c>
      <c r="D56" s="117">
        <f t="shared" si="33"/>
        <v>0.67249999999999999</v>
      </c>
      <c r="E56" s="172">
        <v>0.05</v>
      </c>
      <c r="F56" s="117">
        <f t="shared" si="34"/>
        <v>1.1594827586206897</v>
      </c>
      <c r="G56" s="117">
        <f t="shared" si="35"/>
        <v>25.068017241379309</v>
      </c>
      <c r="H56" s="173">
        <f t="shared" si="32"/>
        <v>44744</v>
      </c>
      <c r="I56" s="176">
        <v>26.9</v>
      </c>
      <c r="J56" s="81">
        <f t="shared" si="0"/>
        <v>0</v>
      </c>
      <c r="K56" s="80"/>
      <c r="L56" s="186">
        <f t="shared" si="31"/>
        <v>25.068017241379309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1"/>
        <v>0</v>
      </c>
      <c r="V56" s="189">
        <f t="shared" si="22"/>
        <v>0</v>
      </c>
      <c r="W56" s="189">
        <f t="shared" si="23"/>
        <v>0</v>
      </c>
      <c r="X56" s="189">
        <f t="shared" si="24"/>
        <v>0</v>
      </c>
      <c r="Y56" s="189">
        <f t="shared" si="25"/>
        <v>0</v>
      </c>
      <c r="Z56" s="189">
        <f t="shared" si="26"/>
        <v>0</v>
      </c>
      <c r="AA56" s="189">
        <f t="shared" si="27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5"/>
        <v>0</v>
      </c>
      <c r="H57" s="173">
        <f>B6+3</f>
        <v>44746</v>
      </c>
      <c r="I57" s="175"/>
      <c r="J57" s="81">
        <f t="shared" si="0"/>
        <v>0</v>
      </c>
      <c r="K57" s="80"/>
      <c r="L57" s="186">
        <f t="shared" si="31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1"/>
        <v>0</v>
      </c>
      <c r="V57" s="189">
        <f t="shared" si="22"/>
        <v>0</v>
      </c>
      <c r="W57" s="189">
        <f t="shared" si="23"/>
        <v>0</v>
      </c>
      <c r="X57" s="189">
        <f t="shared" si="24"/>
        <v>0</v>
      </c>
      <c r="Y57" s="189">
        <f t="shared" si="25"/>
        <v>0</v>
      </c>
      <c r="Z57" s="189">
        <f t="shared" si="26"/>
        <v>0</v>
      </c>
      <c r="AA57" s="189">
        <f t="shared" si="27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5"/>
        <v>0</v>
      </c>
      <c r="H58" s="173">
        <f>B$6+5</f>
        <v>44748</v>
      </c>
      <c r="I58" s="175"/>
      <c r="J58" s="81">
        <f t="shared" si="0"/>
        <v>0</v>
      </c>
      <c r="K58" s="80"/>
      <c r="L58" s="186">
        <f t="shared" si="31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1"/>
        <v>0</v>
      </c>
      <c r="V58" s="189">
        <f t="shared" si="22"/>
        <v>0</v>
      </c>
      <c r="W58" s="189">
        <f t="shared" si="23"/>
        <v>0</v>
      </c>
      <c r="X58" s="189">
        <f t="shared" si="24"/>
        <v>0</v>
      </c>
      <c r="Y58" s="189">
        <f t="shared" si="25"/>
        <v>0</v>
      </c>
      <c r="Z58" s="189">
        <f t="shared" si="26"/>
        <v>0</v>
      </c>
      <c r="AA58" s="189">
        <f t="shared" si="27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1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1"/>
        <v>0</v>
      </c>
      <c r="V59" s="189">
        <f t="shared" si="22"/>
        <v>0</v>
      </c>
      <c r="W59" s="189">
        <f t="shared" si="23"/>
        <v>0</v>
      </c>
      <c r="X59" s="189">
        <f t="shared" si="24"/>
        <v>0</v>
      </c>
      <c r="Y59" s="189">
        <f t="shared" si="25"/>
        <v>0</v>
      </c>
      <c r="Z59" s="189">
        <f t="shared" si="26"/>
        <v>0</v>
      </c>
      <c r="AA59" s="189">
        <f t="shared" si="27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6">B60-D60-F60</f>
        <v>0</v>
      </c>
      <c r="H60" s="173">
        <f>B6+30</f>
        <v>44773</v>
      </c>
      <c r="I60" s="175"/>
      <c r="J60" s="81">
        <f t="shared" si="0"/>
        <v>0</v>
      </c>
      <c r="K60" s="80"/>
      <c r="L60" s="186">
        <f t="shared" si="31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1"/>
        <v>0</v>
      </c>
      <c r="V60" s="189">
        <f t="shared" si="22"/>
        <v>0</v>
      </c>
      <c r="W60" s="189">
        <f t="shared" si="23"/>
        <v>0</v>
      </c>
      <c r="X60" s="189">
        <f t="shared" si="24"/>
        <v>0</v>
      </c>
      <c r="Y60" s="189">
        <f t="shared" si="25"/>
        <v>0</v>
      </c>
      <c r="Z60" s="189">
        <f t="shared" si="26"/>
        <v>0</v>
      </c>
      <c r="AA60" s="189">
        <f t="shared" si="27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169.49305000000004</v>
      </c>
      <c r="E61" s="177"/>
      <c r="F61" s="57">
        <f>SUM(F46:F58)</f>
        <v>13.543103448275865</v>
      </c>
      <c r="G61" s="57">
        <f>SUM(G46:G58)</f>
        <v>21062.013846551723</v>
      </c>
      <c r="H61" s="173">
        <f t="shared" si="32"/>
        <v>44744</v>
      </c>
      <c r="I61" s="175"/>
      <c r="J61" s="81">
        <f t="shared" si="0"/>
        <v>0</v>
      </c>
      <c r="K61" s="80"/>
      <c r="L61" s="186">
        <f t="shared" si="31"/>
        <v>21062.013846551723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1"/>
        <v>0</v>
      </c>
      <c r="V61" s="189">
        <f t="shared" si="22"/>
        <v>0</v>
      </c>
      <c r="W61" s="189">
        <f t="shared" si="23"/>
        <v>0</v>
      </c>
      <c r="X61" s="189">
        <f t="shared" si="24"/>
        <v>0</v>
      </c>
      <c r="Y61" s="189">
        <f t="shared" si="25"/>
        <v>0</v>
      </c>
      <c r="Z61" s="189">
        <f t="shared" si="26"/>
        <v>0</v>
      </c>
      <c r="AA61" s="189">
        <f t="shared" si="27"/>
        <v>0</v>
      </c>
      <c r="AB61" s="156"/>
    </row>
    <row r="62" spans="1:28" ht="15.75" x14ac:dyDescent="0.25">
      <c r="A62" s="65" t="s">
        <v>59</v>
      </c>
      <c r="B62" s="56">
        <v>560</v>
      </c>
      <c r="C62" s="18"/>
      <c r="D62" s="101"/>
      <c r="E62" s="178"/>
      <c r="F62" s="101"/>
      <c r="G62" s="57"/>
      <c r="H62" s="173">
        <f>B$6+1</f>
        <v>44744</v>
      </c>
      <c r="I62" s="176"/>
      <c r="J62" s="81">
        <f t="shared" si="0"/>
        <v>560</v>
      </c>
      <c r="K62" s="80"/>
      <c r="L62" s="186">
        <f t="shared" si="31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1"/>
        <v>0</v>
      </c>
      <c r="V62" s="189">
        <f t="shared" si="22"/>
        <v>0</v>
      </c>
      <c r="W62" s="189">
        <f t="shared" si="23"/>
        <v>0</v>
      </c>
      <c r="X62" s="189">
        <f t="shared" si="24"/>
        <v>0</v>
      </c>
      <c r="Y62" s="189">
        <f t="shared" si="25"/>
        <v>0</v>
      </c>
      <c r="Z62" s="189">
        <f t="shared" si="26"/>
        <v>0</v>
      </c>
      <c r="AA62" s="189">
        <f t="shared" si="27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01" t="s">
        <v>107</v>
      </c>
      <c r="O63" s="301"/>
      <c r="P63" s="301"/>
      <c r="Q63" s="301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7">SUM(U43:U62)</f>
        <v>0</v>
      </c>
      <c r="V63" s="191">
        <f t="shared" si="37"/>
        <v>0</v>
      </c>
      <c r="W63" s="191">
        <f t="shared" si="37"/>
        <v>0</v>
      </c>
      <c r="X63" s="191">
        <f t="shared" ref="X63" si="38">SUM(X43:X62)</f>
        <v>0</v>
      </c>
      <c r="Y63" s="191">
        <f>SUM(Y43:Y62)</f>
        <v>0</v>
      </c>
      <c r="Z63" s="191">
        <f t="shared" ref="Z63:AA63" si="39">SUM(Z43:Z62)</f>
        <v>0</v>
      </c>
      <c r="AA63" s="191">
        <f t="shared" si="39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42124.027693103446</v>
      </c>
      <c r="H64" s="184"/>
      <c r="I64" s="175"/>
      <c r="J64" s="81">
        <f t="shared" si="0"/>
        <v>0</v>
      </c>
      <c r="K64" s="80"/>
      <c r="L64" s="186">
        <f t="shared" si="31"/>
        <v>42124.027693103446</v>
      </c>
      <c r="M64" s="130"/>
      <c r="N64" s="87">
        <v>1</v>
      </c>
      <c r="O64" s="122" t="s">
        <v>235</v>
      </c>
      <c r="P64" s="225"/>
      <c r="Q64" s="225"/>
      <c r="R64" s="225">
        <f>10+46.23</f>
        <v>56.23</v>
      </c>
      <c r="S64" s="225"/>
      <c r="T64" s="87"/>
      <c r="U64" s="189">
        <f t="shared" ref="U64" si="40">((T64/U$10)*U$9)</f>
        <v>0</v>
      </c>
      <c r="V64" s="189">
        <f t="shared" ref="V64" si="41">R64*V$10</f>
        <v>0.42172499999999996</v>
      </c>
      <c r="W64" s="189">
        <f t="shared" ref="W64" si="42">+S64*V$10</f>
        <v>0</v>
      </c>
      <c r="X64" s="189">
        <f t="shared" ref="X64" si="43">+T64*X$10</f>
        <v>0</v>
      </c>
      <c r="Y64" s="189">
        <f t="shared" ref="Y64" si="44">R64-V64</f>
        <v>55.808274999999995</v>
      </c>
      <c r="Z64" s="189">
        <f t="shared" ref="Z64" si="45">S64-W64</f>
        <v>0</v>
      </c>
      <c r="AA64" s="189">
        <f t="shared" ref="AA64" si="46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36022.780200000001</v>
      </c>
      <c r="G65" s="22"/>
      <c r="L65" s="132"/>
      <c r="M65" s="131"/>
      <c r="N65" s="87">
        <v>2</v>
      </c>
      <c r="O65" s="122" t="s">
        <v>235</v>
      </c>
      <c r="P65" s="225"/>
      <c r="Q65" s="225"/>
      <c r="R65" s="240">
        <f>7.2+10</f>
        <v>17.2</v>
      </c>
      <c r="S65" s="225"/>
      <c r="T65" s="87"/>
      <c r="U65" s="189">
        <f t="shared" ref="U65:U68" si="47">((T65/U$10)*U$9)</f>
        <v>0</v>
      </c>
      <c r="V65" s="189">
        <f t="shared" ref="V65:V68" si="48">R65*V$10</f>
        <v>0.129</v>
      </c>
      <c r="W65" s="189">
        <f t="shared" ref="W65:W68" si="49">+S65*V$10</f>
        <v>0</v>
      </c>
      <c r="X65" s="189">
        <f t="shared" ref="X65:X68" si="50">+T65*X$10</f>
        <v>0</v>
      </c>
      <c r="Y65" s="189">
        <f t="shared" ref="Y65:Y68" si="51">R65-V65</f>
        <v>17.070999999999998</v>
      </c>
      <c r="Z65" s="189">
        <f t="shared" ref="Z65:Z68" si="52">S65-W65</f>
        <v>0</v>
      </c>
      <c r="AA65" s="189">
        <f t="shared" ref="AA65:AA68" si="53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235</v>
      </c>
      <c r="P66" s="225"/>
      <c r="Q66" s="225"/>
      <c r="R66" s="225">
        <v>62.69</v>
      </c>
      <c r="S66" s="225"/>
      <c r="T66" s="87"/>
      <c r="U66" s="189">
        <f t="shared" si="47"/>
        <v>0</v>
      </c>
      <c r="V66" s="189">
        <f t="shared" si="48"/>
        <v>0.47017499999999995</v>
      </c>
      <c r="W66" s="189">
        <f t="shared" si="49"/>
        <v>0</v>
      </c>
      <c r="X66" s="189">
        <f t="shared" si="50"/>
        <v>0</v>
      </c>
      <c r="Y66" s="189">
        <f t="shared" si="51"/>
        <v>62.219825</v>
      </c>
      <c r="Z66" s="189">
        <f t="shared" si="52"/>
        <v>0</v>
      </c>
      <c r="AA66" s="189">
        <f t="shared" si="53"/>
        <v>0</v>
      </c>
      <c r="AB66" s="87"/>
    </row>
    <row r="67" spans="1:30" ht="15.75" x14ac:dyDescent="0.25">
      <c r="A67" s="318" t="s">
        <v>19</v>
      </c>
      <c r="B67" s="319"/>
      <c r="F67" s="320" t="s">
        <v>134</v>
      </c>
      <c r="G67" s="320"/>
      <c r="H67" s="320"/>
      <c r="I67" s="321" t="s">
        <v>136</v>
      </c>
      <c r="J67" s="322"/>
      <c r="K67" s="138"/>
      <c r="N67" s="87">
        <v>4</v>
      </c>
      <c r="O67" s="122" t="s">
        <v>235</v>
      </c>
      <c r="P67" s="225"/>
      <c r="Q67" s="225"/>
      <c r="R67" s="225">
        <v>28.08</v>
      </c>
      <c r="S67" s="225"/>
      <c r="T67" s="87"/>
      <c r="U67" s="189">
        <f t="shared" si="47"/>
        <v>0</v>
      </c>
      <c r="V67" s="189">
        <f t="shared" si="48"/>
        <v>0.21059999999999998</v>
      </c>
      <c r="W67" s="189">
        <f t="shared" si="49"/>
        <v>0</v>
      </c>
      <c r="X67" s="189">
        <f t="shared" si="50"/>
        <v>0</v>
      </c>
      <c r="Y67" s="189">
        <f t="shared" si="51"/>
        <v>27.869399999999999</v>
      </c>
      <c r="Z67" s="189">
        <f t="shared" si="52"/>
        <v>0</v>
      </c>
      <c r="AA67" s="189">
        <f t="shared" si="53"/>
        <v>0</v>
      </c>
      <c r="AB67" s="87"/>
    </row>
    <row r="68" spans="1:30" ht="15.75" x14ac:dyDescent="0.25">
      <c r="A68" s="23" t="s">
        <v>18</v>
      </c>
      <c r="B68" s="77">
        <v>35564.019999999997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235</v>
      </c>
      <c r="P68" s="225"/>
      <c r="Q68" s="225"/>
      <c r="R68" s="225">
        <f>70.39+4.45</f>
        <v>74.84</v>
      </c>
      <c r="S68" s="225"/>
      <c r="T68" s="87"/>
      <c r="U68" s="189">
        <f t="shared" si="47"/>
        <v>0</v>
      </c>
      <c r="V68" s="189">
        <f t="shared" si="48"/>
        <v>0.56130000000000002</v>
      </c>
      <c r="W68" s="189">
        <f t="shared" si="49"/>
        <v>0</v>
      </c>
      <c r="X68" s="189">
        <f t="shared" si="50"/>
        <v>0</v>
      </c>
      <c r="Y68" s="189">
        <f t="shared" si="51"/>
        <v>74.278700000000001</v>
      </c>
      <c r="Z68" s="189">
        <f t="shared" si="52"/>
        <v>0</v>
      </c>
      <c r="AA68" s="189">
        <f t="shared" si="53"/>
        <v>0</v>
      </c>
      <c r="AB68" s="87"/>
    </row>
    <row r="69" spans="1:30" ht="16.5" thickBot="1" x14ac:dyDescent="0.3">
      <c r="A69" s="24" t="s">
        <v>5</v>
      </c>
      <c r="B69" s="62">
        <v>35936.160000000003</v>
      </c>
      <c r="C69" s="59"/>
      <c r="F69" s="87" t="s">
        <v>127</v>
      </c>
      <c r="G69" s="22"/>
      <c r="H69" s="89"/>
      <c r="I69" s="136"/>
      <c r="J69" s="136">
        <f>K52</f>
        <v>244.88</v>
      </c>
      <c r="N69" s="301" t="s">
        <v>108</v>
      </c>
      <c r="O69" s="301"/>
      <c r="P69" s="302"/>
      <c r="Q69" s="302"/>
      <c r="R69" s="192">
        <f>SUM(R64:R68)</f>
        <v>239.04</v>
      </c>
      <c r="S69" s="123"/>
      <c r="T69" s="192">
        <f>SUM(T64:T68)</f>
        <v>0</v>
      </c>
      <c r="U69" s="192">
        <f>SUM(U64:U68)</f>
        <v>0</v>
      </c>
      <c r="V69" s="192">
        <f t="shared" ref="V69:AA69" si="54">SUM(V64:V68)</f>
        <v>1.7927999999999997</v>
      </c>
      <c r="W69" s="192">
        <f t="shared" si="54"/>
        <v>0</v>
      </c>
      <c r="X69" s="192">
        <f t="shared" si="54"/>
        <v>0</v>
      </c>
      <c r="Y69" s="192">
        <f t="shared" si="54"/>
        <v>237.24720000000002</v>
      </c>
      <c r="Z69" s="192">
        <f t="shared" si="54"/>
        <v>0</v>
      </c>
      <c r="AA69" s="193">
        <f t="shared" si="5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-372.14000000000669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199</v>
      </c>
      <c r="P70" s="225">
        <v>127</v>
      </c>
      <c r="Q70" s="225">
        <v>2001</v>
      </c>
      <c r="R70" s="221">
        <v>485.47</v>
      </c>
      <c r="S70" s="225"/>
      <c r="T70" s="225"/>
      <c r="U70" s="189">
        <f t="shared" ref="U70:U74" si="55">((T70/U$10)*U$9)</f>
        <v>0</v>
      </c>
      <c r="V70" s="189">
        <f t="shared" ref="V70:V74" si="56">R70*V$10</f>
        <v>3.641025</v>
      </c>
      <c r="W70" s="189">
        <f t="shared" ref="W70:W74" si="57">+S70*V$10</f>
        <v>0</v>
      </c>
      <c r="X70" s="189">
        <f t="shared" ref="X70:X74" si="58">+T70*X$10</f>
        <v>0</v>
      </c>
      <c r="Y70" s="189">
        <f t="shared" ref="Y70:Y74" si="59">R70-V70</f>
        <v>481.82897500000001</v>
      </c>
      <c r="Z70" s="189">
        <f t="shared" ref="Z70:Z74" si="60">S70-W70</f>
        <v>0</v>
      </c>
      <c r="AA70" s="189">
        <f t="shared" ref="AA70:AA74" si="61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86.620199999997567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244.88</v>
      </c>
      <c r="N71" s="87">
        <v>2</v>
      </c>
      <c r="O71" s="122" t="s">
        <v>199</v>
      </c>
      <c r="P71" s="225" t="s">
        <v>264</v>
      </c>
      <c r="Q71" s="225">
        <v>2001</v>
      </c>
      <c r="R71" s="221">
        <v>1570.06</v>
      </c>
      <c r="S71" s="225"/>
      <c r="T71" s="225">
        <v>26.9</v>
      </c>
      <c r="U71" s="189">
        <f t="shared" si="55"/>
        <v>1.1594827586206897</v>
      </c>
      <c r="V71" s="189">
        <f t="shared" si="56"/>
        <v>11.775449999999999</v>
      </c>
      <c r="W71" s="189">
        <f t="shared" si="57"/>
        <v>0</v>
      </c>
      <c r="X71" s="189">
        <f t="shared" si="58"/>
        <v>0.67249999999999999</v>
      </c>
      <c r="Y71" s="189">
        <f t="shared" si="59"/>
        <v>1558.2845499999999</v>
      </c>
      <c r="Z71" s="189">
        <f t="shared" si="60"/>
        <v>0</v>
      </c>
      <c r="AA71" s="189">
        <f t="shared" si="61"/>
        <v>25.068017241379309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199</v>
      </c>
      <c r="P72" s="225"/>
      <c r="Q72" s="225"/>
      <c r="R72" s="221"/>
      <c r="S72" s="225"/>
      <c r="T72" s="225"/>
      <c r="U72" s="189">
        <f t="shared" si="55"/>
        <v>0</v>
      </c>
      <c r="V72" s="189">
        <f t="shared" si="56"/>
        <v>0</v>
      </c>
      <c r="W72" s="189">
        <f t="shared" si="57"/>
        <v>0</v>
      </c>
      <c r="X72" s="189">
        <f t="shared" si="58"/>
        <v>0</v>
      </c>
      <c r="Y72" s="189">
        <f t="shared" si="59"/>
        <v>0</v>
      </c>
      <c r="Z72" s="189">
        <f t="shared" si="60"/>
        <v>0</v>
      </c>
      <c r="AA72" s="189">
        <f t="shared" si="61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199</v>
      </c>
      <c r="P73" s="225"/>
      <c r="Q73" s="225"/>
      <c r="R73" s="221"/>
      <c r="S73" s="225"/>
      <c r="T73" s="225"/>
      <c r="U73" s="189">
        <f t="shared" si="55"/>
        <v>0</v>
      </c>
      <c r="V73" s="189">
        <f t="shared" si="56"/>
        <v>0</v>
      </c>
      <c r="W73" s="189">
        <f t="shared" si="57"/>
        <v>0</v>
      </c>
      <c r="X73" s="189">
        <f t="shared" si="58"/>
        <v>0</v>
      </c>
      <c r="Y73" s="189">
        <f t="shared" si="59"/>
        <v>0</v>
      </c>
      <c r="Z73" s="189">
        <f t="shared" si="60"/>
        <v>0</v>
      </c>
      <c r="AA73" s="189">
        <f t="shared" si="61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2">+H69+H70+H71+H72+H73</f>
        <v>0</v>
      </c>
      <c r="N74" s="87">
        <v>5</v>
      </c>
      <c r="O74" s="122"/>
      <c r="P74" s="225"/>
      <c r="Q74" s="225"/>
      <c r="R74" s="221">
        <f>205+90+245+20</f>
        <v>560</v>
      </c>
      <c r="S74" s="225"/>
      <c r="T74" s="225"/>
      <c r="U74" s="189">
        <f t="shared" si="55"/>
        <v>0</v>
      </c>
      <c r="V74" s="189">
        <f t="shared" si="56"/>
        <v>4.2</v>
      </c>
      <c r="W74" s="189">
        <f t="shared" si="57"/>
        <v>0</v>
      </c>
      <c r="X74" s="189">
        <f t="shared" si="58"/>
        <v>0</v>
      </c>
      <c r="Y74" s="189">
        <f t="shared" si="59"/>
        <v>555.79999999999995</v>
      </c>
      <c r="Z74" s="189">
        <f t="shared" si="60"/>
        <v>0</v>
      </c>
      <c r="AA74" s="189">
        <f t="shared" si="61"/>
        <v>0</v>
      </c>
      <c r="AB74" s="87"/>
    </row>
    <row r="75" spans="1:30" ht="15.75" x14ac:dyDescent="0.25">
      <c r="N75" s="301" t="s">
        <v>126</v>
      </c>
      <c r="O75" s="301"/>
      <c r="P75" s="302"/>
      <c r="Q75" s="302"/>
      <c r="R75" s="192">
        <f>SUM(R70:R74)</f>
        <v>2615.5299999999997</v>
      </c>
      <c r="S75" s="192"/>
      <c r="T75" s="192">
        <f>SUM(T70:T74)</f>
        <v>26.9</v>
      </c>
      <c r="U75" s="192">
        <f>SUM(U70:U74)</f>
        <v>1.1594827586206897</v>
      </c>
      <c r="V75" s="192">
        <f t="shared" ref="V75" si="63">SUM(V70:V74)</f>
        <v>19.616474999999998</v>
      </c>
      <c r="W75" s="192">
        <f t="shared" ref="W75" si="64">SUM(W70:W74)</f>
        <v>0</v>
      </c>
      <c r="X75" s="192">
        <f t="shared" ref="X75" si="65">SUM(X70:X74)</f>
        <v>0.67249999999999999</v>
      </c>
      <c r="Y75" s="192">
        <f t="shared" ref="Y75" si="66">SUM(Y70:Y74)</f>
        <v>2595.9135249999999</v>
      </c>
      <c r="Z75" s="192">
        <f t="shared" ref="Z75" si="67">SUM(Z70:Z74)</f>
        <v>0</v>
      </c>
      <c r="AA75" s="193">
        <f t="shared" ref="AA75" si="68">SUM(AA70:AA74)</f>
        <v>25.068017241379309</v>
      </c>
      <c r="AB75" s="103"/>
    </row>
    <row r="76" spans="1:30" ht="15.75" x14ac:dyDescent="0.25">
      <c r="N76" s="303" t="s">
        <v>71</v>
      </c>
      <c r="O76" s="305" t="s">
        <v>66</v>
      </c>
      <c r="P76" s="301" t="s">
        <v>61</v>
      </c>
      <c r="Q76" s="301"/>
      <c r="R76" s="301"/>
      <c r="S76" s="301"/>
      <c r="T76" s="301"/>
      <c r="U76" s="307" t="s">
        <v>67</v>
      </c>
      <c r="V76" s="308"/>
      <c r="W76" s="308"/>
      <c r="X76" s="308"/>
      <c r="Y76" s="309"/>
      <c r="Z76" s="298" t="s">
        <v>53</v>
      </c>
      <c r="AA76" s="298" t="s">
        <v>63</v>
      </c>
      <c r="AB76" s="298" t="s">
        <v>122</v>
      </c>
      <c r="AC76" s="299" t="s">
        <v>125</v>
      </c>
      <c r="AD76" s="300" t="s">
        <v>64</v>
      </c>
    </row>
    <row r="77" spans="1:30" ht="60" x14ac:dyDescent="0.25">
      <c r="F77" s="310" t="s">
        <v>138</v>
      </c>
      <c r="G77" s="311"/>
      <c r="H77" s="141" t="s">
        <v>140</v>
      </c>
      <c r="N77" s="304"/>
      <c r="O77" s="306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8"/>
      <c r="AA77" s="298"/>
      <c r="AB77" s="298"/>
      <c r="AC77" s="299" t="s">
        <v>125</v>
      </c>
      <c r="AD77" s="300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113.32</v>
      </c>
      <c r="Q78" s="137">
        <v>18.760000000000002</v>
      </c>
      <c r="R78" s="82">
        <v>7.4999999999999997E-3</v>
      </c>
      <c r="S78" s="194">
        <f>+(P78+Q78)*R78</f>
        <v>0.99059999999999981</v>
      </c>
      <c r="T78" s="254">
        <f>+(P78+Q78)-S78</f>
        <v>131.08939999999998</v>
      </c>
      <c r="U78" s="112">
        <v>89.59</v>
      </c>
      <c r="V78" s="112"/>
      <c r="W78" s="113">
        <v>1.4999999999999999E-2</v>
      </c>
      <c r="X78" s="196">
        <f>+(U78+V78)*W78</f>
        <v>1.34385</v>
      </c>
      <c r="Y78" s="217">
        <f>+(U78+V78)-X78</f>
        <v>88.24615</v>
      </c>
      <c r="Z78" s="87"/>
      <c r="AA78" s="189">
        <f t="shared" ref="AA78:AA97" si="69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>
        <v>265.8</v>
      </c>
      <c r="Q79" s="137">
        <v>36.68</v>
      </c>
      <c r="R79" s="82">
        <v>7.4999999999999997E-3</v>
      </c>
      <c r="S79" s="194">
        <f t="shared" ref="S79:S97" si="70">+(P79+Q79)*R79</f>
        <v>2.2686000000000002</v>
      </c>
      <c r="T79" s="254">
        <f t="shared" ref="T79:T97" si="71">+(P79+Q79)-S79</f>
        <v>300.21140000000003</v>
      </c>
      <c r="U79" s="211">
        <v>63.77</v>
      </c>
      <c r="V79" s="112"/>
      <c r="W79" s="113">
        <v>1.4999999999999999E-2</v>
      </c>
      <c r="X79" s="196">
        <f t="shared" ref="X79:X97" si="72">+(U79+V79)*W79</f>
        <v>0.95655000000000001</v>
      </c>
      <c r="Y79" s="217">
        <f t="shared" ref="Y79:Y97" si="73">+(U79+V79)-X79</f>
        <v>62.813450000000003</v>
      </c>
      <c r="Z79" s="87"/>
      <c r="AA79" s="189">
        <f t="shared" si="69"/>
        <v>0</v>
      </c>
      <c r="AB79" s="189">
        <f t="shared" ref="AB79:AB97" si="74">+Z79*X$10</f>
        <v>0</v>
      </c>
      <c r="AC79" s="189">
        <f t="shared" ref="AC79:AC97" si="75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>
        <v>203.35</v>
      </c>
      <c r="Q80" s="137">
        <v>48.97</v>
      </c>
      <c r="R80" s="82">
        <v>7.4999999999999997E-3</v>
      </c>
      <c r="S80" s="194">
        <f t="shared" si="70"/>
        <v>1.8923999999999999</v>
      </c>
      <c r="T80" s="219">
        <f t="shared" si="71"/>
        <v>250.42759999999998</v>
      </c>
      <c r="U80" s="211">
        <v>104.86</v>
      </c>
      <c r="V80" s="112"/>
      <c r="W80" s="113">
        <v>1.4999999999999999E-2</v>
      </c>
      <c r="X80" s="196">
        <f t="shared" si="72"/>
        <v>1.5729</v>
      </c>
      <c r="Y80" s="254">
        <f t="shared" si="73"/>
        <v>103.2871</v>
      </c>
      <c r="Z80" s="87"/>
      <c r="AA80" s="189">
        <f t="shared" si="69"/>
        <v>0</v>
      </c>
      <c r="AB80" s="189">
        <f t="shared" si="74"/>
        <v>0</v>
      </c>
      <c r="AC80" s="189">
        <f t="shared" si="75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>
        <v>179.91</v>
      </c>
      <c r="Q81" s="137">
        <v>18.8</v>
      </c>
      <c r="R81" s="82">
        <v>7.4999999999999997E-3</v>
      </c>
      <c r="S81" s="194">
        <f t="shared" si="70"/>
        <v>1.4903249999999999</v>
      </c>
      <c r="T81" s="219">
        <f t="shared" si="71"/>
        <v>197.219675</v>
      </c>
      <c r="U81" s="211">
        <v>112.79</v>
      </c>
      <c r="V81" s="112"/>
      <c r="W81" s="113">
        <v>1.4999999999999999E-2</v>
      </c>
      <c r="X81" s="196">
        <f t="shared" si="72"/>
        <v>1.6918500000000001</v>
      </c>
      <c r="Y81" s="254">
        <f t="shared" si="73"/>
        <v>111.09815</v>
      </c>
      <c r="Z81" s="87"/>
      <c r="AA81" s="189">
        <f t="shared" si="69"/>
        <v>0</v>
      </c>
      <c r="AB81" s="189">
        <f t="shared" si="74"/>
        <v>0</v>
      </c>
      <c r="AC81" s="189">
        <f t="shared" si="75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>
        <v>354.25</v>
      </c>
      <c r="Q82" s="137">
        <v>7.99</v>
      </c>
      <c r="R82" s="82">
        <v>7.4999999999999997E-3</v>
      </c>
      <c r="S82" s="194">
        <f t="shared" si="70"/>
        <v>2.7168000000000001</v>
      </c>
      <c r="T82" s="254">
        <f t="shared" si="71"/>
        <v>359.52320000000003</v>
      </c>
      <c r="U82" s="211">
        <v>37.9</v>
      </c>
      <c r="V82" s="112"/>
      <c r="W82" s="113">
        <v>1.4999999999999999E-2</v>
      </c>
      <c r="X82" s="196">
        <f t="shared" si="72"/>
        <v>0.56850000000000001</v>
      </c>
      <c r="Y82" s="234">
        <f t="shared" si="73"/>
        <v>37.331499999999998</v>
      </c>
      <c r="Z82" s="87"/>
      <c r="AA82" s="189">
        <f t="shared" si="69"/>
        <v>0</v>
      </c>
      <c r="AB82" s="189">
        <f t="shared" si="74"/>
        <v>0</v>
      </c>
      <c r="AC82" s="189">
        <f t="shared" si="75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>
        <v>209.92</v>
      </c>
      <c r="Q83" s="87">
        <v>21.4</v>
      </c>
      <c r="R83" s="82">
        <v>7.4999999999999997E-3</v>
      </c>
      <c r="S83" s="194">
        <f t="shared" si="70"/>
        <v>1.7348999999999999</v>
      </c>
      <c r="T83" s="254">
        <f t="shared" si="71"/>
        <v>229.58509999999998</v>
      </c>
      <c r="U83" s="211">
        <v>5.54</v>
      </c>
      <c r="V83" s="112"/>
      <c r="W83" s="113">
        <v>1.4999999999999999E-2</v>
      </c>
      <c r="X83" s="196">
        <f t="shared" si="72"/>
        <v>8.3099999999999993E-2</v>
      </c>
      <c r="Y83" s="234">
        <f t="shared" si="73"/>
        <v>5.4569000000000001</v>
      </c>
      <c r="Z83" s="87"/>
      <c r="AA83" s="189">
        <f t="shared" si="69"/>
        <v>0</v>
      </c>
      <c r="AB83" s="189">
        <f t="shared" si="74"/>
        <v>0</v>
      </c>
      <c r="AC83" s="189">
        <f t="shared" si="75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>
        <v>127.23</v>
      </c>
      <c r="Q84" s="87">
        <v>217.4</v>
      </c>
      <c r="R84" s="82">
        <v>7.4999999999999997E-3</v>
      </c>
      <c r="S84" s="194">
        <f t="shared" si="70"/>
        <v>2.5847249999999997</v>
      </c>
      <c r="T84" s="219">
        <f t="shared" si="71"/>
        <v>342.045275</v>
      </c>
      <c r="U84" s="211">
        <v>60.59</v>
      </c>
      <c r="V84" s="112"/>
      <c r="W84" s="113">
        <v>1.4999999999999999E-2</v>
      </c>
      <c r="X84" s="196">
        <f t="shared" si="72"/>
        <v>0.90885000000000005</v>
      </c>
      <c r="Y84" s="254">
        <f t="shared" si="73"/>
        <v>59.681150000000002</v>
      </c>
      <c r="Z84" s="87"/>
      <c r="AA84" s="189">
        <f t="shared" si="69"/>
        <v>0</v>
      </c>
      <c r="AB84" s="189">
        <f t="shared" si="74"/>
        <v>0</v>
      </c>
      <c r="AC84" s="189">
        <f t="shared" si="75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>
        <v>150.65</v>
      </c>
      <c r="Q85" s="87">
        <v>5</v>
      </c>
      <c r="R85" s="82">
        <v>7.4999999999999997E-3</v>
      </c>
      <c r="S85" s="194">
        <f t="shared" si="70"/>
        <v>1.1673750000000001</v>
      </c>
      <c r="T85" s="254">
        <f t="shared" si="71"/>
        <v>154.48262500000001</v>
      </c>
      <c r="U85" s="112">
        <v>59.75</v>
      </c>
      <c r="V85" s="112"/>
      <c r="W85" s="113">
        <v>1.4999999999999999E-2</v>
      </c>
      <c r="X85" s="196">
        <f t="shared" si="72"/>
        <v>0.89624999999999999</v>
      </c>
      <c r="Y85" s="217">
        <f t="shared" si="73"/>
        <v>58.853749999999998</v>
      </c>
      <c r="Z85" s="87"/>
      <c r="AA85" s="189">
        <f t="shared" si="69"/>
        <v>0</v>
      </c>
      <c r="AB85" s="189">
        <f t="shared" si="74"/>
        <v>0</v>
      </c>
      <c r="AC85" s="189">
        <f t="shared" si="75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>
        <v>164.57</v>
      </c>
      <c r="Q86" s="87">
        <v>81.99</v>
      </c>
      <c r="R86" s="82">
        <v>7.4999999999999997E-3</v>
      </c>
      <c r="S86" s="194">
        <f t="shared" si="70"/>
        <v>1.8492</v>
      </c>
      <c r="T86" s="219">
        <f t="shared" si="71"/>
        <v>244.71080000000001</v>
      </c>
      <c r="U86" s="112">
        <v>86.1</v>
      </c>
      <c r="V86" s="112"/>
      <c r="W86" s="113">
        <v>1.4999999999999999E-2</v>
      </c>
      <c r="X86" s="196">
        <f t="shared" si="72"/>
        <v>1.2914999999999999</v>
      </c>
      <c r="Y86" s="217">
        <f t="shared" si="73"/>
        <v>84.808499999999995</v>
      </c>
      <c r="Z86" s="87"/>
      <c r="AA86" s="189">
        <f t="shared" si="69"/>
        <v>0</v>
      </c>
      <c r="AB86" s="189">
        <f t="shared" si="74"/>
        <v>0</v>
      </c>
      <c r="AC86" s="189">
        <f t="shared" si="75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70"/>
        <v>0</v>
      </c>
      <c r="T87" s="194">
        <f t="shared" si="71"/>
        <v>0</v>
      </c>
      <c r="U87" s="112"/>
      <c r="V87" s="112"/>
      <c r="W87" s="113">
        <v>1.4999999999999999E-2</v>
      </c>
      <c r="X87" s="196">
        <f t="shared" si="72"/>
        <v>0</v>
      </c>
      <c r="Y87" s="217">
        <f t="shared" si="73"/>
        <v>0</v>
      </c>
      <c r="Z87" s="87"/>
      <c r="AA87" s="189">
        <f t="shared" si="69"/>
        <v>0</v>
      </c>
      <c r="AB87" s="189">
        <f t="shared" si="74"/>
        <v>0</v>
      </c>
      <c r="AC87" s="189">
        <f t="shared" si="75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70"/>
        <v>0</v>
      </c>
      <c r="T88" s="194">
        <f t="shared" si="71"/>
        <v>0</v>
      </c>
      <c r="U88" s="112"/>
      <c r="V88" s="112"/>
      <c r="W88" s="113">
        <v>1.4999999999999999E-2</v>
      </c>
      <c r="X88" s="196">
        <f t="shared" si="72"/>
        <v>0</v>
      </c>
      <c r="Y88" s="196">
        <f t="shared" si="73"/>
        <v>0</v>
      </c>
      <c r="Z88" s="87"/>
      <c r="AA88" s="189">
        <f t="shared" si="69"/>
        <v>0</v>
      </c>
      <c r="AB88" s="189">
        <f t="shared" si="74"/>
        <v>0</v>
      </c>
      <c r="AC88" s="189">
        <f t="shared" si="75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70"/>
        <v>0</v>
      </c>
      <c r="T89" s="194">
        <f t="shared" si="71"/>
        <v>0</v>
      </c>
      <c r="U89" s="112"/>
      <c r="V89" s="112"/>
      <c r="W89" s="113">
        <v>1.4999999999999999E-2</v>
      </c>
      <c r="X89" s="196">
        <f t="shared" si="72"/>
        <v>0</v>
      </c>
      <c r="Y89" s="196">
        <f t="shared" si="73"/>
        <v>0</v>
      </c>
      <c r="Z89" s="87"/>
      <c r="AA89" s="189">
        <f t="shared" si="69"/>
        <v>0</v>
      </c>
      <c r="AB89" s="189">
        <f t="shared" si="74"/>
        <v>0</v>
      </c>
      <c r="AC89" s="189">
        <f t="shared" si="75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70"/>
        <v>0</v>
      </c>
      <c r="T90" s="194">
        <f t="shared" si="71"/>
        <v>0</v>
      </c>
      <c r="U90" s="112"/>
      <c r="V90" s="112"/>
      <c r="W90" s="113">
        <v>1.4999999999999999E-2</v>
      </c>
      <c r="X90" s="196">
        <f t="shared" si="72"/>
        <v>0</v>
      </c>
      <c r="Y90" s="196">
        <f t="shared" si="73"/>
        <v>0</v>
      </c>
      <c r="Z90" s="87"/>
      <c r="AA90" s="189">
        <f t="shared" si="69"/>
        <v>0</v>
      </c>
      <c r="AB90" s="189">
        <f t="shared" si="74"/>
        <v>0</v>
      </c>
      <c r="AC90" s="189">
        <f t="shared" si="75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70"/>
        <v>0</v>
      </c>
      <c r="T91" s="194">
        <f t="shared" si="71"/>
        <v>0</v>
      </c>
      <c r="U91" s="112"/>
      <c r="V91" s="112"/>
      <c r="W91" s="113">
        <v>1.4999999999999999E-2</v>
      </c>
      <c r="X91" s="196">
        <f t="shared" si="72"/>
        <v>0</v>
      </c>
      <c r="Y91" s="196">
        <f t="shared" si="73"/>
        <v>0</v>
      </c>
      <c r="Z91" s="87"/>
      <c r="AA91" s="189">
        <f t="shared" si="69"/>
        <v>0</v>
      </c>
      <c r="AB91" s="189">
        <f t="shared" si="74"/>
        <v>0</v>
      </c>
      <c r="AC91" s="189">
        <f t="shared" si="75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70"/>
        <v>0</v>
      </c>
      <c r="T92" s="194">
        <f t="shared" si="71"/>
        <v>0</v>
      </c>
      <c r="U92" s="112"/>
      <c r="V92" s="112"/>
      <c r="W92" s="113">
        <v>1.4999999999999999E-2</v>
      </c>
      <c r="X92" s="196">
        <f t="shared" si="72"/>
        <v>0</v>
      </c>
      <c r="Y92" s="196">
        <f t="shared" si="73"/>
        <v>0</v>
      </c>
      <c r="Z92" s="87"/>
      <c r="AA92" s="189">
        <f t="shared" si="69"/>
        <v>0</v>
      </c>
      <c r="AB92" s="189">
        <f t="shared" si="74"/>
        <v>0</v>
      </c>
      <c r="AC92" s="189">
        <f t="shared" si="75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70"/>
        <v>0</v>
      </c>
      <c r="T93" s="194">
        <f t="shared" si="71"/>
        <v>0</v>
      </c>
      <c r="U93" s="112"/>
      <c r="V93" s="112"/>
      <c r="W93" s="113">
        <v>1.4999999999999999E-2</v>
      </c>
      <c r="X93" s="196">
        <f t="shared" si="72"/>
        <v>0</v>
      </c>
      <c r="Y93" s="196">
        <f t="shared" si="73"/>
        <v>0</v>
      </c>
      <c r="Z93" s="87"/>
      <c r="AA93" s="189">
        <f t="shared" si="69"/>
        <v>0</v>
      </c>
      <c r="AB93" s="189">
        <f t="shared" si="74"/>
        <v>0</v>
      </c>
      <c r="AC93" s="189">
        <f t="shared" si="75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70"/>
        <v>0</v>
      </c>
      <c r="T94" s="194">
        <f t="shared" si="71"/>
        <v>0</v>
      </c>
      <c r="U94" s="211"/>
      <c r="V94" s="112"/>
      <c r="W94" s="113">
        <v>1.4999999999999999E-2</v>
      </c>
      <c r="X94" s="196">
        <f t="shared" si="72"/>
        <v>0</v>
      </c>
      <c r="Y94" s="196">
        <f t="shared" si="73"/>
        <v>0</v>
      </c>
      <c r="Z94" s="87"/>
      <c r="AA94" s="189">
        <f t="shared" si="69"/>
        <v>0</v>
      </c>
      <c r="AB94" s="189">
        <f t="shared" si="74"/>
        <v>0</v>
      </c>
      <c r="AC94" s="189">
        <f t="shared" si="75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70"/>
        <v>0</v>
      </c>
      <c r="T95" s="194">
        <f t="shared" si="71"/>
        <v>0</v>
      </c>
      <c r="U95" s="112"/>
      <c r="V95" s="112"/>
      <c r="W95" s="113">
        <v>1.4999999999999999E-2</v>
      </c>
      <c r="X95" s="196">
        <f t="shared" si="72"/>
        <v>0</v>
      </c>
      <c r="Y95" s="196">
        <f t="shared" si="73"/>
        <v>0</v>
      </c>
      <c r="Z95" s="87"/>
      <c r="AA95" s="189">
        <f t="shared" si="69"/>
        <v>0</v>
      </c>
      <c r="AB95" s="189">
        <f t="shared" si="74"/>
        <v>0</v>
      </c>
      <c r="AC95" s="189">
        <f t="shared" si="75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70"/>
        <v>0</v>
      </c>
      <c r="T96" s="194">
        <f t="shared" si="71"/>
        <v>0</v>
      </c>
      <c r="U96" s="112"/>
      <c r="V96" s="112"/>
      <c r="W96" s="113">
        <v>1.4999999999999999E-2</v>
      </c>
      <c r="X96" s="196">
        <f t="shared" si="72"/>
        <v>0</v>
      </c>
      <c r="Y96" s="196">
        <f t="shared" si="73"/>
        <v>0</v>
      </c>
      <c r="Z96" s="87"/>
      <c r="AA96" s="189">
        <f t="shared" si="69"/>
        <v>0</v>
      </c>
      <c r="AB96" s="189">
        <f t="shared" si="74"/>
        <v>0</v>
      </c>
      <c r="AC96" s="189">
        <f t="shared" si="75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70"/>
        <v>0</v>
      </c>
      <c r="T97" s="194">
        <f t="shared" si="71"/>
        <v>0</v>
      </c>
      <c r="U97" s="112"/>
      <c r="V97" s="112"/>
      <c r="W97" s="113">
        <v>1.4999999999999999E-2</v>
      </c>
      <c r="X97" s="196">
        <f t="shared" si="72"/>
        <v>0</v>
      </c>
      <c r="Y97" s="196">
        <f t="shared" si="73"/>
        <v>0</v>
      </c>
      <c r="Z97" s="87"/>
      <c r="AA97" s="189">
        <f t="shared" si="69"/>
        <v>0</v>
      </c>
      <c r="AB97" s="189">
        <f t="shared" si="74"/>
        <v>0</v>
      </c>
      <c r="AC97" s="189">
        <f t="shared" si="75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1769.0000000000002</v>
      </c>
      <c r="Q98" s="195">
        <f>SUM(Q78:Q97)</f>
        <v>456.99</v>
      </c>
      <c r="R98" s="111"/>
      <c r="S98" s="195">
        <f>SUM(S78:S97)</f>
        <v>16.694924999999998</v>
      </c>
      <c r="T98" s="195">
        <f>SUM(T78:T97)</f>
        <v>2209.295075</v>
      </c>
      <c r="U98" s="114">
        <f>SUM(U78:U97)</f>
        <v>620.8900000000001</v>
      </c>
      <c r="V98" s="114">
        <f>SUM(V78:V97)</f>
        <v>0</v>
      </c>
      <c r="W98" s="112"/>
      <c r="X98" s="197">
        <f>SUM(X78:X97)</f>
        <v>9.313349999999998</v>
      </c>
      <c r="Y98" s="197">
        <f>SUM(Y78:Y97)</f>
        <v>611.57664999999997</v>
      </c>
      <c r="Z98" s="63">
        <f>SUM(Z78:Z97)</f>
        <v>0</v>
      </c>
      <c r="AA98" s="198">
        <f t="shared" ref="AA98:AB98" si="76">SUM(AA78:AA97)</f>
        <v>0</v>
      </c>
      <c r="AB98" s="198">
        <f t="shared" si="76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221.67</v>
      </c>
      <c r="Q100" s="84"/>
    </row>
    <row r="101" spans="14:30" x14ac:dyDescent="0.25">
      <c r="N101" s="85"/>
      <c r="O101" s="84"/>
      <c r="P101" s="215">
        <f t="shared" ref="P101:P109" si="77">P79+Q79+U79</f>
        <v>366.25</v>
      </c>
      <c r="Q101" s="84"/>
    </row>
    <row r="102" spans="14:30" x14ac:dyDescent="0.25">
      <c r="N102" s="85"/>
      <c r="O102" s="84"/>
      <c r="P102" s="215">
        <f t="shared" si="77"/>
        <v>357.18</v>
      </c>
      <c r="Q102" s="84"/>
    </row>
    <row r="103" spans="14:30" x14ac:dyDescent="0.25">
      <c r="N103" s="85"/>
      <c r="O103" s="84"/>
      <c r="P103" s="215">
        <f t="shared" ref="P103:P108" si="78">P81+Q81+U81</f>
        <v>311.5</v>
      </c>
      <c r="Q103" s="84"/>
    </row>
    <row r="104" spans="14:30" x14ac:dyDescent="0.25">
      <c r="N104" s="85"/>
      <c r="O104" s="84"/>
      <c r="P104" s="233">
        <f>P82+Q82+U82</f>
        <v>400.14</v>
      </c>
      <c r="Q104" s="84"/>
    </row>
    <row r="105" spans="14:30" x14ac:dyDescent="0.25">
      <c r="N105" s="85"/>
      <c r="O105" s="84"/>
      <c r="P105" s="233">
        <f t="shared" si="78"/>
        <v>236.85999999999999</v>
      </c>
      <c r="Q105" s="84"/>
    </row>
    <row r="106" spans="14:30" x14ac:dyDescent="0.25">
      <c r="N106" s="85"/>
      <c r="O106" s="84"/>
      <c r="P106" s="233">
        <f t="shared" si="78"/>
        <v>405.22</v>
      </c>
      <c r="Q106" s="84"/>
    </row>
    <row r="107" spans="14:30" x14ac:dyDescent="0.25">
      <c r="N107" s="85"/>
      <c r="O107" s="84"/>
      <c r="P107" s="241">
        <f t="shared" si="78"/>
        <v>215.4</v>
      </c>
      <c r="Q107" s="84"/>
    </row>
    <row r="108" spans="14:30" x14ac:dyDescent="0.25">
      <c r="N108" s="85"/>
      <c r="O108" s="84"/>
      <c r="P108" s="84">
        <f t="shared" si="78"/>
        <v>332.65999999999997</v>
      </c>
      <c r="Q108" s="84"/>
    </row>
    <row r="109" spans="14:30" x14ac:dyDescent="0.25">
      <c r="N109" s="85"/>
      <c r="O109" s="84"/>
      <c r="P109" s="241">
        <f t="shared" si="77"/>
        <v>0</v>
      </c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20" x14ac:dyDescent="0.25">
      <c r="N113" s="85"/>
      <c r="T113" s="85">
        <v>112.07</v>
      </c>
    </row>
    <row r="114" spans="14:20" x14ac:dyDescent="0.25">
      <c r="N114" s="85"/>
    </row>
    <row r="115" spans="14:20" x14ac:dyDescent="0.25">
      <c r="N115" s="85"/>
    </row>
    <row r="116" spans="14:20" x14ac:dyDescent="0.25">
      <c r="N116" s="76"/>
    </row>
    <row r="118" spans="14:20" x14ac:dyDescent="0.25">
      <c r="N118" s="78"/>
    </row>
    <row r="119" spans="14:20" x14ac:dyDescent="0.25">
      <c r="N119" s="90"/>
    </row>
    <row r="120" spans="14:20" x14ac:dyDescent="0.25">
      <c r="N120" s="92"/>
    </row>
    <row r="121" spans="14:20" x14ac:dyDescent="0.25">
      <c r="N121" s="92"/>
    </row>
    <row r="122" spans="14:20" x14ac:dyDescent="0.25">
      <c r="N122" s="92"/>
    </row>
    <row r="123" spans="14:20" x14ac:dyDescent="0.25">
      <c r="N123" s="92"/>
    </row>
    <row r="124" spans="14:20" x14ac:dyDescent="0.25">
      <c r="N124" s="92"/>
    </row>
    <row r="125" spans="14:20" x14ac:dyDescent="0.25">
      <c r="N125" s="92"/>
    </row>
    <row r="126" spans="14:20" x14ac:dyDescent="0.25">
      <c r="N126" s="90"/>
    </row>
    <row r="127" spans="14:20" x14ac:dyDescent="0.25">
      <c r="N127" s="92"/>
    </row>
    <row r="128" spans="14:20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2021-11-05T17:35:49Z</cp:lastPrinted>
  <dcterms:created xsi:type="dcterms:W3CDTF">2013-07-24T18:56:16Z</dcterms:created>
  <dcterms:modified xsi:type="dcterms:W3CDTF">2022-08-03T13:05:53Z</dcterms:modified>
</cp:coreProperties>
</file>